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Forestarn\COMBRET (12) - Indivision Laval SWC E10\Dossier déposé le 26 03 2025\"/>
    </mc:Choice>
  </mc:AlternateContent>
  <xr:revisionPtr revIDLastSave="0" documentId="13_ncr:1_{9D22BDF7-C5A3-405F-930C-2887E2837DEB}" xr6:coauthVersionLast="36" xr6:coauthVersionMax="36" xr10:uidLastSave="{00000000-0000-0000-0000-000000000000}"/>
  <bookViews>
    <workbookView xWindow="0" yWindow="0" windowWidth="28800" windowHeight="12612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47" i="2" a="1"/>
  <c r="BC47" i="2" s="1"/>
  <c r="BC126" i="2" a="1"/>
  <c r="BC126" i="2" s="1"/>
  <c r="BC114" i="2" a="1"/>
  <c r="BC114" i="2" s="1"/>
  <c r="BC181" i="2" a="1"/>
  <c r="BC181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117" i="2" l="1" a="1"/>
  <c r="BC117" i="2" s="1"/>
  <c r="BC65" i="2" a="1"/>
  <c r="BC65" i="2" s="1"/>
  <c r="BC55" i="2" a="1"/>
  <c r="BC55" i="2" s="1"/>
  <c r="BC82" i="2" a="1"/>
  <c r="BC82" i="2" s="1"/>
  <c r="BC68" i="2" a="1"/>
  <c r="BC68" i="2" s="1"/>
  <c r="BC151" i="2" a="1"/>
  <c r="BC151" i="2" s="1"/>
  <c r="BC58" i="2" a="1"/>
  <c r="BC58" i="2" s="1"/>
  <c r="BC83" i="2" a="1"/>
  <c r="BC83" i="2" s="1"/>
  <c r="BC7" i="2" a="1"/>
  <c r="BC7" i="2" s="1"/>
  <c r="BC185" i="2" a="1"/>
  <c r="BC185" i="2" s="1"/>
  <c r="BC34" i="2" a="1"/>
  <c r="BC34" i="2" s="1"/>
  <c r="AH19" i="2" a="1"/>
  <c r="AH19" i="2" s="1"/>
  <c r="AH151" i="2" a="1"/>
  <c r="AH151" i="2" s="1"/>
  <c r="AH163" i="2" a="1"/>
  <c r="AH163" i="2" s="1"/>
  <c r="AH62" i="2" a="1"/>
  <c r="AH62" i="2" s="1"/>
  <c r="AH199" i="2" a="1"/>
  <c r="AH199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M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M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BI90" i="2" l="1"/>
  <c r="BI174" i="2"/>
  <c r="FE196" i="2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I113" i="2" s="1"/>
  <c r="BE109" i="2"/>
  <c r="BS107" i="2"/>
  <c r="BI153" i="2" l="1"/>
  <c r="BI142" i="2"/>
  <c r="BI134" i="2"/>
  <c r="BI122" i="2"/>
  <c r="BI161" i="2"/>
  <c r="BI70" i="2"/>
  <c r="BI108" i="2"/>
  <c r="BI82" i="2"/>
  <c r="BI55" i="2"/>
  <c r="BI66" i="2"/>
  <c r="BI37" i="2"/>
  <c r="BI52" i="2"/>
  <c r="BI8" i="2"/>
  <c r="BI65" i="2"/>
  <c r="BI155" i="2"/>
  <c r="BI162" i="2"/>
  <c r="BI190" i="2"/>
  <c r="BI176" i="2"/>
  <c r="BI138" i="2"/>
  <c r="BI164" i="2"/>
  <c r="BI177" i="2"/>
  <c r="BI105" i="2"/>
  <c r="BI147" i="2"/>
  <c r="BI101" i="2"/>
  <c r="BI163" i="2"/>
  <c r="BI104" i="2"/>
  <c r="BI132" i="2"/>
  <c r="BI63" i="2"/>
  <c r="BI38" i="2"/>
  <c r="BI64" i="2"/>
  <c r="BI199" i="2"/>
  <c r="BI181" i="2"/>
  <c r="BI94" i="2"/>
  <c r="BI5" i="2"/>
  <c r="BI89" i="2"/>
  <c r="BI172" i="2"/>
  <c r="BI160" i="2"/>
  <c r="BI193" i="2"/>
  <c r="BI20" i="2"/>
  <c r="BI195" i="2"/>
  <c r="BI30" i="2"/>
  <c r="BI189" i="2"/>
  <c r="BI32" i="2"/>
  <c r="BI185" i="2"/>
  <c r="BI12" i="2"/>
  <c r="BI127" i="2"/>
  <c r="BI22" i="2"/>
  <c r="BI196" i="2"/>
  <c r="BI106" i="2"/>
  <c r="BI119" i="2"/>
  <c r="BI96" i="2"/>
  <c r="BI36" i="2"/>
  <c r="BI95" i="2"/>
  <c r="BI39" i="2"/>
  <c r="BI33" i="2"/>
  <c r="BI139" i="2"/>
  <c r="BI15" i="2"/>
  <c r="BI53" i="2"/>
  <c r="BI107" i="2"/>
  <c r="BI103" i="2"/>
  <c r="BI188" i="2"/>
  <c r="BI59" i="2"/>
  <c r="BI118" i="2"/>
  <c r="BI116" i="2"/>
  <c r="BI168" i="2"/>
  <c r="BI186" i="2"/>
  <c r="BI198" i="2"/>
  <c r="BI14" i="2"/>
  <c r="BI97" i="2"/>
  <c r="BI7" i="2"/>
  <c r="BI159" i="2"/>
  <c r="BI143" i="2"/>
  <c r="BI180" i="2"/>
  <c r="BI43" i="2"/>
  <c r="BI124" i="2"/>
  <c r="BI93" i="2"/>
  <c r="BI128" i="2"/>
  <c r="BI148" i="2"/>
  <c r="BI44" i="2"/>
  <c r="BI157" i="2"/>
  <c r="BI152" i="2"/>
  <c r="BI74" i="2"/>
  <c r="BI78" i="2"/>
  <c r="BI166" i="2"/>
  <c r="BI45" i="2"/>
  <c r="BI112" i="2"/>
  <c r="BI123" i="2"/>
  <c r="BI76" i="2"/>
  <c r="BI51" i="2"/>
  <c r="BI3" i="2"/>
  <c r="C8" i="4" s="1"/>
  <c r="E8" i="4" s="1"/>
  <c r="F8" i="4" s="1"/>
  <c r="G8" i="4" s="1"/>
  <c r="L8" i="4" s="1"/>
  <c r="M8" i="4" s="1"/>
  <c r="BI79" i="2"/>
  <c r="BI144" i="2"/>
  <c r="BI86" i="2"/>
  <c r="BI146" i="2"/>
  <c r="BI24" i="2"/>
  <c r="BI87" i="2"/>
  <c r="BI109" i="2"/>
  <c r="BI23" i="2"/>
  <c r="BI137" i="2"/>
  <c r="BI184" i="2"/>
  <c r="BI183" i="2"/>
  <c r="BI41" i="2"/>
  <c r="BI194" i="2"/>
  <c r="BI120" i="2"/>
  <c r="BI56" i="2"/>
  <c r="BI91" i="2"/>
  <c r="BI71" i="2"/>
  <c r="BI11" i="2"/>
  <c r="BI191" i="2"/>
  <c r="BI136" i="2"/>
  <c r="BI49" i="2"/>
  <c r="BI140" i="2"/>
  <c r="BI67" i="2"/>
  <c r="BI133" i="2"/>
  <c r="BI165" i="2"/>
  <c r="BI42" i="2"/>
  <c r="BI129" i="2"/>
  <c r="BI60" i="2"/>
  <c r="BI80" i="2"/>
  <c r="BI31" i="2"/>
  <c r="BI169" i="2"/>
  <c r="BI58" i="2"/>
  <c r="BI10" i="2"/>
  <c r="BI202" i="2"/>
  <c r="BI170" i="2"/>
  <c r="BI16" i="2"/>
  <c r="BI50" i="2"/>
  <c r="BI114" i="2"/>
  <c r="BI6" i="2"/>
  <c r="BI121" i="2"/>
  <c r="BI84" i="2"/>
  <c r="BI28" i="2"/>
  <c r="BI85" i="2"/>
  <c r="BI115" i="2"/>
  <c r="BI4" i="2"/>
  <c r="BI34" i="2"/>
  <c r="BI171" i="2"/>
  <c r="BI203" i="2"/>
  <c r="BI77" i="2"/>
  <c r="BI141" i="2"/>
  <c r="BI117" i="2"/>
  <c r="BI81" i="2"/>
  <c r="BI92" i="2"/>
  <c r="BI197" i="2"/>
  <c r="BI131" i="2"/>
  <c r="BI187" i="2"/>
  <c r="BI135" i="2"/>
  <c r="BI154" i="2"/>
  <c r="BI173" i="2"/>
  <c r="BI126" i="2"/>
  <c r="BI19" i="2"/>
  <c r="BI17" i="2"/>
  <c r="BI175" i="2"/>
  <c r="BI29" i="2"/>
  <c r="BI149" i="2"/>
  <c r="BI61" i="2"/>
  <c r="BI167" i="2"/>
  <c r="BI73" i="2"/>
  <c r="BI158" i="2"/>
  <c r="BI125" i="2"/>
  <c r="BI48" i="2"/>
  <c r="BI130" i="2"/>
  <c r="BI72" i="2"/>
  <c r="BI26" i="2"/>
  <c r="BI150" i="2"/>
  <c r="BI13" i="2"/>
  <c r="BI57" i="2"/>
  <c r="BI201" i="2"/>
  <c r="BI27" i="2"/>
  <c r="BI25" i="2"/>
  <c r="BI98" i="2"/>
  <c r="BI88" i="2"/>
  <c r="BI69" i="2"/>
  <c r="BI68" i="2"/>
  <c r="BI200" i="2"/>
  <c r="BI99" i="2"/>
  <c r="BI18" i="2"/>
  <c r="BI47" i="2"/>
  <c r="BI40" i="2"/>
  <c r="BI110" i="2"/>
  <c r="BI100" i="2"/>
  <c r="BI156" i="2"/>
  <c r="BI35" i="2"/>
  <c r="BI111" i="2"/>
  <c r="BI178" i="2"/>
  <c r="BI151" i="2"/>
  <c r="BI192" i="2"/>
  <c r="BI75" i="2"/>
  <c r="BI46" i="2"/>
  <c r="BI83" i="2"/>
  <c r="BI102" i="2"/>
  <c r="BI21" i="2"/>
  <c r="BI54" i="2"/>
  <c r="BI179" i="2"/>
  <c r="BI145" i="2"/>
  <c r="BI62" i="2"/>
  <c r="BI9" i="2"/>
  <c r="BI182" i="2"/>
  <c r="FE197" i="2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<sst xmlns="http://schemas.openxmlformats.org/spreadsheetml/2006/main" count="1169" uniqueCount="324">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</sst>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235.19675671623455</c:v>
                </c:pt>
                <c:pt idx="25">
                  <c:v>254.68019125492972</c:v>
                </c:pt>
                <c:pt idx="26">
                  <c:v>274.129893403339</c:v>
                </c:pt>
                <c:pt idx="27">
                  <c:v>293.54859261186851</c:v>
                </c:pt>
                <c:pt idx="28">
                  <c:v>312.93862766627666</c:v>
                </c:pt>
                <c:pt idx="29">
                  <c:v>332.30202385642195</c:v>
                </c:pt>
                <c:pt idx="30">
                  <c:v>351.64055120002314</c:v>
                </c:pt>
                <c:pt idx="31">
                  <c:v>369.4987981688775</c:v>
                </c:pt>
                <c:pt idx="32">
                  <c:v>387.33822121677053</c:v>
                </c:pt>
                <c:pt idx="33">
                  <c:v>405.15980898705612</c:v>
                </c:pt>
                <c:pt idx="34">
                  <c:v>422.96445608157745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1.9143975374625271</c:v>
                </c:pt>
                <c:pt idx="2">
                  <c:v>2.3631301223601535</c:v>
                </c:pt>
                <c:pt idx="3">
                  <c:v>2.9174548238720219</c:v>
                </c:pt>
                <c:pt idx="4">
                  <c:v>3.6023098465007668</c:v>
                </c:pt>
                <c:pt idx="5">
                  <c:v>4.4485433596983173</c:v>
                </c:pt>
                <c:pt idx="6">
                  <c:v>5.4943185233666361</c:v>
                </c:pt>
                <c:pt idx="7">
                  <c:v>6.7868535221036126</c:v>
                </c:pt>
                <c:pt idx="8">
                  <c:v>8.3845767013125236</c:v>
                </c:pt>
                <c:pt idx="9">
                  <c:v>10.359796093769079</c:v>
                </c:pt>
                <c:pt idx="10">
                  <c:v>12.802006431437341</c:v>
                </c:pt>
                <c:pt idx="11">
                  <c:v>15.821986263961561</c:v>
                </c:pt>
                <c:pt idx="12">
                  <c:v>19.556874429624859</c:v>
                </c:pt>
                <c:pt idx="13">
                  <c:v>24.176460556140523</c:v>
                </c:pt>
                <c:pt idx="14">
                  <c:v>29.890980629355308</c:v>
                </c:pt>
                <c:pt idx="15">
                  <c:v>36.960778591833304</c:v>
                </c:pt>
                <c:pt idx="16">
                  <c:v>45.70828169028141</c:v>
                </c:pt>
                <c:pt idx="17">
                  <c:v>56.532844940434195</c:v>
                </c:pt>
                <c:pt idx="18">
                  <c:v>69.929153660494023</c:v>
                </c:pt>
                <c:pt idx="19">
                  <c:v>86.510038797475374</c:v>
                </c:pt>
                <c:pt idx="20">
                  <c:v>107.03476550524589</c:v>
                </c:pt>
                <c:pt idx="21">
                  <c:v>132.44411077759398</c:v>
                </c:pt>
                <c:pt idx="22">
                  <c:v>163.90386287643108</c:v>
                </c:pt>
                <c:pt idx="23">
                  <c:v>159.14039927075092</c:v>
                </c:pt>
                <c:pt idx="24">
                  <c:v>175.15013994164235</c:v>
                </c:pt>
                <c:pt idx="25">
                  <c:v>191.12551298630106</c:v>
                </c:pt>
                <c:pt idx="26">
                  <c:v>186.46577828407854</c:v>
                </c:pt>
                <c:pt idx="27">
                  <c:v>203.79715143595334</c:v>
                </c:pt>
                <c:pt idx="28">
                  <c:v>221.09442404914515</c:v>
                </c:pt>
                <c:pt idx="29">
                  <c:v>238.36063977122203</c:v>
                </c:pt>
                <c:pt idx="30">
                  <c:v>255.59836496686489</c:v>
                </c:pt>
                <c:pt idx="31">
                  <c:v>230.63316428689714</c:v>
                </c:pt>
                <c:pt idx="32">
                  <c:v>249.42678742365072</c:v>
                </c:pt>
                <c:pt idx="33">
                  <c:v>268.1882976169623</c:v>
                </c:pt>
                <c:pt idx="34">
                  <c:v>286.92025704588701</c:v>
                </c:pt>
                <c:pt idx="35">
                  <c:v>305.62486594574438</c:v>
                </c:pt>
                <c:pt idx="36">
                  <c:v>271.5262211522043</c:v>
                </c:pt>
                <c:pt idx="37">
                  <c:v>289.99681160231415</c:v>
                </c:pt>
                <c:pt idx="38">
                  <c:v>308.44111949657542</c:v>
                </c:pt>
                <c:pt idx="39">
                  <c:v>326.86093719547273</c:v>
                </c:pt>
                <c:pt idx="40">
                  <c:v>345.25783856692902</c:v>
                </c:pt>
                <c:pt idx="41">
                  <c:v>314.07191886152788</c:v>
                </c:pt>
                <c:pt idx="42">
                  <c:v>335.29560709579107</c:v>
                </c:pt>
                <c:pt idx="43">
                  <c:v>356.48971133078379</c:v>
                </c:pt>
                <c:pt idx="44">
                  <c:v>377.65623675733735</c:v>
                </c:pt>
                <c:pt idx="45">
                  <c:v>398.79694553728103</c:v>
                </c:pt>
                <c:pt idx="46">
                  <c:v>356.48971133078385</c:v>
                </c:pt>
                <c:pt idx="47">
                  <c:v>381.73351191523989</c:v>
                </c:pt>
                <c:pt idx="48">
                  <c:v>406.94102200891206</c:v>
                </c:pt>
                <c:pt idx="49">
                  <c:v>432.11480353422809</c:v>
                </c:pt>
                <c:pt idx="50">
                  <c:v>457.25709576545205</c:v>
                </c:pt>
                <c:pt idx="51">
                  <c:v>412.31545034855668</c:v>
                </c:pt>
                <c:pt idx="52">
                  <c:v>434.71934533149943</c:v>
                </c:pt>
                <c:pt idx="53">
                  <c:v>457.09846370599354</c:v>
                </c:pt>
                <c:pt idx="54">
                  <c:v>479.45418811198175</c:v>
                </c:pt>
                <c:pt idx="55">
                  <c:v>501.78776183351852</c:v>
                </c:pt>
                <c:pt idx="56">
                  <c:v>524.10030854720571</c:v>
                </c:pt>
                <c:pt idx="57">
                  <c:v>546.39284853374681</c:v>
                </c:pt>
                <c:pt idx="58">
                  <c:v>568.66631210732658</c:v>
                </c:pt>
                <c:pt idx="59">
                  <c:v>491.01965211248984</c:v>
                </c:pt>
                <c:pt idx="60">
                  <c:v>512.07623603023353</c:v>
                </c:pt>
                <c:pt idx="61">
                  <c:v>533.11454122394628</c:v>
                </c:pt>
                <c:pt idx="62">
                  <c:v>554.13538990317875</c:v>
                </c:pt>
                <c:pt idx="63">
                  <c:v>575.13953686440004</c:v>
                </c:pt>
                <c:pt idx="64">
                  <c:v>596.12767732798477</c:v>
                </c:pt>
                <c:pt idx="65">
                  <c:v>617.10045361481707</c:v>
                </c:pt>
                <c:pt idx="66">
                  <c:v>638.05846086868917</c:v>
                </c:pt>
                <c:pt idx="67">
                  <c:v>572.29782173470483</c:v>
                </c:pt>
                <c:pt idx="68">
                  <c:v>588.55481451870276</c:v>
                </c:pt>
                <c:pt idx="69">
                  <c:v>604.80245799974387</c:v>
                </c:pt>
                <c:pt idx="70">
                  <c:v>621.04103855425944</c:v>
                </c:pt>
                <c:pt idx="71">
                  <c:v>637.27082637167177</c:v>
                </c:pt>
                <c:pt idx="72">
                  <c:v>653.49207676674769</c:v>
                </c:pt>
                <c:pt idx="73">
                  <c:v>669.70503135496131</c:v>
                </c:pt>
                <c:pt idx="74">
                  <c:v>685.90991910820412</c:v>
                </c:pt>
                <c:pt idx="75">
                  <c:v>650.50043827916386</c:v>
                </c:pt>
                <c:pt idx="76">
                  <c:v>661.67827996165317</c:v>
                </c:pt>
                <c:pt idx="77">
                  <c:v>672.85223568836011</c:v>
                </c:pt>
                <c:pt idx="78">
                  <c:v>684.02237906453263</c:v>
                </c:pt>
                <c:pt idx="79">
                  <c:v>695.18878109639616</c:v>
                </c:pt>
                <c:pt idx="80">
                  <c:v>706.35151032407668</c:v>
                </c:pt>
                <c:pt idx="81">
                  <c:v>717.51063294568894</c:v>
                </c:pt>
                <c:pt idx="82">
                  <c:v>728.66621293330661</c:v>
                </c:pt>
                <c:pt idx="83">
                  <c:v>3.669434796176543E-12</c:v>
                </c:pt>
                <c:pt idx="84">
                  <c:v>3.669434796176543E-12</c:v>
                </c:pt>
                <c:pt idx="85">
                  <c:v>3.669434796176543E-12</c:v>
                </c:pt>
                <c:pt idx="86">
                  <c:v>3.669434796176543E-12</c:v>
                </c:pt>
                <c:pt idx="87">
                  <c:v>3.669434796176543E-12</c:v>
                </c:pt>
                <c:pt idx="88">
                  <c:v>3.669434796176543E-12</c:v>
                </c:pt>
                <c:pt idx="89">
                  <c:v>3.669434796176543E-12</c:v>
                </c:pt>
                <c:pt idx="90">
                  <c:v>3.669434796176543E-12</c:v>
                </c:pt>
                <c:pt idx="91">
                  <c:v>3.669434796176543E-12</c:v>
                </c:pt>
                <c:pt idx="92">
                  <c:v>3.669434796176543E-12</c:v>
                </c:pt>
                <c:pt idx="93">
                  <c:v>3.669434796176543E-12</c:v>
                </c:pt>
                <c:pt idx="94">
                  <c:v>3.669434796176543E-12</c:v>
                </c:pt>
                <c:pt idx="95">
                  <c:v>3.669434796176543E-12</c:v>
                </c:pt>
                <c:pt idx="96">
                  <c:v>3.669434796176543E-12</c:v>
                </c:pt>
                <c:pt idx="97">
                  <c:v>3.669434796176543E-12</c:v>
                </c:pt>
                <c:pt idx="98">
                  <c:v>3.669434796176543E-12</c:v>
                </c:pt>
                <c:pt idx="99">
                  <c:v>3.669434796176543E-12</c:v>
                </c:pt>
                <c:pt idx="100">
                  <c:v>3.669434796176543E-12</c:v>
                </c:pt>
                <c:pt idx="101">
                  <c:v>3.669434796176543E-12</c:v>
                </c:pt>
                <c:pt idx="102">
                  <c:v>3.669434796176543E-12</c:v>
                </c:pt>
                <c:pt idx="103">
                  <c:v>3.669434796176543E-12</c:v>
                </c:pt>
                <c:pt idx="104">
                  <c:v>3.669434796176543E-12</c:v>
                </c:pt>
                <c:pt idx="105">
                  <c:v>3.669434796176543E-12</c:v>
                </c:pt>
                <c:pt idx="106">
                  <c:v>3.669434796176543E-12</c:v>
                </c:pt>
                <c:pt idx="107">
                  <c:v>3.669434796176543E-12</c:v>
                </c:pt>
                <c:pt idx="108">
                  <c:v>3.669434796176543E-12</c:v>
                </c:pt>
                <c:pt idx="109">
                  <c:v>3.669434796176543E-12</c:v>
                </c:pt>
                <c:pt idx="110">
                  <c:v>3.669434796176543E-12</c:v>
                </c:pt>
                <c:pt idx="111">
                  <c:v>3.669434796176543E-12</c:v>
                </c:pt>
                <c:pt idx="112">
                  <c:v>3.669434796176543E-12</c:v>
                </c:pt>
                <c:pt idx="113">
                  <c:v>3.669434796176543E-12</c:v>
                </c:pt>
                <c:pt idx="114">
                  <c:v>3.669434796176543E-12</c:v>
                </c:pt>
                <c:pt idx="115">
                  <c:v>3.669434796176543E-12</c:v>
                </c:pt>
                <c:pt idx="116">
                  <c:v>3.669434796176543E-12</c:v>
                </c:pt>
                <c:pt idx="117">
                  <c:v>3.669434796176543E-12</c:v>
                </c:pt>
                <c:pt idx="118">
                  <c:v>3.669434796176543E-12</c:v>
                </c:pt>
                <c:pt idx="119">
                  <c:v>3.669434796176543E-12</c:v>
                </c:pt>
                <c:pt idx="120">
                  <c:v>3.669434796176543E-12</c:v>
                </c:pt>
                <c:pt idx="121">
                  <c:v>3.669434796176543E-12</c:v>
                </c:pt>
                <c:pt idx="122">
                  <c:v>3.669434796176543E-12</c:v>
                </c:pt>
                <c:pt idx="123">
                  <c:v>3.669434796176543E-12</c:v>
                </c:pt>
                <c:pt idx="124">
                  <c:v>3.669434796176543E-12</c:v>
                </c:pt>
                <c:pt idx="125">
                  <c:v>3.669434796176543E-12</c:v>
                </c:pt>
                <c:pt idx="126">
                  <c:v>3.669434796176543E-12</c:v>
                </c:pt>
                <c:pt idx="127">
                  <c:v>3.669434796176543E-12</c:v>
                </c:pt>
                <c:pt idx="128">
                  <c:v>3.669434796176543E-12</c:v>
                </c:pt>
                <c:pt idx="129">
                  <c:v>3.669434796176543E-12</c:v>
                </c:pt>
                <c:pt idx="130">
                  <c:v>3.669434796176543E-12</c:v>
                </c:pt>
                <c:pt idx="131">
                  <c:v>3.669434796176543E-12</c:v>
                </c:pt>
                <c:pt idx="132">
                  <c:v>3.669434796176543E-12</c:v>
                </c:pt>
                <c:pt idx="133">
                  <c:v>3.669434796176543E-12</c:v>
                </c:pt>
                <c:pt idx="134">
                  <c:v>3.669434796176543E-12</c:v>
                </c:pt>
                <c:pt idx="135">
                  <c:v>3.669434796176543E-12</c:v>
                </c:pt>
                <c:pt idx="136">
                  <c:v>3.669434796176543E-12</c:v>
                </c:pt>
                <c:pt idx="137">
                  <c:v>3.669434796176543E-12</c:v>
                </c:pt>
                <c:pt idx="138">
                  <c:v>3.669434796176543E-12</c:v>
                </c:pt>
                <c:pt idx="139">
                  <c:v>3.669434796176543E-12</c:v>
                </c:pt>
                <c:pt idx="140">
                  <c:v>3.669434796176543E-12</c:v>
                </c:pt>
                <c:pt idx="141">
                  <c:v>3.669434796176543E-12</c:v>
                </c:pt>
                <c:pt idx="142">
                  <c:v>3.669434796176543E-12</c:v>
                </c:pt>
                <c:pt idx="143">
                  <c:v>3.669434796176543E-12</c:v>
                </c:pt>
                <c:pt idx="144">
                  <c:v>3.669434796176543E-12</c:v>
                </c:pt>
                <c:pt idx="145">
                  <c:v>3.669434796176543E-12</c:v>
                </c:pt>
                <c:pt idx="146">
                  <c:v>3.669434796176543E-12</c:v>
                </c:pt>
                <c:pt idx="147">
                  <c:v>3.669434796176543E-12</c:v>
                </c:pt>
                <c:pt idx="148">
                  <c:v>3.669434796176543E-12</c:v>
                </c:pt>
                <c:pt idx="149">
                  <c:v>3.669434796176543E-12</c:v>
                </c:pt>
                <c:pt idx="150">
                  <c:v>3.669434796176543E-12</c:v>
                </c:pt>
                <c:pt idx="151">
                  <c:v>3.669434796176543E-12</c:v>
                </c:pt>
                <c:pt idx="152">
                  <c:v>3.669434796176543E-12</c:v>
                </c:pt>
                <c:pt idx="153">
                  <c:v>3.669434796176543E-12</c:v>
                </c:pt>
                <c:pt idx="154">
                  <c:v>3.669434796176543E-12</c:v>
                </c:pt>
                <c:pt idx="155">
                  <c:v>3.669434796176543E-12</c:v>
                </c:pt>
                <c:pt idx="156">
                  <c:v>3.669434796176543E-12</c:v>
                </c:pt>
                <c:pt idx="157">
                  <c:v>3.669434796176543E-12</c:v>
                </c:pt>
                <c:pt idx="158">
                  <c:v>3.669434796176543E-12</c:v>
                </c:pt>
                <c:pt idx="159">
                  <c:v>3.669434796176543E-12</c:v>
                </c:pt>
                <c:pt idx="160">
                  <c:v>3.669434796176543E-12</c:v>
                </c:pt>
                <c:pt idx="161">
                  <c:v>3.669434796176543E-12</c:v>
                </c:pt>
                <c:pt idx="162">
                  <c:v>3.669434796176543E-12</c:v>
                </c:pt>
                <c:pt idx="163">
                  <c:v>3.669434796176543E-12</c:v>
                </c:pt>
                <c:pt idx="164">
                  <c:v>3.669434796176543E-12</c:v>
                </c:pt>
                <c:pt idx="165">
                  <c:v>3.669434796176543E-12</c:v>
                </c:pt>
                <c:pt idx="166">
                  <c:v>3.669434796176543E-12</c:v>
                </c:pt>
                <c:pt idx="167">
                  <c:v>3.669434796176543E-12</c:v>
                </c:pt>
                <c:pt idx="168">
                  <c:v>3.669434796176543E-12</c:v>
                </c:pt>
                <c:pt idx="169">
                  <c:v>3.669434796176543E-12</c:v>
                </c:pt>
                <c:pt idx="170">
                  <c:v>3.669434796176543E-12</c:v>
                </c:pt>
                <c:pt idx="171">
                  <c:v>3.669434796176543E-12</c:v>
                </c:pt>
                <c:pt idx="172">
                  <c:v>3.669434796176543E-12</c:v>
                </c:pt>
                <c:pt idx="173">
                  <c:v>3.669434796176543E-12</c:v>
                </c:pt>
                <c:pt idx="174">
                  <c:v>3.669434796176543E-12</c:v>
                </c:pt>
                <c:pt idx="175">
                  <c:v>3.669434796176543E-12</c:v>
                </c:pt>
                <c:pt idx="176">
                  <c:v>3.669434796176543E-12</c:v>
                </c:pt>
                <c:pt idx="177">
                  <c:v>3.669434796176543E-12</c:v>
                </c:pt>
                <c:pt idx="178">
                  <c:v>3.669434796176543E-12</c:v>
                </c:pt>
                <c:pt idx="179">
                  <c:v>3.669434796176543E-12</c:v>
                </c:pt>
                <c:pt idx="180">
                  <c:v>3.669434796176543E-12</c:v>
                </c:pt>
                <c:pt idx="181">
                  <c:v>3.669434796176543E-12</c:v>
                </c:pt>
                <c:pt idx="182">
                  <c:v>3.669434796176543E-12</c:v>
                </c:pt>
                <c:pt idx="183">
                  <c:v>3.669434796176543E-12</c:v>
                </c:pt>
                <c:pt idx="184">
                  <c:v>3.669434796176543E-12</c:v>
                </c:pt>
                <c:pt idx="185">
                  <c:v>3.669434796176543E-12</c:v>
                </c:pt>
                <c:pt idx="186">
                  <c:v>3.669434796176543E-12</c:v>
                </c:pt>
                <c:pt idx="187">
                  <c:v>3.669434796176543E-12</c:v>
                </c:pt>
                <c:pt idx="188">
                  <c:v>3.669434796176543E-12</c:v>
                </c:pt>
                <c:pt idx="189">
                  <c:v>3.669434796176543E-12</c:v>
                </c:pt>
                <c:pt idx="190">
                  <c:v>3.669434796176543E-12</c:v>
                </c:pt>
                <c:pt idx="191">
                  <c:v>3.669434796176543E-12</c:v>
                </c:pt>
                <c:pt idx="192">
                  <c:v>3.669434796176543E-12</c:v>
                </c:pt>
                <c:pt idx="193">
                  <c:v>3.669434796176543E-12</c:v>
                </c:pt>
                <c:pt idx="194">
                  <c:v>3.669434796176543E-12</c:v>
                </c:pt>
                <c:pt idx="195">
                  <c:v>3.669434796176543E-12</c:v>
                </c:pt>
                <c:pt idx="196">
                  <c:v>3.669434796176543E-12</c:v>
                </c:pt>
                <c:pt idx="197">
                  <c:v>3.669434796176543E-12</c:v>
                </c:pt>
                <c:pt idx="198">
                  <c:v>3.669434796176543E-12</c:v>
                </c:pt>
                <c:pt idx="199">
                  <c:v>3.669434796176543E-12</c:v>
                </c:pt>
                <c:pt idx="200">
                  <c:v>3.669434796176543E-12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1.4510163117544339</c:v>
                </c:pt>
                <c:pt idx="2">
                  <c:v>1.7182720127011295</c:v>
                </c:pt>
                <c:pt idx="3">
                  <c:v>2.0349393412568815</c:v>
                </c:pt>
                <c:pt idx="4">
                  <c:v>2.4101865717740352</c:v>
                </c:pt>
                <c:pt idx="5">
                  <c:v>2.8548888689670626</c:v>
                </c:pt>
                <c:pt idx="6">
                  <c:v>3.3819470622862799</c:v>
                </c:pt>
                <c:pt idx="7">
                  <c:v>4.0066661265715924</c:v>
                </c:pt>
                <c:pt idx="8">
                  <c:v>4.7472045818179396</c:v>
                </c:pt>
                <c:pt idx="9">
                  <c:v>5.6251081358022832</c:v>
                </c:pt>
                <c:pt idx="10">
                  <c:v>6.66594340252517</c:v>
                </c:pt>
                <c:pt idx="11">
                  <c:v>7.9000505122077564</c:v>
                </c:pt>
                <c:pt idx="12">
                  <c:v>9.3634369745195816</c:v>
                </c:pt>
                <c:pt idx="13">
                  <c:v>11.098839372322871</c:v>
                </c:pt>
                <c:pt idx="14">
                  <c:v>13.156984475223274</c:v>
                </c:pt>
                <c:pt idx="15">
                  <c:v>15.598087321351393</c:v>
                </c:pt>
                <c:pt idx="16">
                  <c:v>18.493630901380524</c:v>
                </c:pt>
                <c:pt idx="17">
                  <c:v>21.928480504136356</c:v>
                </c:pt>
                <c:pt idx="18">
                  <c:v>26.003395802062048</c:v>
                </c:pt>
                <c:pt idx="19">
                  <c:v>30.838015669207337</c:v>
                </c:pt>
                <c:pt idx="20">
                  <c:v>36.574404893556029</c:v>
                </c:pt>
                <c:pt idx="21">
                  <c:v>43.381268796828387</c:v>
                </c:pt>
                <c:pt idx="22">
                  <c:v>51.458961816982743</c:v>
                </c:pt>
                <c:pt idx="23">
                  <c:v>61.045439946672957</c:v>
                </c:pt>
                <c:pt idx="24">
                  <c:v>72.423335275022851</c:v>
                </c:pt>
                <c:pt idx="25">
                  <c:v>85.928364607203278</c:v>
                </c:pt>
                <c:pt idx="26">
                  <c:v>101.95932425623626</c:v>
                </c:pt>
                <c:pt idx="27">
                  <c:v>120.98997082782786</c:v>
                </c:pt>
                <c:pt idx="28">
                  <c:v>143.58314459619342</c:v>
                </c:pt>
                <c:pt idx="29">
                  <c:v>170.40755961577079</c:v>
                </c:pt>
                <c:pt idx="30">
                  <c:v>202.25776507632233</c:v>
                </c:pt>
                <c:pt idx="31">
                  <c:v>219.43455992571219</c:v>
                </c:pt>
                <c:pt idx="32">
                  <c:v>236.58047440215805</c:v>
                </c:pt>
                <c:pt idx="33">
                  <c:v>253.69806161385125</c:v>
                </c:pt>
                <c:pt idx="34">
                  <c:v>270.78950182200458</c:v>
                </c:pt>
                <c:pt idx="35">
                  <c:v>287.85667749117107</c:v>
                </c:pt>
                <c:pt idx="36">
                  <c:v>307.47751968587681</c:v>
                </c:pt>
                <c:pt idx="37">
                  <c:v>327.07055190951706</c:v>
                </c:pt>
                <c:pt idx="38">
                  <c:v>346.63767379575575</c:v>
                </c:pt>
                <c:pt idx="39">
                  <c:v>366.18055305066923</c:v>
                </c:pt>
                <c:pt idx="40">
                  <c:v>385.70066489261848</c:v>
                </c:pt>
                <c:pt idx="41">
                  <c:v>405.19932308802726</c:v>
                </c:pt>
                <c:pt idx="42">
                  <c:v>424.67770470015256</c:v>
                </c:pt>
                <c:pt idx="43">
                  <c:v>263.75488986167073</c:v>
                </c:pt>
                <c:pt idx="44">
                  <c:v>281.33374857482306</c:v>
                </c:pt>
                <c:pt idx="45">
                  <c:v>298.88799440275955</c:v>
                </c:pt>
                <c:pt idx="46">
                  <c:v>316.41927606814937</c:v>
                </c:pt>
                <c:pt idx="47">
                  <c:v>333.92904467751265</c:v>
                </c:pt>
                <c:pt idx="48">
                  <c:v>351.41858674477544</c:v>
                </c:pt>
                <c:pt idx="49">
                  <c:v>368.88905029363542</c:v>
                </c:pt>
                <c:pt idx="50">
                  <c:v>285.84997848413349</c:v>
                </c:pt>
                <c:pt idx="51">
                  <c:v>302.89711380319778</c:v>
                </c:pt>
                <c:pt idx="52">
                  <c:v>319.92290747907685</c:v>
                </c:pt>
                <c:pt idx="53">
                  <c:v>336.92865492077641</c:v>
                </c:pt>
                <c:pt idx="54">
                  <c:v>353.91551010384433</c:v>
                </c:pt>
                <c:pt idx="55">
                  <c:v>370.8845072011041</c:v>
                </c:pt>
                <c:pt idx="56">
                  <c:v>387.83657804664409</c:v>
                </c:pt>
                <c:pt idx="57">
                  <c:v>323.92601839985667</c:v>
                </c:pt>
                <c:pt idx="58">
                  <c:v>340.5940472434072</c:v>
                </c:pt>
                <c:pt idx="59">
                  <c:v>357.24414130207191</c:v>
                </c:pt>
                <c:pt idx="60">
                  <c:v>373.87725393504792</c:v>
                </c:pt>
                <c:pt idx="61">
                  <c:v>390.49424676672476</c:v>
                </c:pt>
                <c:pt idx="62">
                  <c:v>407.09590212284866</c:v>
                </c:pt>
                <c:pt idx="63">
                  <c:v>423.68293333202695</c:v>
                </c:pt>
                <c:pt idx="64">
                  <c:v>360.90485169292782</c:v>
                </c:pt>
                <c:pt idx="65">
                  <c:v>377.01195254107012</c:v>
                </c:pt>
                <c:pt idx="66">
                  <c:v>393.10407505348206</c:v>
                </c:pt>
                <c:pt idx="67">
                  <c:v>409.18191855919605</c:v>
                </c:pt>
                <c:pt idx="68">
                  <c:v>425.24612295883844</c:v>
                </c:pt>
                <c:pt idx="69">
                  <c:v>441.29727587562394</c:v>
                </c:pt>
                <c:pt idx="70">
                  <c:v>457.33591871178055</c:v>
                </c:pt>
                <c:pt idx="71">
                  <c:v>473.36255181121805</c:v>
                </c:pt>
                <c:pt idx="72">
                  <c:v>397.80082102983096</c:v>
                </c:pt>
                <c:pt idx="73">
                  <c:v>412.87929311615432</c:v>
                </c:pt>
                <c:pt idx="74">
                  <c:v>427.9458868443873</c:v>
                </c:pt>
                <c:pt idx="75">
                  <c:v>443.00107921654762</c:v>
                </c:pt>
                <c:pt idx="76">
                  <c:v>458.04531217587032</c:v>
                </c:pt>
                <c:pt idx="77">
                  <c:v>473.07899627438695</c:v>
                </c:pt>
                <c:pt idx="78">
                  <c:v>488.10251385009468</c:v>
                </c:pt>
                <c:pt idx="79">
                  <c:v>503.11622179266891</c:v>
                </c:pt>
                <c:pt idx="80">
                  <c:v>430.64528450788265</c:v>
                </c:pt>
                <c:pt idx="81">
                  <c:v>444.70474213522584</c:v>
                </c:pt>
                <c:pt idx="82">
                  <c:v>458.75468217404813</c:v>
                </c:pt>
                <c:pt idx="83">
                  <c:v>472.79543711904148</c:v>
                </c:pt>
                <c:pt idx="84">
                  <c:v>486.82731810980704</c:v>
                </c:pt>
                <c:pt idx="85">
                  <c:v>500.85061689127627</c:v>
                </c:pt>
                <c:pt idx="86">
                  <c:v>514.86560754318418</c:v>
                </c:pt>
                <c:pt idx="87">
                  <c:v>528.87254801147901</c:v>
                </c:pt>
                <c:pt idx="88">
                  <c:v>454.4981093621966</c:v>
                </c:pt>
                <c:pt idx="89">
                  <c:v>467.40712233198633</c:v>
                </c:pt>
                <c:pt idx="90">
                  <c:v>480.30853891265838</c:v>
                </c:pt>
                <c:pt idx="91">
                  <c:v>493.20259187340326</c:v>
                </c:pt>
                <c:pt idx="92">
                  <c:v>506.08950082174624</c:v>
                </c:pt>
                <c:pt idx="93">
                  <c:v>518.96947327099576</c:v>
                </c:pt>
                <c:pt idx="94">
                  <c:v>531.84270559622928</c:v>
                </c:pt>
                <c:pt idx="95">
                  <c:v>544.70938389292303</c:v>
                </c:pt>
                <c:pt idx="96">
                  <c:v>287.85667749117147</c:v>
                </c:pt>
                <c:pt idx="97">
                  <c:v>296.43738794697089</c:v>
                </c:pt>
                <c:pt idx="98">
                  <c:v>305.01256073997416</c:v>
                </c:pt>
                <c:pt idx="99">
                  <c:v>313.58237364476804</c:v>
                </c:pt>
                <c:pt idx="100">
                  <c:v>322.14699391797217</c:v>
                </c:pt>
                <c:pt idx="101">
                  <c:v>330.70657918974769</c:v>
                </c:pt>
                <c:pt idx="102">
                  <c:v>339.2612782581262</c:v>
                </c:pt>
                <c:pt idx="103">
                  <c:v>347.81123179898628</c:v>
                </c:pt>
                <c:pt idx="104">
                  <c:v>356.35657300253342</c:v>
                </c:pt>
                <c:pt idx="105">
                  <c:v>364.89742814550806</c:v>
                </c:pt>
                <c:pt idx="106">
                  <c:v>4.2330868906469593E-12</c:v>
                </c:pt>
                <c:pt idx="107">
                  <c:v>4.2330868906469593E-12</c:v>
                </c:pt>
                <c:pt idx="108">
                  <c:v>4.2330868906469593E-12</c:v>
                </c:pt>
                <c:pt idx="109">
                  <c:v>4.2330868906469593E-12</c:v>
                </c:pt>
                <c:pt idx="110">
                  <c:v>4.2330868906469593E-12</c:v>
                </c:pt>
                <c:pt idx="111">
                  <c:v>4.2330868906469593E-12</c:v>
                </c:pt>
                <c:pt idx="112">
                  <c:v>4.2330868906469593E-12</c:v>
                </c:pt>
                <c:pt idx="113">
                  <c:v>4.2330868906469593E-12</c:v>
                </c:pt>
                <c:pt idx="114">
                  <c:v>4.2330868906469593E-12</c:v>
                </c:pt>
                <c:pt idx="115">
                  <c:v>4.2330868906469593E-12</c:v>
                </c:pt>
                <c:pt idx="116">
                  <c:v>4.2330868906469593E-12</c:v>
                </c:pt>
                <c:pt idx="117">
                  <c:v>4.2330868906469593E-12</c:v>
                </c:pt>
                <c:pt idx="118">
                  <c:v>4.2330868906469593E-12</c:v>
                </c:pt>
                <c:pt idx="119">
                  <c:v>4.2330868906469593E-12</c:v>
                </c:pt>
                <c:pt idx="120">
                  <c:v>4.2330868906469593E-12</c:v>
                </c:pt>
                <c:pt idx="121">
                  <c:v>4.2330868906469593E-12</c:v>
                </c:pt>
                <c:pt idx="122">
                  <c:v>4.2330868906469593E-12</c:v>
                </c:pt>
                <c:pt idx="123">
                  <c:v>4.2330868906469593E-12</c:v>
                </c:pt>
                <c:pt idx="124">
                  <c:v>4.2330868906469593E-12</c:v>
                </c:pt>
                <c:pt idx="125">
                  <c:v>4.2330868906469593E-12</c:v>
                </c:pt>
                <c:pt idx="126">
                  <c:v>4.2330868906469593E-12</c:v>
                </c:pt>
                <c:pt idx="127">
                  <c:v>4.2330868906469593E-12</c:v>
                </c:pt>
                <c:pt idx="128">
                  <c:v>4.2330868906469593E-12</c:v>
                </c:pt>
                <c:pt idx="129">
                  <c:v>4.2330868906469593E-12</c:v>
                </c:pt>
                <c:pt idx="130">
                  <c:v>4.2330868906469593E-12</c:v>
                </c:pt>
                <c:pt idx="131">
                  <c:v>4.2330868906469593E-12</c:v>
                </c:pt>
                <c:pt idx="132">
                  <c:v>4.2330868906469593E-12</c:v>
                </c:pt>
                <c:pt idx="133">
                  <c:v>4.2330868906469593E-12</c:v>
                </c:pt>
                <c:pt idx="134">
                  <c:v>4.2330868906469593E-12</c:v>
                </c:pt>
                <c:pt idx="135">
                  <c:v>4.2330868906469593E-12</c:v>
                </c:pt>
                <c:pt idx="136">
                  <c:v>4.2330868906469593E-12</c:v>
                </c:pt>
                <c:pt idx="137">
                  <c:v>4.2330868906469593E-12</c:v>
                </c:pt>
                <c:pt idx="138">
                  <c:v>4.2330868906469593E-12</c:v>
                </c:pt>
                <c:pt idx="139">
                  <c:v>4.2330868906469593E-12</c:v>
                </c:pt>
                <c:pt idx="140">
                  <c:v>4.2330868906469593E-12</c:v>
                </c:pt>
                <c:pt idx="141">
                  <c:v>4.2330868906469593E-12</c:v>
                </c:pt>
                <c:pt idx="142">
                  <c:v>4.2330868906469593E-12</c:v>
                </c:pt>
                <c:pt idx="143">
                  <c:v>4.2330868906469593E-12</c:v>
                </c:pt>
                <c:pt idx="144">
                  <c:v>4.2330868906469593E-12</c:v>
                </c:pt>
                <c:pt idx="145">
                  <c:v>4.2330868906469593E-12</c:v>
                </c:pt>
                <c:pt idx="146">
                  <c:v>4.2330868906469593E-12</c:v>
                </c:pt>
                <c:pt idx="147">
                  <c:v>4.2330868906469593E-12</c:v>
                </c:pt>
                <c:pt idx="148">
                  <c:v>4.2330868906469593E-12</c:v>
                </c:pt>
                <c:pt idx="149">
                  <c:v>4.2330868906469593E-12</c:v>
                </c:pt>
                <c:pt idx="150">
                  <c:v>4.2330868906469593E-12</c:v>
                </c:pt>
                <c:pt idx="151">
                  <c:v>4.2330868906469593E-12</c:v>
                </c:pt>
                <c:pt idx="152">
                  <c:v>4.2330868906469593E-12</c:v>
                </c:pt>
                <c:pt idx="153">
                  <c:v>4.2330868906469593E-12</c:v>
                </c:pt>
                <c:pt idx="154">
                  <c:v>4.2330868906469593E-12</c:v>
                </c:pt>
                <c:pt idx="155">
                  <c:v>4.2330868906469593E-12</c:v>
                </c:pt>
                <c:pt idx="156">
                  <c:v>4.2330868906469593E-12</c:v>
                </c:pt>
                <c:pt idx="157">
                  <c:v>4.2330868906469593E-12</c:v>
                </c:pt>
                <c:pt idx="158">
                  <c:v>4.2330868906469593E-12</c:v>
                </c:pt>
                <c:pt idx="159">
                  <c:v>4.2330868906469593E-12</c:v>
                </c:pt>
                <c:pt idx="160">
                  <c:v>4.2330868906469593E-12</c:v>
                </c:pt>
                <c:pt idx="161">
                  <c:v>4.2330868906469593E-12</c:v>
                </c:pt>
                <c:pt idx="162">
                  <c:v>4.2330868906469593E-12</c:v>
                </c:pt>
                <c:pt idx="163">
                  <c:v>4.2330868906469593E-12</c:v>
                </c:pt>
                <c:pt idx="164">
                  <c:v>4.2330868906469593E-12</c:v>
                </c:pt>
                <c:pt idx="165">
                  <c:v>4.2330868906469593E-12</c:v>
                </c:pt>
                <c:pt idx="166">
                  <c:v>4.2330868906469593E-12</c:v>
                </c:pt>
                <c:pt idx="167">
                  <c:v>4.2330868906469593E-12</c:v>
                </c:pt>
                <c:pt idx="168">
                  <c:v>4.2330868906469593E-12</c:v>
                </c:pt>
                <c:pt idx="169">
                  <c:v>4.2330868906469593E-12</c:v>
                </c:pt>
                <c:pt idx="170">
                  <c:v>4.2330868906469593E-12</c:v>
                </c:pt>
                <c:pt idx="171">
                  <c:v>4.2330868906469593E-12</c:v>
                </c:pt>
                <c:pt idx="172">
                  <c:v>4.2330868906469593E-12</c:v>
                </c:pt>
                <c:pt idx="173">
                  <c:v>4.2330868906469593E-12</c:v>
                </c:pt>
                <c:pt idx="174">
                  <c:v>4.2330868906469593E-12</c:v>
                </c:pt>
                <c:pt idx="175">
                  <c:v>4.2330868906469593E-12</c:v>
                </c:pt>
                <c:pt idx="176">
                  <c:v>4.2330868906469593E-12</c:v>
                </c:pt>
                <c:pt idx="177">
                  <c:v>4.2330868906469593E-12</c:v>
                </c:pt>
                <c:pt idx="178">
                  <c:v>4.2330868906469593E-12</c:v>
                </c:pt>
                <c:pt idx="179">
                  <c:v>4.2330868906469593E-12</c:v>
                </c:pt>
                <c:pt idx="180">
                  <c:v>4.2330868906469593E-12</c:v>
                </c:pt>
                <c:pt idx="181">
                  <c:v>4.2330868906469593E-12</c:v>
                </c:pt>
                <c:pt idx="182">
                  <c:v>4.2330868906469593E-12</c:v>
                </c:pt>
                <c:pt idx="183">
                  <c:v>4.2330868906469593E-12</c:v>
                </c:pt>
                <c:pt idx="184">
                  <c:v>4.2330868906469593E-12</c:v>
                </c:pt>
                <c:pt idx="185">
                  <c:v>4.2330868906469593E-12</c:v>
                </c:pt>
                <c:pt idx="186">
                  <c:v>4.2330868906469593E-12</c:v>
                </c:pt>
                <c:pt idx="187">
                  <c:v>4.2330868906469593E-12</c:v>
                </c:pt>
                <c:pt idx="188">
                  <c:v>4.2330868906469593E-12</c:v>
                </c:pt>
                <c:pt idx="189">
                  <c:v>4.2330868906469593E-12</c:v>
                </c:pt>
                <c:pt idx="190">
                  <c:v>4.2330868906469593E-12</c:v>
                </c:pt>
                <c:pt idx="191">
                  <c:v>4.2330868906469593E-12</c:v>
                </c:pt>
                <c:pt idx="192">
                  <c:v>4.2330868906469593E-12</c:v>
                </c:pt>
                <c:pt idx="193">
                  <c:v>4.2330868906469593E-12</c:v>
                </c:pt>
                <c:pt idx="194">
                  <c:v>4.2330868906469593E-12</c:v>
                </c:pt>
                <c:pt idx="195">
                  <c:v>4.2330868906469593E-12</c:v>
                </c:pt>
                <c:pt idx="196">
                  <c:v>4.2330868906469593E-12</c:v>
                </c:pt>
                <c:pt idx="197">
                  <c:v>4.2330868906469593E-12</c:v>
                </c:pt>
                <c:pt idx="198">
                  <c:v>4.2330868906469593E-12</c:v>
                </c:pt>
                <c:pt idx="199">
                  <c:v>4.2330868906469593E-12</c:v>
                </c:pt>
                <c:pt idx="200">
                  <c:v>4.2330868906469593E-12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2.574052909151487</c:v>
                </c:pt>
                <c:pt idx="2">
                  <c:v>3.2461281653882743</c:v>
                </c:pt>
                <c:pt idx="3">
                  <c:v>4.0943661844375043</c:v>
                </c:pt>
                <c:pt idx="4">
                  <c:v>5.1651119528221656</c:v>
                </c:pt>
                <c:pt idx="5">
                  <c:v>6.5169446661128978</c:v>
                </c:pt>
                <c:pt idx="6">
                  <c:v>8.2239175681987557</c:v>
                </c:pt>
                <c:pt idx="7">
                  <c:v>10.379658260168837</c:v>
                </c:pt>
                <c:pt idx="8">
                  <c:v>13.102558620551131</c:v>
                </c:pt>
                <c:pt idx="9">
                  <c:v>16.542344646784436</c:v>
                </c:pt>
                <c:pt idx="10">
                  <c:v>20.888394060285197</c:v>
                </c:pt>
                <c:pt idx="11">
                  <c:v>26.380267800949554</c:v>
                </c:pt>
                <c:pt idx="12">
                  <c:v>33.321046136009507</c:v>
                </c:pt>
                <c:pt idx="13">
                  <c:v>42.094218082254564</c:v>
                </c:pt>
                <c:pt idx="14">
                  <c:v>53.185073146122171</c:v>
                </c:pt>
                <c:pt idx="15">
                  <c:v>67.207798386934755</c:v>
                </c:pt>
                <c:pt idx="16">
                  <c:v>61.195253174133917</c:v>
                </c:pt>
                <c:pt idx="17">
                  <c:v>81.654071629220851</c:v>
                </c:pt>
                <c:pt idx="18">
                  <c:v>101.98231585945268</c:v>
                </c:pt>
                <c:pt idx="19">
                  <c:v>122.20987672882796</c:v>
                </c:pt>
                <c:pt idx="20">
                  <c:v>142.35583160682572</c:v>
                </c:pt>
                <c:pt idx="21">
                  <c:v>115.59337364680668</c:v>
                </c:pt>
                <c:pt idx="22">
                  <c:v>137.4997067322079</c:v>
                </c:pt>
                <c:pt idx="23">
                  <c:v>159.32196170762117</c:v>
                </c:pt>
                <c:pt idx="24">
                  <c:v>181.07329523604912</c:v>
                </c:pt>
                <c:pt idx="25">
                  <c:v>202.76343275622807</c:v>
                </c:pt>
                <c:pt idx="26">
                  <c:v>175.21027396812136</c:v>
                </c:pt>
                <c:pt idx="27">
                  <c:v>195.8838145879254</c:v>
                </c:pt>
                <c:pt idx="28">
                  <c:v>216.50666233809886</c:v>
                </c:pt>
                <c:pt idx="29">
                  <c:v>237.08432568129521</c:v>
                </c:pt>
                <c:pt idx="30">
                  <c:v>257.62127772428215</c:v>
                </c:pt>
                <c:pt idx="31">
                  <c:v>228.17257887218292</c:v>
                </c:pt>
                <c:pt idx="32">
                  <c:v>246.67306214732389</c:v>
                </c:pt>
                <c:pt idx="33">
                  <c:v>265.14204459810429</c:v>
                </c:pt>
                <c:pt idx="34">
                  <c:v>283.58202888251463</c:v>
                </c:pt>
                <c:pt idx="35">
                  <c:v>301.99516552771883</c:v>
                </c:pt>
                <c:pt idx="36">
                  <c:v>270.26707351328014</c:v>
                </c:pt>
                <c:pt idx="37">
                  <c:v>286.31154709420952</c:v>
                </c:pt>
                <c:pt idx="38">
                  <c:v>302.33590858145311</c:v>
                </c:pt>
                <c:pt idx="39">
                  <c:v>318.34137394785938</c:v>
                </c:pt>
                <c:pt idx="40">
                  <c:v>334.32902690172904</c:v>
                </c:pt>
                <c:pt idx="41">
                  <c:v>300.63210759978887</c:v>
                </c:pt>
                <c:pt idx="42">
                  <c:v>314.59704855401986</c:v>
                </c:pt>
                <c:pt idx="43">
                  <c:v>328.54825156463448</c:v>
                </c:pt>
                <c:pt idx="44">
                  <c:v>342.48638220302018</c:v>
                </c:pt>
                <c:pt idx="45">
                  <c:v>356.41204743833867</c:v>
                </c:pt>
                <c:pt idx="46">
                  <c:v>330.92884034916193</c:v>
                </c:pt>
                <c:pt idx="47">
                  <c:v>342.82617852900444</c:v>
                </c:pt>
                <c:pt idx="48">
                  <c:v>354.71444390147082</c:v>
                </c:pt>
                <c:pt idx="49">
                  <c:v>366.59398347144844</c:v>
                </c:pt>
                <c:pt idx="50">
                  <c:v>378.46511991321876</c:v>
                </c:pt>
                <c:pt idx="51">
                  <c:v>360.14615329066828</c:v>
                </c:pt>
                <c:pt idx="52">
                  <c:v>370.6650184301746</c:v>
                </c:pt>
                <c:pt idx="53">
                  <c:v>381.17737444442332</c:v>
                </c:pt>
                <c:pt idx="54">
                  <c:v>391.68342621612163</c:v>
                </c:pt>
                <c:pt idx="55">
                  <c:v>402.18336673633206</c:v>
                </c:pt>
                <c:pt idx="56">
                  <c:v>388.97277965128006</c:v>
                </c:pt>
                <c:pt idx="57">
                  <c:v>397.78089798901993</c:v>
                </c:pt>
                <c:pt idx="58">
                  <c:v>406.58479291095324</c:v>
                </c:pt>
                <c:pt idx="59">
                  <c:v>415.38456880992311</c:v>
                </c:pt>
                <c:pt idx="60">
                  <c:v>424.18032529272597</c:v>
                </c:pt>
                <c:pt idx="61">
                  <c:v>410.98518940455659</c:v>
                </c:pt>
                <c:pt idx="62">
                  <c:v>418.0913790215223</c:v>
                </c:pt>
                <c:pt idx="63">
                  <c:v>425.19496598542577</c:v>
                </c:pt>
                <c:pt idx="64">
                  <c:v>432.29599994035442</c:v>
                </c:pt>
                <c:pt idx="65">
                  <c:v>439.39452876533943</c:v>
                </c:pt>
                <c:pt idx="66">
                  <c:v>427.22409121469815</c:v>
                </c:pt>
                <c:pt idx="67">
                  <c:v>433.64829237194994</c:v>
                </c:pt>
                <c:pt idx="68">
                  <c:v>440.070450172959</c:v>
                </c:pt>
                <c:pt idx="69">
                  <c:v>446.49059866524129</c:v>
                </c:pt>
                <c:pt idx="70">
                  <c:v>452.90877083660661</c:v>
                </c:pt>
                <c:pt idx="71">
                  <c:v>441.76015637738465</c:v>
                </c:pt>
                <c:pt idx="72">
                  <c:v>447.5041248287875</c:v>
                </c:pt>
                <c:pt idx="73">
                  <c:v>453.24651523667291</c:v>
                </c:pt>
                <c:pt idx="74">
                  <c:v>458.98735042977302</c:v>
                </c:pt>
                <c:pt idx="75">
                  <c:v>464.72665261874414</c:v>
                </c:pt>
                <c:pt idx="76">
                  <c:v>454.59743907080389</c:v>
                </c:pt>
                <c:pt idx="77">
                  <c:v>459.66264159638718</c:v>
                </c:pt>
                <c:pt idx="78">
                  <c:v>464.72665261874414</c:v>
                </c:pt>
                <c:pt idx="79">
                  <c:v>469.78948696374727</c:v>
                </c:pt>
                <c:pt idx="80">
                  <c:v>474.85115911139525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10" zoomScale="90" zoomScaleNormal="90" workbookViewId="0">
      <selection activeCell="C26" sqref="C26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3.97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36</v>
      </c>
      <c r="C9" s="35">
        <v>0.33</v>
      </c>
      <c r="D9" s="36">
        <f t="shared" ref="D9:D18" si="0">C9*$C$5</f>
        <v>1.3101</v>
      </c>
      <c r="E9" s="37">
        <v>34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35</v>
      </c>
      <c r="C10" s="35">
        <v>0.24</v>
      </c>
      <c r="D10" s="36">
        <f t="shared" si="0"/>
        <v>0.95279999999999998</v>
      </c>
      <c r="E10" s="37">
        <v>82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164</v>
      </c>
      <c r="C11" s="35">
        <v>0.33</v>
      </c>
      <c r="D11" s="36">
        <f t="shared" si="0"/>
        <v>1.3101</v>
      </c>
      <c r="E11" s="37">
        <v>105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23</v>
      </c>
      <c r="C12" s="35">
        <v>0.1</v>
      </c>
      <c r="D12" s="36">
        <f t="shared" si="0"/>
        <v>0.39700000000000002</v>
      </c>
      <c r="E12" s="37">
        <v>80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1.0000000000000002</v>
      </c>
      <c r="D19" s="41">
        <f>SUM(D9:D18)</f>
        <v>3.9700000000000006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13</v>
      </c>
      <c r="B36" s="63">
        <v>101</v>
      </c>
      <c r="C36" s="63">
        <v>1</v>
      </c>
      <c r="D36" s="63">
        <v>28</v>
      </c>
      <c r="E36" s="54"/>
      <c r="F36" s="54"/>
      <c r="G36" s="54">
        <v>1</v>
      </c>
      <c r="H36" s="54"/>
      <c r="I36" s="52">
        <f>IFERROR(B36/A36,"")</f>
        <v>7.7692307692307692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18</v>
      </c>
      <c r="B37" s="63">
        <v>166</v>
      </c>
      <c r="C37" s="63">
        <v>2</v>
      </c>
      <c r="D37" s="63">
        <v>40</v>
      </c>
      <c r="E37" s="54">
        <v>0.25</v>
      </c>
      <c r="F37" s="54"/>
      <c r="G37" s="54">
        <v>0.75</v>
      </c>
      <c r="H37" s="54"/>
      <c r="I37" s="56">
        <f t="shared" ref="I37:I55" si="1">IF(A37&lt;&gt;0,(B37-(B36-D36))/(A37-A36),"")</f>
        <v>18.600000000000001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23</v>
      </c>
      <c r="B38" s="63">
        <v>215</v>
      </c>
      <c r="C38" s="63">
        <v>3</v>
      </c>
      <c r="D38" s="63">
        <v>52</v>
      </c>
      <c r="E38" s="54">
        <v>0.5</v>
      </c>
      <c r="F38" s="54"/>
      <c r="G38" s="54">
        <v>0.5</v>
      </c>
      <c r="H38" s="54"/>
      <c r="I38" s="56">
        <f t="shared" si="1"/>
        <v>17.8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30</v>
      </c>
      <c r="B39" s="63">
        <v>269</v>
      </c>
      <c r="C39" s="63">
        <v>4</v>
      </c>
      <c r="D39" s="63">
        <v>0</v>
      </c>
      <c r="E39" s="54">
        <v>0.6</v>
      </c>
      <c r="F39" s="54"/>
      <c r="G39" s="54">
        <v>0.4</v>
      </c>
      <c r="H39" s="54"/>
      <c r="I39" s="52">
        <f t="shared" si="1"/>
        <v>15.142857142857142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34</v>
      </c>
      <c r="B40" s="63">
        <v>325</v>
      </c>
      <c r="C40" s="63">
        <v>5</v>
      </c>
      <c r="D40" s="63">
        <v>325</v>
      </c>
      <c r="E40" s="54">
        <v>0.7</v>
      </c>
      <c r="F40" s="54"/>
      <c r="G40" s="54">
        <v>0.3</v>
      </c>
      <c r="H40" s="54"/>
      <c r="I40" s="52">
        <f t="shared" si="1"/>
        <v>14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Pin laricio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22</v>
      </c>
      <c r="B62" s="63">
        <v>123</v>
      </c>
      <c r="C62" s="63">
        <v>1</v>
      </c>
      <c r="D62" s="63">
        <v>16</v>
      </c>
      <c r="E62" s="54"/>
      <c r="F62" s="54"/>
      <c r="G62" s="54">
        <v>1</v>
      </c>
      <c r="H62" s="54"/>
      <c r="I62" s="56">
        <f>IFERROR(B62/A62,"")</f>
        <v>5.5909090909090908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25</v>
      </c>
      <c r="B63" s="63">
        <v>144</v>
      </c>
      <c r="C63" s="63">
        <v>2</v>
      </c>
      <c r="D63" s="63">
        <v>17</v>
      </c>
      <c r="E63" s="54">
        <v>0.25</v>
      </c>
      <c r="F63" s="54"/>
      <c r="G63" s="54">
        <v>0.75</v>
      </c>
      <c r="H63" s="54"/>
      <c r="I63" s="52">
        <f>IF(A63&lt;&gt;0,(B63-(B62-D62))/(A63-A62),"")</f>
        <v>12.333333333333334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30</v>
      </c>
      <c r="B64" s="63">
        <v>194</v>
      </c>
      <c r="C64" s="63">
        <v>3</v>
      </c>
      <c r="D64" s="63">
        <v>34</v>
      </c>
      <c r="E64" s="54">
        <v>0.5</v>
      </c>
      <c r="F64" s="54"/>
      <c r="G64" s="54">
        <v>0.5</v>
      </c>
      <c r="H64" s="54"/>
      <c r="I64" s="52">
        <f>IF(A64&lt;&gt;0,(B64-(B63-D63))/(A64-A63),"")</f>
        <v>13.4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35</v>
      </c>
      <c r="B65" s="63">
        <v>233</v>
      </c>
      <c r="C65" s="63">
        <v>4</v>
      </c>
      <c r="D65" s="63">
        <v>41</v>
      </c>
      <c r="E65" s="54"/>
      <c r="F65" s="54"/>
      <c r="G65" s="54"/>
      <c r="H65" s="54"/>
      <c r="I65" s="52">
        <f>IF(A65&lt;&gt;0,(B65-(B64-D64))/(A65-A64),"")</f>
        <v>14.6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40</v>
      </c>
      <c r="B66" s="63">
        <v>264</v>
      </c>
      <c r="C66" s="63">
        <v>5</v>
      </c>
      <c r="D66" s="63">
        <v>41</v>
      </c>
      <c r="E66" s="54"/>
      <c r="F66" s="54"/>
      <c r="G66" s="54"/>
      <c r="H66" s="54"/>
      <c r="I66" s="52">
        <f t="shared" ref="I66:I81" si="2">IF(A66&lt;&gt;0,(B66-(B65-D65))/(A66-A65),"")</f>
        <v>14.4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45</v>
      </c>
      <c r="B67" s="63">
        <v>306</v>
      </c>
      <c r="C67" s="63">
        <v>6</v>
      </c>
      <c r="D67" s="63">
        <v>53</v>
      </c>
      <c r="E67" s="54"/>
      <c r="F67" s="54"/>
      <c r="G67" s="54"/>
      <c r="H67" s="54"/>
      <c r="I67" s="52">
        <f t="shared" si="2"/>
        <v>16.600000000000001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50</v>
      </c>
      <c r="B68" s="63">
        <v>352</v>
      </c>
      <c r="C68" s="63">
        <v>7</v>
      </c>
      <c r="D68" s="63">
        <v>53</v>
      </c>
      <c r="E68" s="54"/>
      <c r="F68" s="54"/>
      <c r="G68" s="54"/>
      <c r="H68" s="54"/>
      <c r="I68" s="52">
        <f t="shared" si="2"/>
        <v>19.8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58</v>
      </c>
      <c r="B69" s="53">
        <v>440</v>
      </c>
      <c r="C69" s="53">
        <v>8</v>
      </c>
      <c r="D69" s="53">
        <v>78</v>
      </c>
      <c r="E69" s="54"/>
      <c r="F69" s="54"/>
      <c r="G69" s="54"/>
      <c r="H69" s="54"/>
      <c r="I69" s="52">
        <f t="shared" si="2"/>
        <v>17.625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66</v>
      </c>
      <c r="B70" s="53">
        <v>495</v>
      </c>
      <c r="C70" s="53">
        <v>9</v>
      </c>
      <c r="D70" s="53">
        <v>65</v>
      </c>
      <c r="E70" s="54"/>
      <c r="F70" s="54"/>
      <c r="G70" s="54"/>
      <c r="H70" s="54"/>
      <c r="I70" s="52">
        <f t="shared" si="2"/>
        <v>16.625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74</v>
      </c>
      <c r="B71" s="53">
        <v>533</v>
      </c>
      <c r="C71" s="53">
        <v>10</v>
      </c>
      <c r="D71" s="53">
        <v>37</v>
      </c>
      <c r="E71" s="54"/>
      <c r="F71" s="54"/>
      <c r="G71" s="54"/>
      <c r="H71" s="54"/>
      <c r="I71" s="52">
        <f t="shared" si="2"/>
        <v>12.875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82</v>
      </c>
      <c r="B72" s="53">
        <v>567</v>
      </c>
      <c r="C72" s="53">
        <v>11</v>
      </c>
      <c r="D72" s="53">
        <v>567</v>
      </c>
      <c r="E72" s="54"/>
      <c r="F72" s="54"/>
      <c r="G72" s="54"/>
      <c r="H72" s="54"/>
      <c r="I72" s="52">
        <f t="shared" si="2"/>
        <v>8.875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Cèdre de l'Atlas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30</v>
      </c>
      <c r="B88" s="63">
        <v>195</v>
      </c>
      <c r="C88" s="63">
        <v>1</v>
      </c>
      <c r="D88" s="63">
        <v>0</v>
      </c>
      <c r="E88" s="54">
        <v>0.7</v>
      </c>
      <c r="F88" s="54">
        <v>0.15</v>
      </c>
      <c r="G88" s="54">
        <v>0.15</v>
      </c>
      <c r="H88" s="93"/>
      <c r="I88" s="56">
        <f>IFERROR(B88/A88,"")</f>
        <v>6.5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35</v>
      </c>
      <c r="B89" s="63">
        <v>280</v>
      </c>
      <c r="C89" s="63">
        <v>2</v>
      </c>
      <c r="D89" s="63">
        <v>0</v>
      </c>
      <c r="E89" s="54"/>
      <c r="F89" s="54"/>
      <c r="G89" s="54"/>
      <c r="H89" s="93"/>
      <c r="I89" s="56">
        <f t="shared" ref="I89:I107" si="3">IF(A89&lt;&gt;0,(B89-(B88-D88))/(A89-A88),"")</f>
        <v>17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42</v>
      </c>
      <c r="B90" s="63">
        <v>417</v>
      </c>
      <c r="C90" s="63">
        <v>3</v>
      </c>
      <c r="D90" s="63">
        <v>182</v>
      </c>
      <c r="E90" s="93"/>
      <c r="F90" s="93"/>
      <c r="G90" s="93"/>
      <c r="H90" s="93"/>
      <c r="I90" s="56">
        <f t="shared" si="3"/>
        <v>19.571428571428573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43</v>
      </c>
      <c r="B91" s="63">
        <v>256</v>
      </c>
      <c r="C91" s="63">
        <v>4</v>
      </c>
      <c r="D91" s="63">
        <v>0</v>
      </c>
      <c r="E91" s="93"/>
      <c r="F91" s="93"/>
      <c r="G91" s="93"/>
      <c r="H91" s="93"/>
      <c r="I91" s="56">
        <f t="shared" si="3"/>
        <v>21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49</v>
      </c>
      <c r="B92" s="63">
        <v>361</v>
      </c>
      <c r="C92" s="63">
        <v>5</v>
      </c>
      <c r="D92" s="63">
        <v>100</v>
      </c>
      <c r="E92" s="93"/>
      <c r="F92" s="93"/>
      <c r="G92" s="93"/>
      <c r="H92" s="93"/>
      <c r="I92" s="56">
        <f t="shared" si="3"/>
        <v>17.5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50</v>
      </c>
      <c r="B93" s="63">
        <v>278</v>
      </c>
      <c r="C93" s="63">
        <v>6</v>
      </c>
      <c r="D93" s="63">
        <v>0</v>
      </c>
      <c r="E93" s="93"/>
      <c r="F93" s="93"/>
      <c r="G93" s="93"/>
      <c r="H93" s="93"/>
      <c r="I93" s="56">
        <f t="shared" si="3"/>
        <v>17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56</v>
      </c>
      <c r="B94" s="63">
        <v>380</v>
      </c>
      <c r="C94" s="63">
        <v>7</v>
      </c>
      <c r="D94" s="63">
        <v>79</v>
      </c>
      <c r="E94" s="93"/>
      <c r="F94" s="93"/>
      <c r="G94" s="93"/>
      <c r="H94" s="93"/>
      <c r="I94" s="56">
        <f t="shared" si="3"/>
        <v>17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>
        <v>57</v>
      </c>
      <c r="B95" s="63">
        <v>316</v>
      </c>
      <c r="C95" s="63">
        <v>8</v>
      </c>
      <c r="D95" s="63">
        <v>0</v>
      </c>
      <c r="E95" s="93"/>
      <c r="F95" s="93"/>
      <c r="G95" s="93"/>
      <c r="H95" s="93"/>
      <c r="I95" s="56">
        <f t="shared" si="3"/>
        <v>15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>
        <v>63</v>
      </c>
      <c r="B96" s="63">
        <v>416</v>
      </c>
      <c r="C96" s="63">
        <v>9</v>
      </c>
      <c r="D96" s="63">
        <v>79</v>
      </c>
      <c r="E96" s="93"/>
      <c r="F96" s="93"/>
      <c r="G96" s="93"/>
      <c r="H96" s="93"/>
      <c r="I96" s="56">
        <f t="shared" si="3"/>
        <v>16.666666666666668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>
        <v>64</v>
      </c>
      <c r="B97" s="63">
        <v>353</v>
      </c>
      <c r="C97" s="63">
        <v>10</v>
      </c>
      <c r="D97" s="63">
        <v>0</v>
      </c>
      <c r="E97" s="93"/>
      <c r="F97" s="93"/>
      <c r="G97" s="93"/>
      <c r="H97" s="93"/>
      <c r="I97" s="56">
        <f t="shared" si="3"/>
        <v>16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>
        <v>71</v>
      </c>
      <c r="B98" s="63">
        <v>466</v>
      </c>
      <c r="C98" s="63">
        <v>11</v>
      </c>
      <c r="D98" s="63">
        <v>91</v>
      </c>
      <c r="E98" s="93"/>
      <c r="F98" s="93"/>
      <c r="G98" s="93"/>
      <c r="H98" s="93"/>
      <c r="I98" s="56">
        <f t="shared" si="3"/>
        <v>16.142857142857142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>
        <v>72</v>
      </c>
      <c r="B99" s="63">
        <v>390</v>
      </c>
      <c r="C99" s="63">
        <v>12</v>
      </c>
      <c r="D99" s="63">
        <v>0</v>
      </c>
      <c r="E99" s="93"/>
      <c r="F99" s="93"/>
      <c r="G99" s="93"/>
      <c r="H99" s="93"/>
      <c r="I99" s="56">
        <f t="shared" si="3"/>
        <v>15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>
        <v>79</v>
      </c>
      <c r="B100" s="63">
        <v>496</v>
      </c>
      <c r="C100" s="63">
        <v>13</v>
      </c>
      <c r="D100" s="63">
        <v>88</v>
      </c>
      <c r="E100" s="68"/>
      <c r="F100" s="68"/>
      <c r="G100" s="68"/>
      <c r="H100" s="68"/>
      <c r="I100" s="56">
        <f t="shared" si="3"/>
        <v>15.142857142857142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>
        <v>80</v>
      </c>
      <c r="B101" s="63">
        <v>423</v>
      </c>
      <c r="C101" s="63">
        <v>14</v>
      </c>
      <c r="D101" s="63">
        <v>0</v>
      </c>
      <c r="E101" s="68"/>
      <c r="F101" s="68"/>
      <c r="G101" s="68"/>
      <c r="H101" s="68"/>
      <c r="I101" s="56">
        <f t="shared" si="3"/>
        <v>15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>
        <v>87</v>
      </c>
      <c r="B102" s="53">
        <v>522</v>
      </c>
      <c r="C102" s="63">
        <v>15</v>
      </c>
      <c r="D102" s="53">
        <v>89</v>
      </c>
      <c r="E102" s="57"/>
      <c r="F102" s="57"/>
      <c r="G102" s="57"/>
      <c r="H102" s="57"/>
      <c r="I102" s="56">
        <f t="shared" si="3"/>
        <v>14.142857142857142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>
        <v>88</v>
      </c>
      <c r="B103" s="53">
        <v>447</v>
      </c>
      <c r="C103" s="63">
        <v>16</v>
      </c>
      <c r="D103" s="53">
        <v>0</v>
      </c>
      <c r="E103" s="57"/>
      <c r="F103" s="57"/>
      <c r="G103" s="57"/>
      <c r="H103" s="57"/>
      <c r="I103" s="56">
        <f t="shared" si="3"/>
        <v>14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>
        <v>94</v>
      </c>
      <c r="B104" s="53">
        <v>525</v>
      </c>
      <c r="C104" s="63">
        <v>17</v>
      </c>
      <c r="D104" s="53">
        <v>0</v>
      </c>
      <c r="E104" s="57"/>
      <c r="F104" s="57"/>
      <c r="G104" s="57"/>
      <c r="H104" s="57"/>
      <c r="I104" s="56">
        <f t="shared" si="3"/>
        <v>13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>
        <v>95</v>
      </c>
      <c r="B105" s="53">
        <v>538</v>
      </c>
      <c r="C105" s="53">
        <v>18</v>
      </c>
      <c r="D105" s="53">
        <v>269</v>
      </c>
      <c r="E105" s="57"/>
      <c r="F105" s="57"/>
      <c r="G105" s="57"/>
      <c r="H105" s="57"/>
      <c r="I105" s="56">
        <f t="shared" si="3"/>
        <v>13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>
        <v>96</v>
      </c>
      <c r="B106" s="53">
        <v>280</v>
      </c>
      <c r="C106" s="53">
        <v>19</v>
      </c>
      <c r="D106" s="53">
        <v>0</v>
      </c>
      <c r="E106" s="57"/>
      <c r="F106" s="57"/>
      <c r="G106" s="57"/>
      <c r="H106" s="57"/>
      <c r="I106" s="56">
        <f t="shared" si="3"/>
        <v>11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>
        <v>105</v>
      </c>
      <c r="B107" s="53">
        <v>357</v>
      </c>
      <c r="C107" s="53">
        <v>20</v>
      </c>
      <c r="D107" s="53">
        <v>357</v>
      </c>
      <c r="E107" s="57"/>
      <c r="F107" s="57"/>
      <c r="G107" s="57"/>
      <c r="H107" s="57"/>
      <c r="I107" s="56">
        <f t="shared" si="3"/>
        <v>8.5555555555555554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Erable sycomore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15</v>
      </c>
      <c r="B114" s="63">
        <v>37</v>
      </c>
      <c r="C114" s="53">
        <v>1</v>
      </c>
      <c r="D114" s="63">
        <v>15</v>
      </c>
      <c r="E114" s="54"/>
      <c r="F114" s="54"/>
      <c r="G114" s="54"/>
      <c r="H114" s="54">
        <v>1</v>
      </c>
      <c r="I114" s="56">
        <f>IFERROR(B114/A114,"")</f>
        <v>2.4666666666666668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20</v>
      </c>
      <c r="B115" s="63">
        <v>80</v>
      </c>
      <c r="C115" s="53">
        <v>2</v>
      </c>
      <c r="D115" s="63">
        <v>28</v>
      </c>
      <c r="E115" s="54"/>
      <c r="F115" s="54"/>
      <c r="G115" s="54"/>
      <c r="H115" s="54">
        <v>1</v>
      </c>
      <c r="I115" s="56">
        <f t="shared" ref="I115:I133" si="4">IF(A115&lt;&gt;0,(B115-(B114-D114))/(A115-A114),"")</f>
        <v>11.6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25</v>
      </c>
      <c r="B116" s="63">
        <v>115</v>
      </c>
      <c r="C116" s="53">
        <v>3</v>
      </c>
      <c r="D116" s="63">
        <v>28</v>
      </c>
      <c r="E116" s="54">
        <v>0.2</v>
      </c>
      <c r="F116" s="54"/>
      <c r="G116" s="54"/>
      <c r="H116" s="54">
        <v>0.8</v>
      </c>
      <c r="I116" s="56">
        <f t="shared" si="4"/>
        <v>12.6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30</v>
      </c>
      <c r="B117" s="63">
        <v>147</v>
      </c>
      <c r="C117" s="53">
        <v>4</v>
      </c>
      <c r="D117" s="63">
        <v>28</v>
      </c>
      <c r="E117" s="54">
        <v>0.4</v>
      </c>
      <c r="F117" s="54"/>
      <c r="G117" s="54"/>
      <c r="H117" s="54">
        <v>0.6</v>
      </c>
      <c r="I117" s="56">
        <f t="shared" si="4"/>
        <v>12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35</v>
      </c>
      <c r="B118" s="63">
        <v>173</v>
      </c>
      <c r="C118" s="53">
        <v>5</v>
      </c>
      <c r="D118" s="63">
        <v>28</v>
      </c>
      <c r="E118" s="54"/>
      <c r="F118" s="54"/>
      <c r="G118" s="54"/>
      <c r="H118" s="54"/>
      <c r="I118" s="56">
        <f t="shared" si="4"/>
        <v>10.8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40</v>
      </c>
      <c r="B119" s="63">
        <v>192</v>
      </c>
      <c r="C119" s="53">
        <v>6</v>
      </c>
      <c r="D119" s="63">
        <v>28</v>
      </c>
      <c r="E119" s="54"/>
      <c r="F119" s="54"/>
      <c r="G119" s="54"/>
      <c r="H119" s="54"/>
      <c r="I119" s="56">
        <f t="shared" si="4"/>
        <v>9.4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>
        <v>45</v>
      </c>
      <c r="B120" s="63">
        <v>205</v>
      </c>
      <c r="C120" s="63">
        <v>7</v>
      </c>
      <c r="D120" s="63">
        <v>22</v>
      </c>
      <c r="E120" s="93"/>
      <c r="F120" s="93"/>
      <c r="G120" s="93"/>
      <c r="H120" s="93"/>
      <c r="I120" s="56">
        <f t="shared" si="4"/>
        <v>8.1999999999999993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>
        <v>50</v>
      </c>
      <c r="B121" s="63">
        <v>218</v>
      </c>
      <c r="C121" s="63">
        <v>8</v>
      </c>
      <c r="D121" s="63">
        <v>17</v>
      </c>
      <c r="E121" s="93"/>
      <c r="F121" s="93"/>
      <c r="G121" s="93"/>
      <c r="H121" s="93"/>
      <c r="I121" s="56">
        <f t="shared" si="4"/>
        <v>7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>
        <v>55</v>
      </c>
      <c r="B122" s="63">
        <v>232</v>
      </c>
      <c r="C122" s="63">
        <v>9</v>
      </c>
      <c r="D122" s="63">
        <v>13</v>
      </c>
      <c r="E122" s="93"/>
      <c r="F122" s="93"/>
      <c r="G122" s="93"/>
      <c r="H122" s="93"/>
      <c r="I122" s="56">
        <f t="shared" si="4"/>
        <v>6.2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>
        <v>60</v>
      </c>
      <c r="B123" s="63">
        <v>245</v>
      </c>
      <c r="C123" s="63">
        <v>10</v>
      </c>
      <c r="D123" s="63">
        <v>12</v>
      </c>
      <c r="E123" s="93"/>
      <c r="F123" s="93"/>
      <c r="G123" s="93"/>
      <c r="H123" s="93"/>
      <c r="I123" s="56">
        <f t="shared" si="4"/>
        <v>5.2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>
        <v>65</v>
      </c>
      <c r="B124" s="63">
        <v>254</v>
      </c>
      <c r="C124" s="63">
        <v>11</v>
      </c>
      <c r="D124" s="63">
        <v>11</v>
      </c>
      <c r="E124" s="93"/>
      <c r="F124" s="93"/>
      <c r="G124" s="93"/>
      <c r="H124" s="93"/>
      <c r="I124" s="56">
        <f t="shared" si="4"/>
        <v>4.2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>
        <v>70</v>
      </c>
      <c r="B125" s="63">
        <v>262</v>
      </c>
      <c r="C125" s="63">
        <v>12</v>
      </c>
      <c r="D125" s="63">
        <v>10</v>
      </c>
      <c r="E125" s="93"/>
      <c r="F125" s="93"/>
      <c r="G125" s="93"/>
      <c r="H125" s="93"/>
      <c r="I125" s="56">
        <f t="shared" si="4"/>
        <v>3.8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>
        <v>75</v>
      </c>
      <c r="B126" s="63">
        <v>269</v>
      </c>
      <c r="C126" s="63">
        <v>13</v>
      </c>
      <c r="D126" s="63">
        <v>9</v>
      </c>
      <c r="E126" s="68"/>
      <c r="F126" s="68"/>
      <c r="G126" s="68"/>
      <c r="H126" s="68"/>
      <c r="I126" s="56">
        <f t="shared" si="4"/>
        <v>3.4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>
        <v>80</v>
      </c>
      <c r="B127" s="63">
        <v>275</v>
      </c>
      <c r="C127" s="63">
        <v>14</v>
      </c>
      <c r="D127" s="63">
        <v>275</v>
      </c>
      <c r="E127" s="68"/>
      <c r="F127" s="68"/>
      <c r="G127" s="68"/>
      <c r="H127" s="68"/>
      <c r="I127" s="56">
        <f t="shared" si="4"/>
        <v>3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7" sqref="G17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Pin laricio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Cèdre de l'Atlas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Erable sycomore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153.59418465942997</v>
      </c>
      <c r="T3" s="62">
        <f>IF('Données projet'!E9&gt;30,$R$33-$H$33,LOOKUP('Données projet'!$E$9,$A$3:$A$203,R3:R203)-LOOKUP('Données projet'!$E$9,$A$3:$A$203,$H$3:$H$203))</f>
        <v>313.61727210988198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288.15107951401188</v>
      </c>
      <c r="AO3" s="62">
        <f>IF('Données projet'!E10&gt;30,$AM$33-$H$33,LOOKUP('Données projet'!$E$10,$A$3:$A$203,AM3:AM203)-LOOKUP('Données projet'!$E$10,$A$3:$A$203,$H$3:$H$203))</f>
        <v>217.57508587672368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221.07273841880755</v>
      </c>
      <c r="BJ3" s="62">
        <f>IF('Données projet'!E11&gt;30,$BH$33-$H$33,LOOKUP('Données projet'!$E$11,$A$3:$A$203,BH3:BH203)-LOOKUP('Données projet'!$E$11,$A$3:$A$203,$H$3:$H$203))</f>
        <v>164.23448598618114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293.33333333333331</v>
      </c>
      <c r="CD3" s="62">
        <f ca="1">AVERAGE(OFFSET($CC$3,0,0,'Données projet'!$E$12+1,1))-AVERAGE(OFFSET($H$3,0,0,'Données projet'!$E$12+1,1))</f>
        <v>219.2279518699109</v>
      </c>
      <c r="CE3" s="62">
        <f>IF('Données projet'!E12&gt;30,$CC$33-$H$33,LOOKUP('Données projet'!$E$12,$A$3:$A$203,CC3:CC203)-LOOKUP('Données projet'!$E$12,$A$3:$A$203,$H$3:$H$203))</f>
        <v>219.59799863414099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2">
        <f>IFERROR(EXP(-1.0587+0.8836*LN(C4)+0.284),0)</f>
        <v>0.26998241883213048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70">
        <f t="shared" ref="H4:H67" si="1">(B4+E4+F4)*44/12+(C4+D4)*0.475*44/12</f>
        <v>294.75450271279925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7.7692307692307692</v>
      </c>
      <c r="N4" s="14">
        <f>IF('Données projet'!$A$36&gt;35,N3+M4-V3,IF(A4&lt;'Données projet'!$A$36,$K$205^A4,IF(A4='Données projet'!$A$36,'Données projet'!$B$36,N3+M4-V3)))</f>
        <v>1.4261938757879591</v>
      </c>
      <c r="O4" s="14">
        <f>N4*VLOOKUP('Données projet'!$B$9,Paramètres!$A$1:$I$89,3,0)*VLOOKUP('Données projet'!$B$9,Paramètres!$A$1:$I$89,5,0)</f>
        <v>0.85286393772119951</v>
      </c>
      <c r="P4" s="14">
        <f>EXP(-1.0587+0.8836*LN(O4)+0.284)</f>
        <v>0.40038464441801103</v>
      </c>
      <c r="Q4" s="22">
        <f t="shared" ref="Q4:Q34" si="2">(O4+P4)*0.475*44/12</f>
        <v>2.1827412805591249</v>
      </c>
      <c r="R4" s="62">
        <f t="shared" si="0"/>
        <v>295.51607461389244</v>
      </c>
      <c r="S4" s="62">
        <f ca="1">AVERAGE(OFFSET($R$3,0,0,'Données projet'!$E$9+1,1))-AVERAGE(OFFSET($H$3,0,0,'Données projet'!$E$9+1,1))</f>
        <v>153.59418465942997</v>
      </c>
      <c r="T4" s="62">
        <f>$T$3</f>
        <v>313.61727210988198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5.5909090909090908</v>
      </c>
      <c r="AI4" s="14">
        <f>IF('Données projet'!$A$62&gt;35,AI3+AH4-AQ3,IF(A4&lt;'Données projet'!$A$62,$AF$205^A4,IF(A4='Données projet'!$A$62,'Données projet'!$B$62,AI3+AH4-AQ3)))</f>
        <v>1.244502252163008</v>
      </c>
      <c r="AJ4" s="14">
        <f>AI4*VLOOKUP('Données projet'!$B$10,Paramètres!$A$1:$I$89,3,0)*VLOOKUP('Données projet'!$B$10,Paramètres!$A$1:$I$89,5,0)</f>
        <v>0.74421234679347892</v>
      </c>
      <c r="AK4" s="14">
        <f>EXP(-1.0587+0.8836*LN(AJ4)+0.284)</f>
        <v>0.3549632728022305</v>
      </c>
      <c r="AL4" s="22">
        <f t="shared" ref="AL4:AL67" si="4">(AJ4+AK4)*0.475*44/12</f>
        <v>1.9143975374625271</v>
      </c>
      <c r="AM4" s="62">
        <f t="shared" ref="AM4:AM67" si="5">AL4+(AD4+AE4)*44/12</f>
        <v>295.24773087079586</v>
      </c>
      <c r="AN4" s="62">
        <f ca="1">AVERAGE(OFFSET($AM$3,0,0,'Données projet'!$E$10+1,1))-AVERAGE(OFFSET($H$3,0,0,'Données projet'!$E$10+1,1))</f>
        <v>288.15107951401188</v>
      </c>
      <c r="AO4" s="62">
        <f>$AO$3</f>
        <v>217.57508587672368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6.5</v>
      </c>
      <c r="BD4" s="13">
        <f>IF('Données projet'!$A$88&gt;35,BD3+BC4-BL3,IF(A4&lt;'Données projet'!$A$88,$BA$205^A4,IF(A4='Données projet'!$A$88,'Données projet'!$B$88,BD3+BC4-BL3)))</f>
        <v>1.1921598380198544</v>
      </c>
      <c r="BE4" s="14">
        <f>BD4*VLOOKUP('Données projet'!$B$11,Paramètres!$A$1:$I$89,3,0)*VLOOKUP('Données projet'!$B$11,Paramètres!$A$1:$I$89,5,0)</f>
        <v>0.55793080419329188</v>
      </c>
      <c r="BF4" s="14">
        <f>EXP(-1.0587+0.8836*LN(BE4)+0.284)</f>
        <v>0.27518860925423011</v>
      </c>
      <c r="BG4" s="22">
        <f t="shared" ref="BG4:BG67" si="7">(BE4+BF4)*0.475*44/12</f>
        <v>1.4510163117544339</v>
      </c>
      <c r="BH4" s="62">
        <f t="shared" ref="BH4:BH67" si="8">BG4+(AY4+AZ4)*44/12</f>
        <v>294.78434964508773</v>
      </c>
      <c r="BI4" s="62">
        <f ca="1">AVERAGE(OFFSET($BH$3,0,0,'Données projet'!$E$11+1,1))-AVERAGE(OFFSET($H$3,0,0,'Données projet'!$E$11+1,1))</f>
        <v>221.07273841880755</v>
      </c>
      <c r="BJ4" s="62">
        <f>$BJ$3</f>
        <v>164.23448598618114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2.4666666666666668</v>
      </c>
      <c r="BY4" s="13">
        <f>IF('Données projet'!$A$114&gt;35,BY3+BX4-CG3,IF(A4&lt;'Données projet'!$A$114,$BV$205^A4,IF(A4='Données projet'!$A$114,'Données projet'!$B$114,BY3+BX4-CG3)))</f>
        <v>1.2721747796233518</v>
      </c>
      <c r="BZ4" s="14">
        <f>BY4*VLOOKUP('Données projet'!$B$12,Paramètres!$A$1:$I$89,3,0)*VLOOKUP('Données projet'!$B$12,Paramètres!$A$1:$I$89,5,0)</f>
        <v>1.0121422546683387</v>
      </c>
      <c r="CA4" s="14">
        <f>EXP(-1.0587+0.8836*LN(BZ4)+0.284)</f>
        <v>0.46578286063395047</v>
      </c>
      <c r="CB4" s="22">
        <f t="shared" ref="CB4:CB67" si="10">(BZ4+CA4)*0.475*44/12</f>
        <v>2.574052909151487</v>
      </c>
      <c r="CC4" s="62">
        <f t="shared" ref="CC4:CC67" si="11">CB4+(BT4+BU4)*44/12</f>
        <v>295.90738624248479</v>
      </c>
      <c r="CD4" s="62">
        <f ca="1">AVERAGE(OFFSET($CC$3,0,0,'Données projet'!$E$12+1,1))-AVERAGE(OFFSET($H$3,0,0,'Données projet'!$E$12+1,1))</f>
        <v>219.2279518699109</v>
      </c>
      <c r="CE4" s="62">
        <f>$CE$3</f>
        <v>219.59799863414099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2">
        <f t="shared" ref="D5:D68" si="32">IFERROR(EXP(-1.0587+0.8836*LN(C5)+0.284),0)</f>
        <v>0.49811037558348636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70">
        <f t="shared" si="1"/>
        <v>296.10277557080786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7.7692307692307692</v>
      </c>
      <c r="N5" s="14">
        <f>IF('Données projet'!$A$36&gt;35,N4+M5-V4,IF(A5&lt;'Données projet'!$A$36,$K$205^A5,IF(A5='Données projet'!$A$36,'Données projet'!$B$36,N4+M5-V4)))</f>
        <v>2.0340289713350805</v>
      </c>
      <c r="O5" s="14">
        <f>N5*VLOOKUP('Données projet'!$B$9,Paramètres!$A$1:$I$89,3,0)*VLOOKUP('Données projet'!$B$9,Paramètres!$A$1:$I$89,5,0)</f>
        <v>1.2163493248583781</v>
      </c>
      <c r="P5" s="14">
        <f t="shared" ref="P5:P68" si="33">EXP(-1.0587+0.8836*LN(O5)+0.284)</f>
        <v>0.54791046443869817</v>
      </c>
      <c r="Q5" s="22">
        <f t="shared" si="2"/>
        <v>3.072752466359074</v>
      </c>
      <c r="R5" s="62">
        <f t="shared" si="0"/>
        <v>296.40608579969239</v>
      </c>
      <c r="S5" s="62">
        <f ca="1">AVERAGE(OFFSET($R$3,0,0,'Données projet'!$E$9+1,1))-AVERAGE(OFFSET($H$3,0,0,'Données projet'!$E$9+1,1))</f>
        <v>153.59418465942997</v>
      </c>
      <c r="T5" s="62">
        <f t="shared" ref="T5:T68" si="34">$T$3</f>
        <v>313.61727210988198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5.5909090909090908</v>
      </c>
      <c r="AI5" s="14">
        <f>IF('Données projet'!$A$62&gt;35,AI4+AH5-AQ4,IF(A5&lt;'Données projet'!$A$62,$AF$205^A5,IF(A5='Données projet'!$A$62,'Données projet'!$B$62,AI4+AH5-AQ4)))</f>
        <v>1.5487858556387992</v>
      </c>
      <c r="AJ5" s="14">
        <f>AI5*VLOOKUP('Données projet'!$B$10,Paramètres!$A$1:$I$89,3,0)*VLOOKUP('Données projet'!$B$10,Paramètres!$A$1:$I$89,5,0)</f>
        <v>0.92617394167200195</v>
      </c>
      <c r="AK5" s="14">
        <f t="shared" ref="AK5:AK68" si="35">EXP(-1.0587+0.8836*LN(AJ5)+0.284)</f>
        <v>0.43064718121421069</v>
      </c>
      <c r="AL5" s="22">
        <f t="shared" si="4"/>
        <v>2.3631301223601535</v>
      </c>
      <c r="AM5" s="62">
        <f t="shared" si="5"/>
        <v>295.69646345569345</v>
      </c>
      <c r="AN5" s="62">
        <f ca="1">AVERAGE(OFFSET($AM$3,0,0,'Données projet'!$E$10+1,1))-AVERAGE(OFFSET($H$3,0,0,'Données projet'!$E$10+1,1))</f>
        <v>288.15107951401188</v>
      </c>
      <c r="AO5" s="62">
        <f t="shared" ref="AO5:AO68" si="36">$AO$3</f>
        <v>217.57508587672368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6.5</v>
      </c>
      <c r="BD5" s="13">
        <f>IF('Données projet'!$A$88&gt;35,BD4+BC5-BL4,IF(A5&lt;'Données projet'!$A$88,$BA$205^A5,IF(A5='Données projet'!$A$88,'Données projet'!$B$88,BD4+BC5-BL4)))</f>
        <v>1.4212450793875253</v>
      </c>
      <c r="BE5" s="14">
        <f>BD5*VLOOKUP('Données projet'!$B$11,Paramètres!$A$1:$I$89,3,0)*VLOOKUP('Données projet'!$B$11,Paramètres!$A$1:$I$89,5,0)</f>
        <v>0.66514269715336183</v>
      </c>
      <c r="BF5" s="14">
        <f t="shared" ref="BF5:BF68" si="37">EXP(-1.0587+0.8836*LN(BE5)+0.284)</f>
        <v>0.3214249656415451</v>
      </c>
      <c r="BG5" s="22">
        <f t="shared" si="7"/>
        <v>1.7182720127011295</v>
      </c>
      <c r="BH5" s="62">
        <f t="shared" si="8"/>
        <v>295.05160534603442</v>
      </c>
      <c r="BI5" s="62">
        <f ca="1">AVERAGE(OFFSET($BH$3,0,0,'Données projet'!$E$11+1,1))-AVERAGE(OFFSET($H$3,0,0,'Données projet'!$E$11+1,1))</f>
        <v>221.07273841880755</v>
      </c>
      <c r="BJ5" s="62">
        <f t="shared" ref="BJ5:BJ68" si="38">$BJ$3</f>
        <v>164.23448598618114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2.4666666666666668</v>
      </c>
      <c r="BY5" s="13">
        <f>IF('Données projet'!$A$114&gt;35,BY4+BX5-CG4,IF(A5&lt;'Données projet'!$A$114,$BV$205^A5,IF(A5='Données projet'!$A$114,'Données projet'!$B$114,BY4+BX5-CG4)))</f>
        <v>1.6184286699097237</v>
      </c>
      <c r="BZ5" s="14">
        <f>BY5*VLOOKUP('Données projet'!$B$12,Paramètres!$A$1:$I$89,3,0)*VLOOKUP('Données projet'!$B$12,Paramètres!$A$1:$I$89,5,0)</f>
        <v>1.2876218497801761</v>
      </c>
      <c r="CA5" s="14">
        <f t="shared" ref="CA5:CA68" si="39">EXP(-1.0587+0.8836*LN(BZ5)+0.284)</f>
        <v>0.57618379541883336</v>
      </c>
      <c r="CB5" s="22">
        <f t="shared" si="10"/>
        <v>3.2461281653882743</v>
      </c>
      <c r="CC5" s="62">
        <f t="shared" si="11"/>
        <v>296.57946149872157</v>
      </c>
      <c r="CD5" s="62">
        <f ca="1">AVERAGE(OFFSET($CC$3,0,0,'Données projet'!$E$12+1,1))-AVERAGE(OFFSET($H$3,0,0,'Données projet'!$E$12+1,1))</f>
        <v>219.2279518699109</v>
      </c>
      <c r="CE5" s="62">
        <f t="shared" ref="CE5:CE68" si="40">$CE$3</f>
        <v>219.59799863414099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2">
        <f t="shared" si="32"/>
        <v>0.71272144204532062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70">
        <f t="shared" si="1"/>
        <v>297.42750651156223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7.7692307692307692</v>
      </c>
      <c r="N6" s="14">
        <f>IF('Données projet'!$A$36&gt;35,N5+M6-V5,IF(A6&lt;'Données projet'!$A$36,$K$205^A6,IF(A6='Données projet'!$A$36,'Données projet'!$B$36,N5+M6-V5)))</f>
        <v>2.9009196620933739</v>
      </c>
      <c r="O6" s="14">
        <f>N6*VLOOKUP('Données projet'!$B$9,Paramètres!$A$1:$I$89,3,0)*VLOOKUP('Données projet'!$B$9,Paramètres!$A$1:$I$89,5,0)</f>
        <v>1.7347499579318377</v>
      </c>
      <c r="P6" s="14">
        <f t="shared" si="33"/>
        <v>0.74979368271678282</v>
      </c>
      <c r="Q6" s="22">
        <f t="shared" si="2"/>
        <v>4.3272468407963478</v>
      </c>
      <c r="R6" s="62">
        <f t="shared" si="0"/>
        <v>297.66058017412968</v>
      </c>
      <c r="S6" s="62">
        <f ca="1">AVERAGE(OFFSET($R$3,0,0,'Données projet'!$E$9+1,1))-AVERAGE(OFFSET($H$3,0,0,'Données projet'!$E$9+1,1))</f>
        <v>153.59418465942997</v>
      </c>
      <c r="T6" s="62">
        <f t="shared" si="34"/>
        <v>313.61727210988198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5.5909090909090908</v>
      </c>
      <c r="AI6" s="14">
        <f>IF('Données projet'!$A$62&gt;35,AI5+AH6-AQ5,IF(A6&lt;'Données projet'!$A$62,$AF$205^A6,IF(A6='Données projet'!$A$62,'Données projet'!$B$62,AI5+AH6-AQ5)))</f>
        <v>1.927467485460697</v>
      </c>
      <c r="AJ6" s="14">
        <f>AI6*VLOOKUP('Données projet'!$B$10,Paramètres!$A$1:$I$89,3,0)*VLOOKUP('Données projet'!$B$10,Paramètres!$A$1:$I$89,5,0)</f>
        <v>1.152625556305497</v>
      </c>
      <c r="AK6" s="14">
        <f t="shared" si="35"/>
        <v>0.52246812247269758</v>
      </c>
      <c r="AL6" s="22">
        <f t="shared" si="4"/>
        <v>2.9174548238720219</v>
      </c>
      <c r="AM6" s="62">
        <f t="shared" si="5"/>
        <v>296.25078815720536</v>
      </c>
      <c r="AN6" s="62">
        <f ca="1">AVERAGE(OFFSET($AM$3,0,0,'Données projet'!$E$10+1,1))-AVERAGE(OFFSET($H$3,0,0,'Données projet'!$E$10+1,1))</f>
        <v>288.15107951401188</v>
      </c>
      <c r="AO6" s="62">
        <f t="shared" si="36"/>
        <v>217.57508587672368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6.5</v>
      </c>
      <c r="BD6" s="13">
        <f>IF('Données projet'!$A$88&gt;35,BD5+BC6-BL5,IF(A6&lt;'Données projet'!$A$88,$BA$205^A6,IF(A6='Données projet'!$A$88,'Données projet'!$B$88,BD5+BC6-BL5)))</f>
        <v>1.6943513036291473</v>
      </c>
      <c r="BE6" s="14">
        <f>BD6*VLOOKUP('Données projet'!$B$11,Paramètres!$A$1:$I$89,3,0)*VLOOKUP('Données projet'!$B$11,Paramètres!$A$1:$I$89,5,0)</f>
        <v>0.79295641009844098</v>
      </c>
      <c r="BF6" s="14">
        <f t="shared" si="37"/>
        <v>0.37542981454665864</v>
      </c>
      <c r="BG6" s="22">
        <f t="shared" si="7"/>
        <v>2.0349393412568815</v>
      </c>
      <c r="BH6" s="62">
        <f t="shared" si="8"/>
        <v>295.36827267459017</v>
      </c>
      <c r="BI6" s="62">
        <f ca="1">AVERAGE(OFFSET($BH$3,0,0,'Données projet'!$E$11+1,1))-AVERAGE(OFFSET($H$3,0,0,'Données projet'!$E$11+1,1))</f>
        <v>221.07273841880755</v>
      </c>
      <c r="BJ6" s="62">
        <f t="shared" si="38"/>
        <v>164.23448598618114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2.4666666666666668</v>
      </c>
      <c r="BY6" s="13">
        <f>IF('Données projet'!$A$114&gt;35,BY5+BX6-CG5,IF(A6&lt;'Données projet'!$A$114,$BV$205^A6,IF(A6='Données projet'!$A$114,'Données projet'!$B$114,BY5+BX6-CG5)))</f>
        <v>2.0589241364785171</v>
      </c>
      <c r="BZ6" s="14">
        <f>BY6*VLOOKUP('Données projet'!$B$12,Paramètres!$A$1:$I$89,3,0)*VLOOKUP('Données projet'!$B$12,Paramètres!$A$1:$I$89,5,0)</f>
        <v>1.6380800429823084</v>
      </c>
      <c r="CA6" s="14">
        <f t="shared" si="39"/>
        <v>0.71275221602487127</v>
      </c>
      <c r="CB6" s="22">
        <f t="shared" si="10"/>
        <v>4.0943661844375043</v>
      </c>
      <c r="CC6" s="62">
        <f t="shared" si="11"/>
        <v>297.4276995177708</v>
      </c>
      <c r="CD6" s="62">
        <f ca="1">AVERAGE(OFFSET($CC$3,0,0,'Données projet'!$E$12+1,1))-AVERAGE(OFFSET($H$3,0,0,'Données projet'!$E$12+1,1))</f>
        <v>219.2279518699109</v>
      </c>
      <c r="CE6" s="62">
        <f t="shared" si="40"/>
        <v>219.59799863414099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2">
        <f t="shared" si="32"/>
        <v>0.91900038282935004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70">
        <f t="shared" si="1"/>
        <v>298.73772566676109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7.7692307692307692</v>
      </c>
      <c r="N7" s="14">
        <f>IF('Données projet'!$A$36&gt;35,N6+M7-V6,IF(A7&lt;'Données projet'!$A$36,$K$205^A7,IF(A7='Données projet'!$A$36,'Données projet'!$B$36,N6+M7-V6)))</f>
        <v>4.1372738562304461</v>
      </c>
      <c r="O7" s="14">
        <f>N7*VLOOKUP('Données projet'!$B$9,Paramètres!$A$1:$I$89,3,0)*VLOOKUP('Données projet'!$B$9,Paramètres!$A$1:$I$89,5,0)</f>
        <v>2.474089766025807</v>
      </c>
      <c r="P7" s="14">
        <f t="shared" si="33"/>
        <v>1.0260628389675426</v>
      </c>
      <c r="Q7" s="22">
        <f t="shared" si="2"/>
        <v>6.0960991203634167</v>
      </c>
      <c r="R7" s="62">
        <f t="shared" si="0"/>
        <v>299.42943245369673</v>
      </c>
      <c r="S7" s="62">
        <f ca="1">AVERAGE(OFFSET($R$3,0,0,'Données projet'!$E$9+1,1))-AVERAGE(OFFSET($H$3,0,0,'Données projet'!$E$9+1,1))</f>
        <v>153.59418465942997</v>
      </c>
      <c r="T7" s="62">
        <f t="shared" si="34"/>
        <v>313.61727210988198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5.5909090909090908</v>
      </c>
      <c r="AI7" s="14">
        <f>IF('Données projet'!$A$62&gt;35,AI6+AH7-AQ6,IF(A7&lt;'Données projet'!$A$62,$AF$205^A7,IF(A7='Données projet'!$A$62,'Données projet'!$B$62,AI6+AH7-AQ6)))</f>
        <v>2.3987376266268075</v>
      </c>
      <c r="AJ7" s="14">
        <f>AI7*VLOOKUP('Données projet'!$B$10,Paramètres!$A$1:$I$89,3,0)*VLOOKUP('Données projet'!$B$10,Paramètres!$A$1:$I$89,5,0)</f>
        <v>1.4344451007228309</v>
      </c>
      <c r="AK7" s="14">
        <f t="shared" si="35"/>
        <v>0.63386677286612625</v>
      </c>
      <c r="AL7" s="22">
        <f t="shared" si="4"/>
        <v>3.6023098465007668</v>
      </c>
      <c r="AM7" s="62">
        <f t="shared" si="5"/>
        <v>296.93564317983407</v>
      </c>
      <c r="AN7" s="62">
        <f ca="1">AVERAGE(OFFSET($AM$3,0,0,'Données projet'!$E$10+1,1))-AVERAGE(OFFSET($H$3,0,0,'Données projet'!$E$10+1,1))</f>
        <v>288.15107951401188</v>
      </c>
      <c r="AO7" s="62">
        <f t="shared" si="36"/>
        <v>217.57508587672368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6.5</v>
      </c>
      <c r="BD7" s="13">
        <f>IF('Données projet'!$A$88&gt;35,BD6+BC7-BL6,IF(A7&lt;'Données projet'!$A$88,$BA$205^A7,IF(A7='Données projet'!$A$88,'Données projet'!$B$88,BD6+BC7-BL6)))</f>
        <v>2.0199375756832532</v>
      </c>
      <c r="BE7" s="14">
        <f>BD7*VLOOKUP('Données projet'!$B$11,Paramètres!$A$1:$I$89,3,0)*VLOOKUP('Données projet'!$B$11,Paramètres!$A$1:$I$89,5,0)</f>
        <v>0.94533078541976245</v>
      </c>
      <c r="BF7" s="14">
        <f t="shared" si="37"/>
        <v>0.43850839454619067</v>
      </c>
      <c r="BG7" s="22">
        <f t="shared" si="7"/>
        <v>2.4101865717740352</v>
      </c>
      <c r="BH7" s="62">
        <f t="shared" si="8"/>
        <v>295.74351990510735</v>
      </c>
      <c r="BI7" s="62">
        <f ca="1">AVERAGE(OFFSET($BH$3,0,0,'Données projet'!$E$11+1,1))-AVERAGE(OFFSET($H$3,0,0,'Données projet'!$E$11+1,1))</f>
        <v>221.07273841880755</v>
      </c>
      <c r="BJ7" s="62">
        <f t="shared" si="38"/>
        <v>164.23448598618114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2.4666666666666668</v>
      </c>
      <c r="BY7" s="13">
        <f>IF('Données projet'!$A$114&gt;35,BY6+BX7-CG6,IF(A7&lt;'Données projet'!$A$114,$BV$205^A7,IF(A7='Données projet'!$A$114,'Données projet'!$B$114,BY6+BX7-CG6)))</f>
        <v>2.6193113595857573</v>
      </c>
      <c r="BZ7" s="14">
        <f>BY7*VLOOKUP('Données projet'!$B$12,Paramètres!$A$1:$I$89,3,0)*VLOOKUP('Données projet'!$B$12,Paramètres!$A$1:$I$89,5,0)</f>
        <v>2.0839241176864287</v>
      </c>
      <c r="CA7" s="14">
        <f t="shared" si="39"/>
        <v>0.88169040068036508</v>
      </c>
      <c r="CB7" s="22">
        <f t="shared" si="10"/>
        <v>5.1651119528221656</v>
      </c>
      <c r="CC7" s="62">
        <f t="shared" si="11"/>
        <v>298.49844528615546</v>
      </c>
      <c r="CD7" s="62">
        <f ca="1">AVERAGE(OFFSET($CC$3,0,0,'Données projet'!$E$12+1,1))-AVERAGE(OFFSET($H$3,0,0,'Données projet'!$E$12+1,1))</f>
        <v>219.2279518699109</v>
      </c>
      <c r="CE7" s="62">
        <f t="shared" si="40"/>
        <v>219.59799863414099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2">
        <f t="shared" si="32"/>
        <v>1.1192971032254277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70">
        <f t="shared" si="1"/>
        <v>300.03752578811759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7.7692307692307692</v>
      </c>
      <c r="N8" s="14">
        <f>IF('Données projet'!$A$36&gt;35,N7+M8-V7,IF(A8&lt;'Données projet'!$A$36,$K$205^A8,IF(A8='Données projet'!$A$36,'Données projet'!$B$36,N7+M8-V7)))</f>
        <v>5.9005546362134957</v>
      </c>
      <c r="O8" s="14">
        <f>N8*VLOOKUP('Données projet'!$B$9,Paramètres!$A$1:$I$89,3,0)*VLOOKUP('Données projet'!$B$9,Paramètres!$A$1:$I$89,5,0)</f>
        <v>3.5285316724556708</v>
      </c>
      <c r="P8" s="14">
        <f t="shared" si="33"/>
        <v>1.404126193348852</v>
      </c>
      <c r="Q8" s="22">
        <f t="shared" si="2"/>
        <v>8.5910457829428761</v>
      </c>
      <c r="R8" s="62">
        <f t="shared" si="0"/>
        <v>301.92437911627621</v>
      </c>
      <c r="S8" s="62">
        <f ca="1">AVERAGE(OFFSET($R$3,0,0,'Données projet'!$E$9+1,1))-AVERAGE(OFFSET($H$3,0,0,'Données projet'!$E$9+1,1))</f>
        <v>153.59418465942997</v>
      </c>
      <c r="T8" s="62">
        <f t="shared" si="34"/>
        <v>313.61727210988198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5.5909090909090908</v>
      </c>
      <c r="AI8" s="14">
        <f>IF('Données projet'!$A$62&gt;35,AI7+AH8-AQ7,IF(A8&lt;'Données projet'!$A$62,$AF$205^A8,IF(A8='Données projet'!$A$62,'Données projet'!$B$62,AI7+AH8-AQ7)))</f>
        <v>2.9852343786852105</v>
      </c>
      <c r="AJ8" s="14">
        <f>AI8*VLOOKUP('Données projet'!$B$10,Paramètres!$A$1:$I$89,3,0)*VLOOKUP('Données projet'!$B$10,Paramètres!$A$1:$I$89,5,0)</f>
        <v>1.785170158453756</v>
      </c>
      <c r="AK8" s="14">
        <f t="shared" si="35"/>
        <v>0.7690174164926461</v>
      </c>
      <c r="AL8" s="22">
        <f t="shared" si="4"/>
        <v>4.4485433596983173</v>
      </c>
      <c r="AM8" s="62">
        <f t="shared" si="5"/>
        <v>297.78187669303162</v>
      </c>
      <c r="AN8" s="62">
        <f ca="1">AVERAGE(OFFSET($AM$3,0,0,'Données projet'!$E$10+1,1))-AVERAGE(OFFSET($H$3,0,0,'Données projet'!$E$10+1,1))</f>
        <v>288.15107951401188</v>
      </c>
      <c r="AO8" s="62">
        <f t="shared" si="36"/>
        <v>217.57508587672368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6.5</v>
      </c>
      <c r="BD8" s="13">
        <f>IF('Données projet'!$A$88&gt;35,BD7+BC8-BL7,IF(A8&lt;'Données projet'!$A$88,$BA$205^A8,IF(A8='Données projet'!$A$88,'Données projet'!$B$88,BD7+BC8-BL7)))</f>
        <v>2.4080884530367643</v>
      </c>
      <c r="BE8" s="14">
        <f>BD8*VLOOKUP('Données projet'!$B$11,Paramètres!$A$1:$I$89,3,0)*VLOOKUP('Données projet'!$B$11,Paramètres!$A$1:$I$89,5,0)</f>
        <v>1.1269853960212057</v>
      </c>
      <c r="BF8" s="14">
        <f t="shared" si="37"/>
        <v>0.51218524644792107</v>
      </c>
      <c r="BG8" s="22">
        <f t="shared" si="7"/>
        <v>2.8548888689670626</v>
      </c>
      <c r="BH8" s="62">
        <f t="shared" si="8"/>
        <v>296.18822220230038</v>
      </c>
      <c r="BI8" s="62">
        <f ca="1">AVERAGE(OFFSET($BH$3,0,0,'Données projet'!$E$11+1,1))-AVERAGE(OFFSET($H$3,0,0,'Données projet'!$E$11+1,1))</f>
        <v>221.07273841880755</v>
      </c>
      <c r="BJ8" s="62">
        <f t="shared" si="38"/>
        <v>164.23448598618114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2.4666666666666668</v>
      </c>
      <c r="BY8" s="13">
        <f>IF('Données projet'!$A$114&gt;35,BY7+BX8-CG7,IF(A8&lt;'Données projet'!$A$114,$BV$205^A8,IF(A8='Données projet'!$A$114,'Données projet'!$B$114,BY7+BX8-CG7)))</f>
        <v>3.332221851645953</v>
      </c>
      <c r="BZ8" s="14">
        <f>BY8*VLOOKUP('Données projet'!$B$12,Paramètres!$A$1:$I$89,3,0)*VLOOKUP('Données projet'!$B$12,Paramètres!$A$1:$I$89,5,0)</f>
        <v>2.6511157051695204</v>
      </c>
      <c r="CA8" s="14">
        <f t="shared" si="39"/>
        <v>1.0906707059957799</v>
      </c>
      <c r="CB8" s="22">
        <f t="shared" si="10"/>
        <v>6.5169446661128978</v>
      </c>
      <c r="CC8" s="62">
        <f t="shared" si="11"/>
        <v>299.85027799944623</v>
      </c>
      <c r="CD8" s="62">
        <f ca="1">AVERAGE(OFFSET($CC$3,0,0,'Données projet'!$E$12+1,1))-AVERAGE(OFFSET($H$3,0,0,'Données projet'!$E$12+1,1))</f>
        <v>219.2279518699109</v>
      </c>
      <c r="CE8" s="62">
        <f t="shared" si="40"/>
        <v>219.59799863414099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2">
        <f t="shared" si="32"/>
        <v>1.3149520873221716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70">
        <f t="shared" si="1"/>
        <v>301.3292415520861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7.7692307692307692</v>
      </c>
      <c r="N9" s="14">
        <f>IF('Données projet'!$A$36&gt;35,N8+M9-V8,IF(A9&lt;'Données projet'!$A$36,$K$205^A9,IF(A9='Données projet'!$A$36,'Données projet'!$B$36,N8+M9-V8)))</f>
        <v>8.4153348859199362</v>
      </c>
      <c r="O9" s="14">
        <f>N9*VLOOKUP('Données projet'!$B$9,Paramètres!$A$1:$I$89,3,0)*VLOOKUP('Données projet'!$B$9,Paramètres!$A$1:$I$89,5,0)</f>
        <v>5.0323702617801223</v>
      </c>
      <c r="P9" s="14">
        <f t="shared" si="33"/>
        <v>1.9214908599868947</v>
      </c>
      <c r="Q9" s="22">
        <f t="shared" si="2"/>
        <v>12.111308120410888</v>
      </c>
      <c r="R9" s="62">
        <f t="shared" si="0"/>
        <v>305.44464145374423</v>
      </c>
      <c r="S9" s="62">
        <f ca="1">AVERAGE(OFFSET($R$3,0,0,'Données projet'!$E$9+1,1))-AVERAGE(OFFSET($H$3,0,0,'Données projet'!$E$9+1,1))</f>
        <v>153.59418465942997</v>
      </c>
      <c r="T9" s="62">
        <f t="shared" si="34"/>
        <v>313.61727210988198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5.5909090909090908</v>
      </c>
      <c r="AI9" s="14">
        <f>IF('Données projet'!$A$62&gt;35,AI8+AH9-AQ8,IF(A9&lt;'Données projet'!$A$62,$AF$205^A9,IF(A9='Données projet'!$A$62,'Données projet'!$B$62,AI8+AH9-AQ8)))</f>
        <v>3.7151309075081826</v>
      </c>
      <c r="AJ9" s="14">
        <f>AI9*VLOOKUP('Données projet'!$B$10,Paramètres!$A$1:$I$89,3,0)*VLOOKUP('Données projet'!$B$10,Paramètres!$A$1:$I$89,5,0)</f>
        <v>2.2216482826898933</v>
      </c>
      <c r="AK9" s="14">
        <f t="shared" si="35"/>
        <v>0.93298436230530435</v>
      </c>
      <c r="AL9" s="22">
        <f t="shared" si="4"/>
        <v>5.4943185233666361</v>
      </c>
      <c r="AM9" s="62">
        <f t="shared" si="5"/>
        <v>298.82765185669996</v>
      </c>
      <c r="AN9" s="62">
        <f ca="1">AVERAGE(OFFSET($AM$3,0,0,'Données projet'!$E$10+1,1))-AVERAGE(OFFSET($H$3,0,0,'Données projet'!$E$10+1,1))</f>
        <v>288.15107951401188</v>
      </c>
      <c r="AO9" s="62">
        <f t="shared" si="36"/>
        <v>217.57508587672368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6.5</v>
      </c>
      <c r="BD9" s="13">
        <f>IF('Données projet'!$A$88&gt;35,BD8+BC9-BL8,IF(A9&lt;'Données projet'!$A$88,$BA$205^A9,IF(A9='Données projet'!$A$88,'Données projet'!$B$88,BD8+BC9-BL8)))</f>
        <v>2.8708263401097907</v>
      </c>
      <c r="BE9" s="14">
        <f>BD9*VLOOKUP('Données projet'!$B$11,Paramètres!$A$1:$I$89,3,0)*VLOOKUP('Données projet'!$B$11,Paramètres!$A$1:$I$89,5,0)</f>
        <v>1.3435467271713821</v>
      </c>
      <c r="BF9" s="14">
        <f t="shared" si="37"/>
        <v>0.59824105978724762</v>
      </c>
      <c r="BG9" s="22">
        <f t="shared" si="7"/>
        <v>3.3819470622862799</v>
      </c>
      <c r="BH9" s="62">
        <f t="shared" si="8"/>
        <v>296.71528039561957</v>
      </c>
      <c r="BI9" s="62">
        <f ca="1">AVERAGE(OFFSET($BH$3,0,0,'Données projet'!$E$11+1,1))-AVERAGE(OFFSET($H$3,0,0,'Données projet'!$E$11+1,1))</f>
        <v>221.07273841880755</v>
      </c>
      <c r="BJ9" s="62">
        <f t="shared" si="38"/>
        <v>164.23448598618114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2.4666666666666668</v>
      </c>
      <c r="BY9" s="13">
        <f>IF('Données projet'!$A$114&gt;35,BY8+BX9-CG8,IF(A9&lt;'Données projet'!$A$114,$BV$205^A9,IF(A9='Données projet'!$A$114,'Données projet'!$B$114,BY8+BX9-CG8)))</f>
        <v>4.2391685997738069</v>
      </c>
      <c r="BZ9" s="14">
        <f>BY9*VLOOKUP('Données projet'!$B$12,Paramètres!$A$1:$I$89,3,0)*VLOOKUP('Données projet'!$B$12,Paramètres!$A$1:$I$89,5,0)</f>
        <v>3.3726825379800407</v>
      </c>
      <c r="CA9" s="14">
        <f t="shared" si="39"/>
        <v>1.3491840083541735</v>
      </c>
      <c r="CB9" s="22">
        <f t="shared" si="10"/>
        <v>8.2239175681987557</v>
      </c>
      <c r="CC9" s="62">
        <f t="shared" si="11"/>
        <v>301.55725090153209</v>
      </c>
      <c r="CD9" s="62">
        <f ca="1">AVERAGE(OFFSET($CC$3,0,0,'Données projet'!$E$12+1,1))-AVERAGE(OFFSET($H$3,0,0,'Données projet'!$E$12+1,1))</f>
        <v>219.2279518699109</v>
      </c>
      <c r="CE9" s="62">
        <f t="shared" si="40"/>
        <v>219.59799863414099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2">
        <f t="shared" si="32"/>
        <v>1.5068294933809407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70">
        <f t="shared" si="1"/>
        <v>302.6143780343051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7.7692307692307692</v>
      </c>
      <c r="N10" s="14">
        <f>IF('Données projet'!$A$36&gt;35,N9+M10-V9,IF(A10&lt;'Données projet'!$A$36,$K$205^A10,IF(A10='Données projet'!$A$36,'Données projet'!$B$36,N9+M10-V9)))</f>
        <v>12.001899077003776</v>
      </c>
      <c r="O10" s="14">
        <f>N10*VLOOKUP('Données projet'!$B$9,Paramètres!$A$1:$I$89,3,0)*VLOOKUP('Données projet'!$B$9,Paramètres!$A$1:$I$89,5,0)</f>
        <v>7.1771356480482584</v>
      </c>
      <c r="P10" s="14">
        <f t="shared" si="33"/>
        <v>2.6294838330787229</v>
      </c>
      <c r="Q10" s="22">
        <f t="shared" si="2"/>
        <v>17.079862262962827</v>
      </c>
      <c r="R10" s="62">
        <f t="shared" si="0"/>
        <v>310.41319559629613</v>
      </c>
      <c r="S10" s="62">
        <f ca="1">AVERAGE(OFFSET($R$3,0,0,'Données projet'!$E$9+1,1))-AVERAGE(OFFSET($H$3,0,0,'Données projet'!$E$9+1,1))</f>
        <v>153.59418465942997</v>
      </c>
      <c r="T10" s="62">
        <f t="shared" si="34"/>
        <v>313.61727210988198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5.5909090909090908</v>
      </c>
      <c r="AI10" s="14">
        <f>IF('Données projet'!$A$62&gt;35,AI9+AH10-AQ9,IF(A10&lt;'Données projet'!$A$62,$AF$205^A10,IF(A10='Données projet'!$A$62,'Données projet'!$B$62,AI9+AH10-AQ9)))</f>
        <v>4.6234887814743333</v>
      </c>
      <c r="AJ10" s="14">
        <f>AI10*VLOOKUP('Données projet'!$B$10,Paramètres!$A$1:$I$89,3,0)*VLOOKUP('Données projet'!$B$10,Paramètres!$A$1:$I$89,5,0)</f>
        <v>2.7648462913216516</v>
      </c>
      <c r="AK10" s="14">
        <f t="shared" si="35"/>
        <v>1.1319117118000401</v>
      </c>
      <c r="AL10" s="22">
        <f t="shared" si="4"/>
        <v>6.7868535221036126</v>
      </c>
      <c r="AM10" s="62">
        <f t="shared" si="5"/>
        <v>300.12018685543694</v>
      </c>
      <c r="AN10" s="62">
        <f ca="1">AVERAGE(OFFSET($AM$3,0,0,'Données projet'!$E$10+1,1))-AVERAGE(OFFSET($H$3,0,0,'Données projet'!$E$10+1,1))</f>
        <v>288.15107951401188</v>
      </c>
      <c r="AO10" s="62">
        <f t="shared" si="36"/>
        <v>217.57508587672368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6.5</v>
      </c>
      <c r="BD10" s="13">
        <f>IF('Données projet'!$A$88&gt;35,BD9+BC10-BL9,IF(A10&lt;'Données projet'!$A$88,$BA$205^A10,IF(A10='Données projet'!$A$88,'Données projet'!$B$88,BD9+BC10-BL9)))</f>
        <v>3.4224838646084192</v>
      </c>
      <c r="BE10" s="14">
        <f>BD10*VLOOKUP('Données projet'!$B$11,Paramètres!$A$1:$I$89,3,0)*VLOOKUP('Données projet'!$B$11,Paramètres!$A$1:$I$89,5,0)</f>
        <v>1.6017224486367401</v>
      </c>
      <c r="BF10" s="14">
        <f t="shared" si="37"/>
        <v>0.69875571016034643</v>
      </c>
      <c r="BG10" s="22">
        <f t="shared" si="7"/>
        <v>4.0066661265715924</v>
      </c>
      <c r="BH10" s="62">
        <f t="shared" si="8"/>
        <v>297.3399994599049</v>
      </c>
      <c r="BI10" s="62">
        <f ca="1">AVERAGE(OFFSET($BH$3,0,0,'Données projet'!$E$11+1,1))-AVERAGE(OFFSET($H$3,0,0,'Données projet'!$E$11+1,1))</f>
        <v>221.07273841880755</v>
      </c>
      <c r="BJ10" s="62">
        <f t="shared" si="38"/>
        <v>164.23448598618114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2.4666666666666668</v>
      </c>
      <c r="BY10" s="13">
        <f>IF('Données projet'!$A$114&gt;35,BY9+BX10-CG9,IF(A10&lt;'Données projet'!$A$114,$BV$205^A10,IF(A10='Données projet'!$A$114,'Données projet'!$B$114,BY9+BX10-CG9)))</f>
        <v>5.3929633792034757</v>
      </c>
      <c r="BZ10" s="14">
        <f>BY10*VLOOKUP('Données projet'!$B$12,Paramètres!$A$1:$I$89,3,0)*VLOOKUP('Données projet'!$B$12,Paramètres!$A$1:$I$89,5,0)</f>
        <v>4.2906416644942853</v>
      </c>
      <c r="CA10" s="14">
        <f t="shared" si="39"/>
        <v>1.6689707336887791</v>
      </c>
      <c r="CB10" s="22">
        <f t="shared" si="10"/>
        <v>10.379658260168837</v>
      </c>
      <c r="CC10" s="62">
        <f t="shared" si="11"/>
        <v>303.71299159350212</v>
      </c>
      <c r="CD10" s="62">
        <f ca="1">AVERAGE(OFFSET($CC$3,0,0,'Données projet'!$E$12+1,1))-AVERAGE(OFFSET($H$3,0,0,'Données projet'!$E$12+1,1))</f>
        <v>219.2279518699109</v>
      </c>
      <c r="CE10" s="62">
        <f t="shared" si="40"/>
        <v>219.59799863414099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2">
        <f t="shared" si="32"/>
        <v>1.6955312417477209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70">
        <f t="shared" si="1"/>
        <v>303.89398357937728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7.7692307692307692</v>
      </c>
      <c r="N11" s="14">
        <f>IF('Données projet'!$A$36&gt;35,N10+M11-V10,IF(A11&lt;'Données projet'!$A$36,$K$205^A11,IF(A11='Données projet'!$A$36,'Données projet'!$B$36,N10+M11-V10)))</f>
        <v>17.117034961447946</v>
      </c>
      <c r="O11" s="14">
        <f>N11*VLOOKUP('Données projet'!$B$9,Paramètres!$A$1:$I$89,3,0)*VLOOKUP('Données projet'!$B$9,Paramètres!$A$1:$I$89,5,0)</f>
        <v>10.235986906945872</v>
      </c>
      <c r="P11" s="14">
        <f t="shared" si="33"/>
        <v>3.5983440631455994</v>
      </c>
      <c r="Q11" s="22">
        <f t="shared" si="2"/>
        <v>24.094793106242644</v>
      </c>
      <c r="R11" s="62">
        <f t="shared" si="0"/>
        <v>317.42812643957598</v>
      </c>
      <c r="S11" s="62">
        <f ca="1">AVERAGE(OFFSET($R$3,0,0,'Données projet'!$E$9+1,1))-AVERAGE(OFFSET($H$3,0,0,'Données projet'!$E$9+1,1))</f>
        <v>153.59418465942997</v>
      </c>
      <c r="T11" s="62">
        <f t="shared" si="34"/>
        <v>313.61727210988198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5.5909090909090908</v>
      </c>
      <c r="AI11" s="14">
        <f>IF('Données projet'!$A$62&gt;35,AI10+AH11-AQ10,IF(A11&lt;'Données projet'!$A$62,$AF$205^A11,IF(A11='Données projet'!$A$62,'Données projet'!$B$62,AI10+AH11-AQ10)))</f>
        <v>5.7539422013952093</v>
      </c>
      <c r="AJ11" s="14">
        <f>AI11*VLOOKUP('Données projet'!$B$10,Paramètres!$A$1:$I$89,3,0)*VLOOKUP('Données projet'!$B$10,Paramètres!$A$1:$I$89,5,0)</f>
        <v>3.4408574364343356</v>
      </c>
      <c r="AK11" s="14">
        <f t="shared" si="35"/>
        <v>1.3732535882427113</v>
      </c>
      <c r="AL11" s="22">
        <f t="shared" si="4"/>
        <v>8.3845767013125236</v>
      </c>
      <c r="AM11" s="62">
        <f t="shared" si="5"/>
        <v>301.71791003464585</v>
      </c>
      <c r="AN11" s="62">
        <f ca="1">AVERAGE(OFFSET($AM$3,0,0,'Données projet'!$E$10+1,1))-AVERAGE(OFFSET($H$3,0,0,'Données projet'!$E$10+1,1))</f>
        <v>288.15107951401188</v>
      </c>
      <c r="AO11" s="62">
        <f t="shared" si="36"/>
        <v>217.57508587672368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6.5</v>
      </c>
      <c r="BD11" s="13">
        <f>IF('Données projet'!$A$88&gt;35,BD10+BC11-BL10,IF(A11&lt;'Données projet'!$A$88,$BA$205^A11,IF(A11='Données projet'!$A$88,'Données projet'!$B$88,BD10+BC11-BL10)))</f>
        <v>4.080147809657138</v>
      </c>
      <c r="BE11" s="14">
        <f>BD11*VLOOKUP('Données projet'!$B$11,Paramètres!$A$1:$I$89,3,0)*VLOOKUP('Données projet'!$B$11,Paramètres!$A$1:$I$89,5,0)</f>
        <v>1.9095091749195405</v>
      </c>
      <c r="BF11" s="14">
        <f t="shared" si="37"/>
        <v>0.81615852755965934</v>
      </c>
      <c r="BG11" s="22">
        <f t="shared" si="7"/>
        <v>4.7472045818179396</v>
      </c>
      <c r="BH11" s="62">
        <f t="shared" si="8"/>
        <v>298.08053791515124</v>
      </c>
      <c r="BI11" s="62">
        <f ca="1">AVERAGE(OFFSET($BH$3,0,0,'Données projet'!$E$11+1,1))-AVERAGE(OFFSET($H$3,0,0,'Données projet'!$E$11+1,1))</f>
        <v>221.07273841880755</v>
      </c>
      <c r="BJ11" s="62">
        <f t="shared" si="38"/>
        <v>164.23448598618114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2.4666666666666668</v>
      </c>
      <c r="BY11" s="13">
        <f>IF('Données projet'!$A$114&gt;35,BY10+BX11-CG10,IF(A11&lt;'Données projet'!$A$114,$BV$205^A11,IF(A11='Données projet'!$A$114,'Données projet'!$B$114,BY10+BX11-CG10)))</f>
        <v>6.8607919984549888</v>
      </c>
      <c r="BZ11" s="14">
        <f>BY11*VLOOKUP('Données projet'!$B$12,Paramètres!$A$1:$I$89,3,0)*VLOOKUP('Données projet'!$B$12,Paramètres!$A$1:$I$89,5,0)</f>
        <v>5.4584461139707896</v>
      </c>
      <c r="CA11" s="14">
        <f t="shared" si="39"/>
        <v>2.0645540509389519</v>
      </c>
      <c r="CB11" s="22">
        <f t="shared" si="10"/>
        <v>13.102558620551131</v>
      </c>
      <c r="CC11" s="62">
        <f t="shared" si="11"/>
        <v>306.43589195388444</v>
      </c>
      <c r="CD11" s="62">
        <f ca="1">AVERAGE(OFFSET($CC$3,0,0,'Données projet'!$E$12+1,1))-AVERAGE(OFFSET($H$3,0,0,'Données projet'!$E$12+1,1))</f>
        <v>219.2279518699109</v>
      </c>
      <c r="CE11" s="62">
        <f t="shared" si="40"/>
        <v>219.59799863414099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2">
        <f t="shared" si="32"/>
        <v>1.8814997515338503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70">
        <f t="shared" si="1"/>
        <v>305.16882873392143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7.7692307692307692</v>
      </c>
      <c r="N12" s="14">
        <f>IF('Données projet'!$A$36&gt;35,N11+M12-V11,IF(A12&lt;'Données projet'!$A$36,$K$205^A12,IF(A12='Données projet'!$A$36,'Données projet'!$B$36,N11+M12-V11)))</f>
        <v>24.412210433665443</v>
      </c>
      <c r="O12" s="14">
        <f>N12*VLOOKUP('Données projet'!$B$9,Paramètres!$A$1:$I$89,3,0)*VLOOKUP('Données projet'!$B$9,Paramètres!$A$1:$I$89,5,0)</f>
        <v>14.598501839331936</v>
      </c>
      <c r="P12" s="14">
        <f t="shared" si="33"/>
        <v>4.9241907608973428</v>
      </c>
      <c r="Q12" s="22">
        <f t="shared" si="2"/>
        <v>34.002022945399325</v>
      </c>
      <c r="R12" s="62">
        <f t="shared" si="0"/>
        <v>327.33535627873266</v>
      </c>
      <c r="S12" s="62">
        <f ca="1">AVERAGE(OFFSET($R$3,0,0,'Données projet'!$E$9+1,1))-AVERAGE(OFFSET($H$3,0,0,'Données projet'!$E$9+1,1))</f>
        <v>153.59418465942997</v>
      </c>
      <c r="T12" s="62">
        <f t="shared" si="34"/>
        <v>313.61727210988198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5.5909090909090908</v>
      </c>
      <c r="AI12" s="14">
        <f>IF('Données projet'!$A$62&gt;35,AI11+AH12-AQ11,IF(A12&lt;'Données projet'!$A$62,$AF$205^A12,IF(A12='Données projet'!$A$62,'Données projet'!$B$62,AI11+AH12-AQ11)))</f>
        <v>7.1607940284521145</v>
      </c>
      <c r="AJ12" s="14">
        <f>AI12*VLOOKUP('Données projet'!$B$10,Paramètres!$A$1:$I$89,3,0)*VLOOKUP('Données projet'!$B$10,Paramètres!$A$1:$I$89,5,0)</f>
        <v>4.2821548290143649</v>
      </c>
      <c r="AK12" s="14">
        <f t="shared" si="35"/>
        <v>1.6660534544894132</v>
      </c>
      <c r="AL12" s="22">
        <f t="shared" si="4"/>
        <v>10.359796093769079</v>
      </c>
      <c r="AM12" s="62">
        <f t="shared" si="5"/>
        <v>303.69312942710241</v>
      </c>
      <c r="AN12" s="62">
        <f ca="1">AVERAGE(OFFSET($AM$3,0,0,'Données projet'!$E$10+1,1))-AVERAGE(OFFSET($H$3,0,0,'Données projet'!$E$10+1,1))</f>
        <v>288.15107951401188</v>
      </c>
      <c r="AO12" s="62">
        <f t="shared" si="36"/>
        <v>217.57508587672368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6.5</v>
      </c>
      <c r="BD12" s="13">
        <f>IF('Données projet'!$A$88&gt;35,BD11+BC12-BL11,IF(A12&lt;'Données projet'!$A$88,$BA$205^A12,IF(A12='Données projet'!$A$88,'Données projet'!$B$88,BD11+BC12-BL11)))</f>
        <v>4.8641883518579174</v>
      </c>
      <c r="BE12" s="14">
        <f>BD12*VLOOKUP('Données projet'!$B$11,Paramètres!$A$1:$I$89,3,0)*VLOOKUP('Données projet'!$B$11,Paramètres!$A$1:$I$89,5,0)</f>
        <v>2.2764401486695052</v>
      </c>
      <c r="BF12" s="14">
        <f t="shared" si="37"/>
        <v>0.95328701064281096</v>
      </c>
      <c r="BG12" s="22">
        <f t="shared" si="7"/>
        <v>5.6251081358022832</v>
      </c>
      <c r="BH12" s="62">
        <f t="shared" si="8"/>
        <v>298.95844146913561</v>
      </c>
      <c r="BI12" s="62">
        <f ca="1">AVERAGE(OFFSET($BH$3,0,0,'Données projet'!$E$11+1,1))-AVERAGE(OFFSET($H$3,0,0,'Données projet'!$E$11+1,1))</f>
        <v>221.07273841880755</v>
      </c>
      <c r="BJ12" s="62">
        <f t="shared" si="38"/>
        <v>164.23448598618114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2.4666666666666668</v>
      </c>
      <c r="BY12" s="13">
        <f>IF('Données projet'!$A$114&gt;35,BY11+BX12-CG11,IF(A12&lt;'Données projet'!$A$114,$BV$205^A12,IF(A12='Données projet'!$A$114,'Données projet'!$B$114,BY11+BX12-CG11)))</f>
        <v>8.7281265486761299</v>
      </c>
      <c r="BZ12" s="14">
        <f>BY12*VLOOKUP('Données projet'!$B$12,Paramètres!$A$1:$I$89,3,0)*VLOOKUP('Données projet'!$B$12,Paramètres!$A$1:$I$89,5,0)</f>
        <v>6.9440974821267289</v>
      </c>
      <c r="CA12" s="14">
        <f t="shared" si="39"/>
        <v>2.5538994442566798</v>
      </c>
      <c r="CB12" s="22">
        <f t="shared" si="10"/>
        <v>16.542344646784436</v>
      </c>
      <c r="CC12" s="62">
        <f t="shared" si="11"/>
        <v>309.87567798011776</v>
      </c>
      <c r="CD12" s="62">
        <f ca="1">AVERAGE(OFFSET($CC$3,0,0,'Données projet'!$E$12+1,1))-AVERAGE(OFFSET($H$3,0,0,'Données projet'!$E$12+1,1))</f>
        <v>219.2279518699109</v>
      </c>
      <c r="CE12" s="62">
        <f t="shared" si="40"/>
        <v>219.59799863414099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2">
        <f t="shared" si="32"/>
        <v>2.0650733588092973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70">
        <f t="shared" si="1"/>
        <v>306.43950276659285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7.7692307692307692</v>
      </c>
      <c r="N13" s="14">
        <f>IF('Données projet'!$A$36&gt;35,N12+M13-V12,IF(A13&lt;'Données projet'!$A$36,$K$205^A13,IF(A13='Données projet'!$A$36,'Données projet'!$B$36,N12+M13-V12)))</f>
        <v>34.816545014940573</v>
      </c>
      <c r="O13" s="14">
        <f>N13*VLOOKUP('Données projet'!$B$9,Paramètres!$A$1:$I$89,3,0)*VLOOKUP('Données projet'!$B$9,Paramètres!$A$1:$I$89,5,0)</f>
        <v>20.820293918934464</v>
      </c>
      <c r="P13" s="14">
        <f t="shared" si="33"/>
        <v>6.7385592439734481</v>
      </c>
      <c r="Q13" s="22">
        <f t="shared" si="2"/>
        <v>47.998335925397946</v>
      </c>
      <c r="R13" s="62">
        <f t="shared" si="0"/>
        <v>341.33166925873127</v>
      </c>
      <c r="S13" s="62">
        <f ca="1">AVERAGE(OFFSET($R$3,0,0,'Données projet'!$E$9+1,1))-AVERAGE(OFFSET($H$3,0,0,'Données projet'!$E$9+1,1))</f>
        <v>153.59418465942997</v>
      </c>
      <c r="T13" s="62">
        <f t="shared" si="34"/>
        <v>313.61727210988198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5.5909090909090908</v>
      </c>
      <c r="AI13" s="14">
        <f>IF('Données projet'!$A$62&gt;35,AI12+AH13-AQ12,IF(A13&lt;'Données projet'!$A$62,$AF$205^A13,IF(A13='Données projet'!$A$62,'Données projet'!$B$62,AI12+AH13-AQ12)))</f>
        <v>8.9116242956840761</v>
      </c>
      <c r="AJ13" s="14">
        <f>AI13*VLOOKUP('Données projet'!$B$10,Paramètres!$A$1:$I$89,3,0)*VLOOKUP('Données projet'!$B$10,Paramètres!$A$1:$I$89,5,0)</f>
        <v>5.3291513288190782</v>
      </c>
      <c r="AK13" s="14">
        <f t="shared" si="35"/>
        <v>2.0212829858817885</v>
      </c>
      <c r="AL13" s="22">
        <f t="shared" si="4"/>
        <v>12.802006431437341</v>
      </c>
      <c r="AM13" s="62">
        <f t="shared" si="5"/>
        <v>306.13533976477066</v>
      </c>
      <c r="AN13" s="62">
        <f ca="1">AVERAGE(OFFSET($AM$3,0,0,'Données projet'!$E$10+1,1))-AVERAGE(OFFSET($H$3,0,0,'Données projet'!$E$10+1,1))</f>
        <v>288.15107951401188</v>
      </c>
      <c r="AO13" s="62">
        <f t="shared" si="36"/>
        <v>217.57508587672368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6.5</v>
      </c>
      <c r="BD13" s="13">
        <f>IF('Données projet'!$A$88&gt;35,BD12+BC13-BL12,IF(A13&lt;'Données projet'!$A$88,$BA$205^A13,IF(A13='Données projet'!$A$88,'Données projet'!$B$88,BD12+BC13-BL12)))</f>
        <v>5.7988899976489963</v>
      </c>
      <c r="BE13" s="14">
        <f>BD13*VLOOKUP('Données projet'!$B$11,Paramètres!$A$1:$I$89,3,0)*VLOOKUP('Données projet'!$B$11,Paramètres!$A$1:$I$89,5,0)</f>
        <v>2.7138805188997304</v>
      </c>
      <c r="BF13" s="14">
        <f t="shared" si="37"/>
        <v>1.1134554059951043</v>
      </c>
      <c r="BG13" s="22">
        <f t="shared" si="7"/>
        <v>6.66594340252517</v>
      </c>
      <c r="BH13" s="62">
        <f t="shared" si="8"/>
        <v>299.99927673585847</v>
      </c>
      <c r="BI13" s="62">
        <f ca="1">AVERAGE(OFFSET($BH$3,0,0,'Données projet'!$E$11+1,1))-AVERAGE(OFFSET($H$3,0,0,'Données projet'!$E$11+1,1))</f>
        <v>221.07273841880755</v>
      </c>
      <c r="BJ13" s="62">
        <f t="shared" si="38"/>
        <v>164.23448598618114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2.4666666666666668</v>
      </c>
      <c r="BY13" s="13">
        <f>IF('Données projet'!$A$114&gt;35,BY12+BX13-CG12,IF(A13&lt;'Données projet'!$A$114,$BV$205^A13,IF(A13='Données projet'!$A$114,'Données projet'!$B$114,BY12+BX13-CG12)))</f>
        <v>11.103702468586782</v>
      </c>
      <c r="BZ13" s="14">
        <f>BY13*VLOOKUP('Données projet'!$B$12,Paramètres!$A$1:$I$89,3,0)*VLOOKUP('Données projet'!$B$12,Paramètres!$A$1:$I$89,5,0)</f>
        <v>8.8341056840076444</v>
      </c>
      <c r="CA13" s="14">
        <f t="shared" si="39"/>
        <v>3.1592306185484516</v>
      </c>
      <c r="CB13" s="22">
        <f t="shared" si="10"/>
        <v>20.888394060285197</v>
      </c>
      <c r="CC13" s="62">
        <f t="shared" si="11"/>
        <v>314.22172739361849</v>
      </c>
      <c r="CD13" s="62">
        <f ca="1">AVERAGE(OFFSET($CC$3,0,0,'Données projet'!$E$12+1,1))-AVERAGE(OFFSET($H$3,0,0,'Données projet'!$E$12+1,1))</f>
        <v>219.2279518699109</v>
      </c>
      <c r="CE13" s="62">
        <f t="shared" si="40"/>
        <v>219.59799863414099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2">
        <f t="shared" si="32"/>
        <v>2.2465188167092136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70">
        <f t="shared" si="1"/>
        <v>307.70647027243518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7.7692307692307692</v>
      </c>
      <c r="N14" s="14">
        <f>IF('Données projet'!$A$36&gt;35,N13+M14-V13,IF(A14&lt;'Données projet'!$A$36,$K$205^A14,IF(A14='Données projet'!$A$36,'Données projet'!$B$36,N13+M14-V13)))</f>
        <v>49.65514327640404</v>
      </c>
      <c r="O14" s="14">
        <f>N14*VLOOKUP('Données projet'!$B$9,Paramètres!$A$1:$I$89,3,0)*VLOOKUP('Données projet'!$B$9,Paramètres!$A$1:$I$89,5,0)</f>
        <v>29.693775679289619</v>
      </c>
      <c r="P14" s="14">
        <f t="shared" si="33"/>
        <v>9.2214503640117265</v>
      </c>
      <c r="Q14" s="22">
        <f t="shared" si="2"/>
        <v>67.777352025416505</v>
      </c>
      <c r="R14" s="62">
        <f t="shared" si="0"/>
        <v>361.11068535874983</v>
      </c>
      <c r="S14" s="62">
        <f ca="1">AVERAGE(OFFSET($R$3,0,0,'Données projet'!$E$9+1,1))-AVERAGE(OFFSET($H$3,0,0,'Données projet'!$E$9+1,1))</f>
        <v>153.59418465942997</v>
      </c>
      <c r="T14" s="62">
        <f t="shared" si="34"/>
        <v>313.61727210988198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5.5909090909090908</v>
      </c>
      <c r="AI14" s="14">
        <f>IF('Données projet'!$A$62&gt;35,AI13+AH14-AQ13,IF(A14&lt;'Données projet'!$A$62,$AF$205^A14,IF(A14='Données projet'!$A$62,'Données projet'!$B$62,AI13+AH14-AQ13)))</f>
        <v>11.090536506409412</v>
      </c>
      <c r="AJ14" s="14">
        <f>AI14*VLOOKUP('Données projet'!$B$10,Paramètres!$A$1:$I$89,3,0)*VLOOKUP('Données projet'!$B$10,Paramètres!$A$1:$I$89,5,0)</f>
        <v>6.6321408308328289</v>
      </c>
      <c r="AK14" s="14">
        <f t="shared" si="35"/>
        <v>2.4522531963221348</v>
      </c>
      <c r="AL14" s="22">
        <f t="shared" si="4"/>
        <v>15.821986263961561</v>
      </c>
      <c r="AM14" s="62">
        <f t="shared" si="5"/>
        <v>309.15531959729486</v>
      </c>
      <c r="AN14" s="62">
        <f ca="1">AVERAGE(OFFSET($AM$3,0,0,'Données projet'!$E$10+1,1))-AVERAGE(OFFSET($H$3,0,0,'Données projet'!$E$10+1,1))</f>
        <v>288.15107951401188</v>
      </c>
      <c r="AO14" s="62">
        <f t="shared" si="36"/>
        <v>217.57508587672368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6.5</v>
      </c>
      <c r="BD14" s="13">
        <f>IF('Données projet'!$A$88&gt;35,BD13+BC14-BL13,IF(A14&lt;'Données projet'!$A$88,$BA$205^A14,IF(A14='Données projet'!$A$88,'Données projet'!$B$88,BD13+BC14-BL13)))</f>
        <v>6.9132037602921814</v>
      </c>
      <c r="BE14" s="14">
        <f>BD14*VLOOKUP('Données projet'!$B$11,Paramètres!$A$1:$I$89,3,0)*VLOOKUP('Données projet'!$B$11,Paramètres!$A$1:$I$89,5,0)</f>
        <v>3.2353793598167409</v>
      </c>
      <c r="BF14" s="14">
        <f t="shared" si="37"/>
        <v>1.3005348098719234</v>
      </c>
      <c r="BG14" s="22">
        <f t="shared" si="7"/>
        <v>7.9000505122077564</v>
      </c>
      <c r="BH14" s="62">
        <f t="shared" si="8"/>
        <v>301.23338384554108</v>
      </c>
      <c r="BI14" s="62">
        <f ca="1">AVERAGE(OFFSET($BH$3,0,0,'Données projet'!$E$11+1,1))-AVERAGE(OFFSET($H$3,0,0,'Données projet'!$E$11+1,1))</f>
        <v>221.07273841880755</v>
      </c>
      <c r="BJ14" s="62">
        <f t="shared" si="38"/>
        <v>164.23448598618114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2.4666666666666668</v>
      </c>
      <c r="BY14" s="13">
        <f>IF('Données projet'!$A$114&gt;35,BY13+BX14-CG13,IF(A14&lt;'Données projet'!$A$114,$BV$205^A14,IF(A14='Données projet'!$A$114,'Données projet'!$B$114,BY13+BX14-CG13)))</f>
        <v>14.125850240977657</v>
      </c>
      <c r="BZ14" s="14">
        <f>BY14*VLOOKUP('Données projet'!$B$12,Paramètres!$A$1:$I$89,3,0)*VLOOKUP('Données projet'!$B$12,Paramètres!$A$1:$I$89,5,0)</f>
        <v>11.238526451721825</v>
      </c>
      <c r="CA14" s="14">
        <f t="shared" si="39"/>
        <v>3.9080387928425129</v>
      </c>
      <c r="CB14" s="22">
        <f t="shared" si="10"/>
        <v>26.380267800949554</v>
      </c>
      <c r="CC14" s="62">
        <f t="shared" si="11"/>
        <v>319.71360113428284</v>
      </c>
      <c r="CD14" s="62">
        <f ca="1">AVERAGE(OFFSET($CC$3,0,0,'Données projet'!$E$12+1,1))-AVERAGE(OFFSET($H$3,0,0,'Données projet'!$E$12+1,1))</f>
        <v>219.2279518699109</v>
      </c>
      <c r="CE14" s="62">
        <f t="shared" si="40"/>
        <v>219.59799863414099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2">
        <f t="shared" si="32"/>
        <v>2.4260515959655744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70">
        <f t="shared" si="1"/>
        <v>308.97010652964002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7.7692307692307692</v>
      </c>
      <c r="N15" s="14">
        <f>IF('Données projet'!$A$36&gt;35,N14+M15-V14,IF(A15&lt;'Données projet'!$A$36,$K$205^A15,IF(A15='Données projet'!$A$36,'Données projet'!$B$36,N14+M15-V14)))</f>
        <v>70.81786124218111</v>
      </c>
      <c r="O15" s="14">
        <f>N15*VLOOKUP('Données projet'!$B$9,Paramètres!$A$1:$I$89,3,0)*VLOOKUP('Données projet'!$B$9,Paramètres!$A$1:$I$89,5,0)</f>
        <v>42.349081022824308</v>
      </c>
      <c r="P15" s="14">
        <f t="shared" si="33"/>
        <v>12.61918812867636</v>
      </c>
      <c r="Q15" s="22">
        <f t="shared" si="2"/>
        <v>95.736402105530317</v>
      </c>
      <c r="R15" s="62">
        <f t="shared" si="0"/>
        <v>389.06973543886363</v>
      </c>
      <c r="S15" s="62">
        <f ca="1">AVERAGE(OFFSET($R$3,0,0,'Données projet'!$E$9+1,1))-AVERAGE(OFFSET($H$3,0,0,'Données projet'!$E$9+1,1))</f>
        <v>153.59418465942997</v>
      </c>
      <c r="T15" s="62">
        <f t="shared" si="34"/>
        <v>313.61727210988198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5.5909090909090908</v>
      </c>
      <c r="AI15" s="14">
        <f>IF('Données projet'!$A$62&gt;35,AI14+AH15-AQ14,IF(A15&lt;'Données projet'!$A$62,$AF$205^A15,IF(A15='Données projet'!$A$62,'Données projet'!$B$62,AI14+AH15-AQ14)))</f>
        <v>13.802197659922571</v>
      </c>
      <c r="AJ15" s="14">
        <f>AI15*VLOOKUP('Données projet'!$B$10,Paramètres!$A$1:$I$89,3,0)*VLOOKUP('Données projet'!$B$10,Paramètres!$A$1:$I$89,5,0)</f>
        <v>8.2537142006336985</v>
      </c>
      <c r="AK15" s="14">
        <f t="shared" si="35"/>
        <v>2.9751132230743558</v>
      </c>
      <c r="AL15" s="22">
        <f t="shared" si="4"/>
        <v>19.556874429624859</v>
      </c>
      <c r="AM15" s="62">
        <f t="shared" si="5"/>
        <v>312.8902077629582</v>
      </c>
      <c r="AN15" s="62">
        <f ca="1">AVERAGE(OFFSET($AM$3,0,0,'Données projet'!$E$10+1,1))-AVERAGE(OFFSET($H$3,0,0,'Données projet'!$E$10+1,1))</f>
        <v>288.15107951401188</v>
      </c>
      <c r="AO15" s="62">
        <f t="shared" si="36"/>
        <v>217.57508587672368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6.5</v>
      </c>
      <c r="BD15" s="13">
        <f>IF('Données projet'!$A$88&gt;35,BD14+BC15-BL14,IF(A15&lt;'Données projet'!$A$88,$BA$205^A15,IF(A15='Données projet'!$A$88,'Données projet'!$B$88,BD14+BC15-BL14)))</f>
        <v>8.2416438750681742</v>
      </c>
      <c r="BE15" s="14">
        <f>BD15*VLOOKUP('Données projet'!$B$11,Paramètres!$A$1:$I$89,3,0)*VLOOKUP('Données projet'!$B$11,Paramètres!$A$1:$I$89,5,0)</f>
        <v>3.8570893335319059</v>
      </c>
      <c r="BF15" s="14">
        <f t="shared" si="37"/>
        <v>1.5190467283932132</v>
      </c>
      <c r="BG15" s="22">
        <f t="shared" si="7"/>
        <v>9.3634369745195816</v>
      </c>
      <c r="BH15" s="62">
        <f t="shared" si="8"/>
        <v>302.69677030785289</v>
      </c>
      <c r="BI15" s="62">
        <f ca="1">AVERAGE(OFFSET($BH$3,0,0,'Données projet'!$E$11+1,1))-AVERAGE(OFFSET($H$3,0,0,'Données projet'!$E$11+1,1))</f>
        <v>221.07273841880755</v>
      </c>
      <c r="BJ15" s="62">
        <f t="shared" si="38"/>
        <v>164.23448598618114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2.4666666666666668</v>
      </c>
      <c r="BY15" s="13">
        <f>IF('Données projet'!$A$114&gt;35,BY14+BX15-CG14,IF(A15&lt;'Données projet'!$A$114,$BV$205^A15,IF(A15='Données projet'!$A$114,'Données projet'!$B$114,BY14+BX15-CG14)))</f>
        <v>17.970550417308221</v>
      </c>
      <c r="BZ15" s="14">
        <f>BY15*VLOOKUP('Données projet'!$B$12,Paramètres!$A$1:$I$89,3,0)*VLOOKUP('Données projet'!$B$12,Paramètres!$A$1:$I$89,5,0)</f>
        <v>14.297369912010421</v>
      </c>
      <c r="CA15" s="14">
        <f t="shared" si="39"/>
        <v>4.8343312187127445</v>
      </c>
      <c r="CB15" s="22">
        <f t="shared" si="10"/>
        <v>33.321046136009507</v>
      </c>
      <c r="CC15" s="62">
        <f t="shared" si="11"/>
        <v>326.65437946934281</v>
      </c>
      <c r="CD15" s="62">
        <f ca="1">AVERAGE(OFFSET($CC$3,0,0,'Données projet'!$E$12+1,1))-AVERAGE(OFFSET($H$3,0,0,'Données projet'!$E$12+1,1))</f>
        <v>219.2279518699109</v>
      </c>
      <c r="CE15" s="62">
        <f t="shared" si="40"/>
        <v>219.59799863414099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2">
        <f t="shared" si="32"/>
        <v>2.6038492076799815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70">
        <f t="shared" si="1"/>
        <v>310.23072070337594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101</v>
      </c>
      <c r="L16" s="13">
        <f>VLOOKUP(A16,'Données projet'!$A$35:$I$55,9,0)</f>
        <v>7.7692307692307692</v>
      </c>
      <c r="M16" s="13">
        <f t="array" ref="M16">INDEX(L:L,MIN(IF(ISNUMBER(L16:L212),ROW(L16:L212),"")))</f>
        <v>7.7692307692307692</v>
      </c>
      <c r="N16" s="14">
        <f>IF('Données projet'!$A$36&gt;35,N15+M16-V15,IF(A16&lt;'Données projet'!$A$36,$K$205^A16,IF(A16='Données projet'!$A$36,'Données projet'!$B$36,N15+M16-V15)))</f>
        <v>101</v>
      </c>
      <c r="O16" s="14">
        <f>N16*VLOOKUP('Données projet'!$B$9,Paramètres!$A$1:$I$89,3,0)*VLOOKUP('Données projet'!$B$9,Paramètres!$A$1:$I$89,5,0)</f>
        <v>60.398000000000003</v>
      </c>
      <c r="P16" s="14">
        <f t="shared" si="33"/>
        <v>17.26885714728807</v>
      </c>
      <c r="Q16" s="22">
        <f t="shared" si="2"/>
        <v>135.26977619819337</v>
      </c>
      <c r="R16" s="62">
        <f t="shared" si="0"/>
        <v>428.60310953152668</v>
      </c>
      <c r="S16" s="62">
        <f ca="1">AVERAGE(OFFSET($R$3,0,0,'Données projet'!$E$9+1,1))-AVERAGE(OFFSET($H$3,0,0,'Données projet'!$E$9+1,1))</f>
        <v>153.59418465942997</v>
      </c>
      <c r="T16" s="62">
        <f t="shared" si="34"/>
        <v>313.61727210988198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28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18.958097589783147</v>
      </c>
      <c r="AC16" s="24">
        <f t="shared" si="3"/>
        <v>18.958097589783147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5.5909090909090908</v>
      </c>
      <c r="AI16" s="14">
        <f>IF('Données projet'!$A$62&gt;35,AI15+AH16-AQ15,IF(A16&lt;'Données projet'!$A$62,$AF$205^A16,IF(A16='Données projet'!$A$62,'Données projet'!$B$62,AI15+AH16-AQ15)))</f>
        <v>17.17686607257264</v>
      </c>
      <c r="AJ16" s="14">
        <f>AI16*VLOOKUP('Données projet'!$B$10,Paramètres!$A$1:$I$89,3,0)*VLOOKUP('Données projet'!$B$10,Paramètres!$A$1:$I$89,5,0)</f>
        <v>10.27176591139844</v>
      </c>
      <c r="AK16" s="14">
        <f t="shared" si="35"/>
        <v>3.609455460548272</v>
      </c>
      <c r="AL16" s="22">
        <f t="shared" si="4"/>
        <v>24.176460556140523</v>
      </c>
      <c r="AM16" s="62">
        <f t="shared" si="5"/>
        <v>317.50979388947383</v>
      </c>
      <c r="AN16" s="62">
        <f ca="1">AVERAGE(OFFSET($AM$3,0,0,'Données projet'!$E$10+1,1))-AVERAGE(OFFSET($H$3,0,0,'Données projet'!$E$10+1,1))</f>
        <v>288.15107951401188</v>
      </c>
      <c r="AO16" s="62">
        <f t="shared" si="36"/>
        <v>217.57508587672368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6.5</v>
      </c>
      <c r="BD16" s="13">
        <f>IF('Données projet'!$A$88&gt;35,BD15+BC16-BL15,IF(A16&lt;'Données projet'!$A$88,$BA$205^A16,IF(A16='Données projet'!$A$88,'Données projet'!$B$88,BD15+BC16-BL15)))</f>
        <v>9.8253568271186005</v>
      </c>
      <c r="BE16" s="14">
        <f>BD16*VLOOKUP('Données projet'!$B$11,Paramètres!$A$1:$I$89,3,0)*VLOOKUP('Données projet'!$B$11,Paramètres!$A$1:$I$89,5,0)</f>
        <v>4.5982669950915049</v>
      </c>
      <c r="BF16" s="14">
        <f t="shared" si="37"/>
        <v>1.7742723574383734</v>
      </c>
      <c r="BG16" s="22">
        <f t="shared" si="7"/>
        <v>11.098839372322871</v>
      </c>
      <c r="BH16" s="62">
        <f t="shared" si="8"/>
        <v>304.43217270565617</v>
      </c>
      <c r="BI16" s="62">
        <f ca="1">AVERAGE(OFFSET($BH$3,0,0,'Données projet'!$E$11+1,1))-AVERAGE(OFFSET($H$3,0,0,'Données projet'!$E$11+1,1))</f>
        <v>221.07273841880755</v>
      </c>
      <c r="BJ16" s="62">
        <f t="shared" si="38"/>
        <v>164.23448598618114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2.4666666666666668</v>
      </c>
      <c r="BY16" s="13">
        <f>IF('Données projet'!$A$114&gt;35,BY15+BX16-CG15,IF(A16&lt;'Données projet'!$A$114,$BV$205^A16,IF(A16='Données projet'!$A$114,'Données projet'!$B$114,BY15+BX16-CG15)))</f>
        <v>22.86168101684942</v>
      </c>
      <c r="BZ16" s="14">
        <f>BY16*VLOOKUP('Données projet'!$B$12,Paramètres!$A$1:$I$89,3,0)*VLOOKUP('Données projet'!$B$12,Paramètres!$A$1:$I$89,5,0)</f>
        <v>18.188753417005401</v>
      </c>
      <c r="CA16" s="14">
        <f t="shared" si="39"/>
        <v>5.9801756254374139</v>
      </c>
      <c r="CB16" s="22">
        <f t="shared" si="10"/>
        <v>42.094218082254564</v>
      </c>
      <c r="CC16" s="62">
        <f t="shared" si="11"/>
        <v>335.42755141558786</v>
      </c>
      <c r="CD16" s="62">
        <f ca="1">AVERAGE(OFFSET($CC$3,0,0,'Données projet'!$E$12+1,1))-AVERAGE(OFFSET($H$3,0,0,'Données projet'!$E$12+1,1))</f>
        <v>219.2279518699109</v>
      </c>
      <c r="CE16" s="62">
        <f t="shared" si="40"/>
        <v>219.59799863414099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2">
        <f t="shared" si="32"/>
        <v>2.7800603022041317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70">
        <f t="shared" si="1"/>
        <v>311.4885716930055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18.600000000000001</v>
      </c>
      <c r="N17" s="14">
        <f>IF('Données projet'!$A$36&gt;35,N16+M17-V16,IF(A17&lt;'Données projet'!$A$36,$K$205^A17,IF(A17='Données projet'!$A$36,'Données projet'!$B$36,N16+M17-V16)))</f>
        <v>91.6</v>
      </c>
      <c r="O17" s="14">
        <f>N17*VLOOKUP('Données projet'!$B$9,Paramètres!$A$1:$I$89,3,0)*VLOOKUP('Données projet'!$B$9,Paramètres!$A$1:$I$89,5,0)</f>
        <v>54.776799999999994</v>
      </c>
      <c r="P17" s="14">
        <f t="shared" si="33"/>
        <v>15.840762095818524</v>
      </c>
      <c r="Q17" s="22">
        <f t="shared" si="2"/>
        <v>122.99225398355058</v>
      </c>
      <c r="R17" s="62">
        <f t="shared" si="0"/>
        <v>416.32558731688391</v>
      </c>
      <c r="S17" s="62">
        <f ca="1">AVERAGE(OFFSET($R$3,0,0,'Données projet'!$E$9+1,1))-AVERAGE(OFFSET($H$3,0,0,'Données projet'!$E$9+1,1))</f>
        <v>153.59418465942997</v>
      </c>
      <c r="T17" s="62">
        <f t="shared" si="34"/>
        <v>313.61727210988198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13.405399364132007</v>
      </c>
      <c r="AC17" s="24">
        <f t="shared" si="3"/>
        <v>13.405399364132007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5.5909090909090908</v>
      </c>
      <c r="AI17" s="14">
        <f>IF('Données projet'!$A$62&gt;35,AI16+AH17-AQ16,IF(A17&lt;'Données projet'!$A$62,$AF$205^A17,IF(A17='Données projet'!$A$62,'Données projet'!$B$62,AI16+AH17-AQ16)))</f>
        <v>21.376648512419013</v>
      </c>
      <c r="AJ17" s="14">
        <f>AI17*VLOOKUP('Données projet'!$B$10,Paramètres!$A$1:$I$89,3,0)*VLOOKUP('Données projet'!$B$10,Paramètres!$A$1:$I$89,5,0)</f>
        <v>12.783235810426572</v>
      </c>
      <c r="AK17" s="14">
        <f t="shared" si="35"/>
        <v>4.3790497183898731</v>
      </c>
      <c r="AL17" s="22">
        <f t="shared" si="4"/>
        <v>29.890980629355308</v>
      </c>
      <c r="AM17" s="62">
        <f t="shared" si="5"/>
        <v>323.2243139626886</v>
      </c>
      <c r="AN17" s="62">
        <f ca="1">AVERAGE(OFFSET($AM$3,0,0,'Données projet'!$E$10+1,1))-AVERAGE(OFFSET($H$3,0,0,'Données projet'!$E$10+1,1))</f>
        <v>288.15107951401188</v>
      </c>
      <c r="AO17" s="62">
        <f t="shared" si="36"/>
        <v>217.57508587672368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6.5</v>
      </c>
      <c r="BD17" s="13">
        <f>IF('Données projet'!$A$88&gt;35,BD16+BC17-BL16,IF(A17&lt;'Données projet'!$A$88,$BA$205^A17,IF(A17='Données projet'!$A$88,'Données projet'!$B$88,BD16+BC17-BL16)))</f>
        <v>11.71339580350498</v>
      </c>
      <c r="BE17" s="14">
        <f>BD17*VLOOKUP('Données projet'!$B$11,Paramètres!$A$1:$I$89,3,0)*VLOOKUP('Données projet'!$B$11,Paramètres!$A$1:$I$89,5,0)</f>
        <v>5.4818692360403301</v>
      </c>
      <c r="BF17" s="14">
        <f t="shared" si="37"/>
        <v>2.0723802234180093</v>
      </c>
      <c r="BG17" s="22">
        <f t="shared" si="7"/>
        <v>13.156984475223274</v>
      </c>
      <c r="BH17" s="62">
        <f t="shared" si="8"/>
        <v>306.4903178085566</v>
      </c>
      <c r="BI17" s="62">
        <f ca="1">AVERAGE(OFFSET($BH$3,0,0,'Données projet'!$E$11+1,1))-AVERAGE(OFFSET($H$3,0,0,'Données projet'!$E$11+1,1))</f>
        <v>221.07273841880755</v>
      </c>
      <c r="BJ17" s="62">
        <f t="shared" si="38"/>
        <v>164.23448598618114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2.4666666666666668</v>
      </c>
      <c r="BY17" s="13">
        <f>IF('Données projet'!$A$114&gt;35,BY16+BX17-CG16,IF(A17&lt;'Données projet'!$A$114,$BV$205^A17,IF(A17='Données projet'!$A$114,'Données projet'!$B$114,BY16+BX17-CG16)))</f>
        <v>29.084054009429774</v>
      </c>
      <c r="BZ17" s="14">
        <f>BY17*VLOOKUP('Données projet'!$B$12,Paramètres!$A$1:$I$89,3,0)*VLOOKUP('Données projet'!$B$12,Paramètres!$A$1:$I$89,5,0)</f>
        <v>23.13927336990233</v>
      </c>
      <c r="CA17" s="14">
        <f t="shared" si="39"/>
        <v>7.3976107331343286</v>
      </c>
      <c r="CB17" s="22">
        <f t="shared" si="10"/>
        <v>53.185073146122171</v>
      </c>
      <c r="CC17" s="62">
        <f t="shared" si="11"/>
        <v>346.51840647945551</v>
      </c>
      <c r="CD17" s="62">
        <f ca="1">AVERAGE(OFFSET($CC$3,0,0,'Données projet'!$E$12+1,1))-AVERAGE(OFFSET($H$3,0,0,'Données projet'!$E$12+1,1))</f>
        <v>219.2279518699109</v>
      </c>
      <c r="CE17" s="62">
        <f t="shared" si="40"/>
        <v>219.59799863414099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2">
        <f t="shared" si="32"/>
        <v>2.9548110908066194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70">
        <f t="shared" si="1"/>
        <v>312.74387931648818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18.600000000000001</v>
      </c>
      <c r="N18" s="14">
        <f>IF('Données projet'!$A$36&gt;35,N17+M18-V17,IF(A18&lt;'Données projet'!$A$36,$K$205^A18,IF(A18='Données projet'!$A$36,'Données projet'!$B$36,N17+M18-V17)))</f>
        <v>110.19999999999999</v>
      </c>
      <c r="O18" s="14">
        <f>N18*VLOOKUP('Données projet'!$B$9,Paramètres!$A$1:$I$89,3,0)*VLOOKUP('Données projet'!$B$9,Paramètres!$A$1:$I$89,5,0)</f>
        <v>65.899600000000007</v>
      </c>
      <c r="P18" s="14">
        <f t="shared" si="33"/>
        <v>18.651634138580526</v>
      </c>
      <c r="Q18" s="22">
        <f t="shared" si="2"/>
        <v>147.26006612469442</v>
      </c>
      <c r="R18" s="62">
        <f t="shared" si="0"/>
        <v>440.59339945802776</v>
      </c>
      <c r="S18" s="62">
        <f ca="1">AVERAGE(OFFSET($R$3,0,0,'Données projet'!$E$9+1,1))-AVERAGE(OFFSET($H$3,0,0,'Données projet'!$E$9+1,1))</f>
        <v>153.59418465942997</v>
      </c>
      <c r="T18" s="62">
        <f t="shared" si="34"/>
        <v>313.61727210988198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9.4790487948915754</v>
      </c>
      <c r="AC18" s="24">
        <f t="shared" si="3"/>
        <v>9.4790487948915754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5.5909090909090908</v>
      </c>
      <c r="AI18" s="14">
        <f>IF('Données projet'!$A$62&gt;35,AI17+AH18-AQ17,IF(A18&lt;'Données projet'!$A$62,$AF$205^A18,IF(A18='Données projet'!$A$62,'Données projet'!$B$62,AI17+AH18-AQ17)))</f>
        <v>26.603287217402478</v>
      </c>
      <c r="AJ18" s="14">
        <f>AI18*VLOOKUP('Données projet'!$B$10,Paramètres!$A$1:$I$89,3,0)*VLOOKUP('Données projet'!$B$10,Paramètres!$A$1:$I$89,5,0)</f>
        <v>15.908765756006684</v>
      </c>
      <c r="AK18" s="14">
        <f t="shared" si="35"/>
        <v>5.312733913945455</v>
      </c>
      <c r="AL18" s="22">
        <f t="shared" si="4"/>
        <v>36.960778591833304</v>
      </c>
      <c r="AM18" s="62">
        <f t="shared" si="5"/>
        <v>330.29411192516659</v>
      </c>
      <c r="AN18" s="62">
        <f ca="1">AVERAGE(OFFSET($AM$3,0,0,'Données projet'!$E$10+1,1))-AVERAGE(OFFSET($H$3,0,0,'Données projet'!$E$10+1,1))</f>
        <v>288.15107951401188</v>
      </c>
      <c r="AO18" s="62">
        <f t="shared" si="36"/>
        <v>217.57508587672368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6.5</v>
      </c>
      <c r="BD18" s="13">
        <f>IF('Données projet'!$A$88&gt;35,BD17+BC18-BL17,IF(A18&lt;'Données projet'!$A$88,$BA$205^A18,IF(A18='Données projet'!$A$88,'Données projet'!$B$88,BD17+BC18-BL17)))</f>
        <v>13.964240043768939</v>
      </c>
      <c r="BE18" s="14">
        <f>BD18*VLOOKUP('Données projet'!$B$11,Paramètres!$A$1:$I$89,3,0)*VLOOKUP('Données projet'!$B$11,Paramètres!$A$1:$I$89,5,0)</f>
        <v>6.5352643404838631</v>
      </c>
      <c r="BF18" s="14">
        <f t="shared" si="37"/>
        <v>2.4205752698614362</v>
      </c>
      <c r="BG18" s="22">
        <f t="shared" si="7"/>
        <v>15.598087321351393</v>
      </c>
      <c r="BH18" s="62">
        <f t="shared" si="8"/>
        <v>308.9314206546847</v>
      </c>
      <c r="BI18" s="62">
        <f ca="1">AVERAGE(OFFSET($BH$3,0,0,'Données projet'!$E$11+1,1))-AVERAGE(OFFSET($H$3,0,0,'Données projet'!$E$11+1,1))</f>
        <v>221.07273841880755</v>
      </c>
      <c r="BJ18" s="62">
        <f t="shared" si="38"/>
        <v>164.23448598618114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>
        <f>VLOOKUP(A18,'Données projet'!$A$113:$I$133,2,0)</f>
        <v>37</v>
      </c>
      <c r="BW18" s="13">
        <f>VLOOKUP(A18,'Données projet'!$A$113:$I$133,9,0)</f>
        <v>2.4666666666666668</v>
      </c>
      <c r="BX18" s="13">
        <f t="array" ref="BX18">INDEX(BW:BW,MIN(IF(ISNUMBER(BW18:BW214),ROW(BW18:BW214),"")))</f>
        <v>2.4666666666666668</v>
      </c>
      <c r="BY18" s="13">
        <f>IF('Données projet'!$A$114&gt;35,BY17+BX18-CG17,IF(A18&lt;'Données projet'!$A$114,$BV$205^A18,IF(A18='Données projet'!$A$114,'Données projet'!$B$114,BY17+BX18-CG17)))</f>
        <v>37</v>
      </c>
      <c r="BZ18" s="14">
        <f>BY18*VLOOKUP('Données projet'!$B$12,Paramètres!$A$1:$I$89,3,0)*VLOOKUP('Données projet'!$B$12,Paramètres!$A$1:$I$89,5,0)</f>
        <v>29.437200000000004</v>
      </c>
      <c r="CA18" s="14">
        <f t="shared" si="39"/>
        <v>9.1510096001539196</v>
      </c>
      <c r="CB18" s="22">
        <f t="shared" si="10"/>
        <v>67.207798386934755</v>
      </c>
      <c r="CC18" s="62">
        <f t="shared" si="11"/>
        <v>360.54113172026808</v>
      </c>
      <c r="CD18" s="62">
        <f ca="1">AVERAGE(OFFSET($CC$3,0,0,'Données projet'!$E$12+1,1))-AVERAGE(OFFSET($H$3,0,0,'Données projet'!$E$12+1,1))</f>
        <v>219.2279518699109</v>
      </c>
      <c r="CE18" s="62">
        <f t="shared" si="40"/>
        <v>219.59799863414099</v>
      </c>
      <c r="CF18" s="16">
        <f>IF(ISNA(VLOOKUP(A18,'Données projet'!$A$113:$I$133,3,0)),0,VLOOKUP(A18,'Données projet'!$A$113:$I$133,3,0))</f>
        <v>1</v>
      </c>
      <c r="CG18" s="16">
        <f>IF(ISNA(VLOOKUP(A18,'Données projet'!$A$113:$I$133,4,0)),0,VLOOKUP(A18,'Données projet'!$A$113:$I$133,4,0))</f>
        <v>15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2">
        <f t="shared" si="32"/>
        <v>3.1282100045396777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70">
        <f t="shared" si="1"/>
        <v>313.99683242457326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18.600000000000001</v>
      </c>
      <c r="N19" s="14">
        <f>IF('Données projet'!$A$36&gt;35,N18+M19-V18,IF(A19&lt;'Données projet'!$A$36,$K$205^A19,IF(A19='Données projet'!$A$36,'Données projet'!$B$36,N18+M19-V18)))</f>
        <v>128.79999999999998</v>
      </c>
      <c r="O19" s="14">
        <f>N19*VLOOKUP('Données projet'!$B$9,Paramètres!$A$1:$I$89,3,0)*VLOOKUP('Données projet'!$B$9,Paramètres!$A$1:$I$89,5,0)</f>
        <v>77.022400000000005</v>
      </c>
      <c r="P19" s="14">
        <f t="shared" si="33"/>
        <v>21.407546084466961</v>
      </c>
      <c r="Q19" s="22">
        <f t="shared" si="2"/>
        <v>171.43215609711328</v>
      </c>
      <c r="R19" s="62">
        <f t="shared" si="0"/>
        <v>464.76548943044656</v>
      </c>
      <c r="S19" s="62">
        <f ca="1">AVERAGE(OFFSET($R$3,0,0,'Données projet'!$E$9+1,1))-AVERAGE(OFFSET($H$3,0,0,'Données projet'!$E$9+1,1))</f>
        <v>153.59418465942997</v>
      </c>
      <c r="T19" s="62">
        <f t="shared" si="34"/>
        <v>313.61727210988198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6.7026996820660045</v>
      </c>
      <c r="AC19" s="24">
        <f t="shared" si="3"/>
        <v>6.7026996820660045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5.5909090909090908</v>
      </c>
      <c r="AI19" s="14">
        <f>IF('Données projet'!$A$62&gt;35,AI18+AH19-AQ18,IF(A19&lt;'Données projet'!$A$62,$AF$205^A19,IF(A19='Données projet'!$A$62,'Données projet'!$B$62,AI18+AH19-AQ18)))</f>
        <v>33.107850856996748</v>
      </c>
      <c r="AJ19" s="14">
        <f>AI19*VLOOKUP('Données projet'!$B$10,Paramètres!$A$1:$I$89,3,0)*VLOOKUP('Données projet'!$B$10,Paramètres!$A$1:$I$89,5,0)</f>
        <v>19.798494812484059</v>
      </c>
      <c r="AK19" s="14">
        <f t="shared" si="35"/>
        <v>6.4454946747588586</v>
      </c>
      <c r="AL19" s="22">
        <f t="shared" si="4"/>
        <v>45.70828169028141</v>
      </c>
      <c r="AM19" s="62">
        <f t="shared" si="5"/>
        <v>339.04161502361472</v>
      </c>
      <c r="AN19" s="62">
        <f ca="1">AVERAGE(OFFSET($AM$3,0,0,'Données projet'!$E$10+1,1))-AVERAGE(OFFSET($H$3,0,0,'Données projet'!$E$10+1,1))</f>
        <v>288.15107951401188</v>
      </c>
      <c r="AO19" s="62">
        <f t="shared" si="36"/>
        <v>217.57508587672368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6.5</v>
      </c>
      <c r="BD19" s="13">
        <f>IF('Données projet'!$A$88&gt;35,BD18+BC19-BL18,IF(A19&lt;'Données projet'!$A$88,$BA$205^A19,IF(A19='Données projet'!$A$88,'Données projet'!$B$88,BD18+BC19-BL18)))</f>
        <v>16.647606148649942</v>
      </c>
      <c r="BE19" s="14">
        <f>BD19*VLOOKUP('Données projet'!$B$11,Paramètres!$A$1:$I$89,3,0)*VLOOKUP('Données projet'!$B$11,Paramètres!$A$1:$I$89,5,0)</f>
        <v>7.791079677568173</v>
      </c>
      <c r="BF19" s="14">
        <f t="shared" si="37"/>
        <v>2.8272729930809319</v>
      </c>
      <c r="BG19" s="22">
        <f t="shared" si="7"/>
        <v>18.493630901380524</v>
      </c>
      <c r="BH19" s="62">
        <f t="shared" si="8"/>
        <v>311.82696423471384</v>
      </c>
      <c r="BI19" s="62">
        <f ca="1">AVERAGE(OFFSET($BH$3,0,0,'Données projet'!$E$11+1,1))-AVERAGE(OFFSET($H$3,0,0,'Données projet'!$E$11+1,1))</f>
        <v>221.07273841880755</v>
      </c>
      <c r="BJ19" s="62">
        <f t="shared" si="38"/>
        <v>164.23448598618114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11.6</v>
      </c>
      <c r="BY19" s="13">
        <f>IF('Données projet'!$A$114&gt;35,BY18+BX19-CG18,IF(A19&lt;'Données projet'!$A$114,$BV$205^A19,IF(A19='Données projet'!$A$114,'Données projet'!$B$114,BY18+BX19-CG18)))</f>
        <v>33.6</v>
      </c>
      <c r="BZ19" s="14">
        <f>BY19*VLOOKUP('Données projet'!$B$12,Paramètres!$A$1:$I$89,3,0)*VLOOKUP('Données projet'!$B$12,Paramètres!$A$1:$I$89,5,0)</f>
        <v>26.732160000000004</v>
      </c>
      <c r="CA19" s="14">
        <f t="shared" si="39"/>
        <v>8.4038705306032053</v>
      </c>
      <c r="CB19" s="22">
        <f t="shared" si="10"/>
        <v>61.195253174133917</v>
      </c>
      <c r="CC19" s="62">
        <f t="shared" si="11"/>
        <v>354.52858650746725</v>
      </c>
      <c r="CD19" s="62">
        <f ca="1">AVERAGE(OFFSET($CC$3,0,0,'Données projet'!$E$12+1,1))-AVERAGE(OFFSET($H$3,0,0,'Données projet'!$E$12+1,1))</f>
        <v>219.2279518699109</v>
      </c>
      <c r="CE19" s="62">
        <f t="shared" si="40"/>
        <v>219.59799863414099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2">
        <f t="shared" si="32"/>
        <v>3.3003511545061563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70">
        <f t="shared" si="1"/>
        <v>315.24759492743152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18.600000000000001</v>
      </c>
      <c r="N20" s="14">
        <f>IF('Données projet'!$A$36&gt;35,N19+M20-V19,IF(A20&lt;'Données projet'!$A$36,$K$205^A20,IF(A20='Données projet'!$A$36,'Données projet'!$B$36,N19+M20-V19)))</f>
        <v>147.39999999999998</v>
      </c>
      <c r="O20" s="14">
        <f>N20*VLOOKUP('Données projet'!$B$9,Paramètres!$A$1:$I$89,3,0)*VLOOKUP('Données projet'!$B$9,Paramètres!$A$1:$I$89,5,0)</f>
        <v>88.145199999999988</v>
      </c>
      <c r="P20" s="14">
        <f t="shared" si="33"/>
        <v>24.117351189004136</v>
      </c>
      <c r="Q20" s="22">
        <f t="shared" si="2"/>
        <v>195.52394332084884</v>
      </c>
      <c r="R20" s="62">
        <f t="shared" si="0"/>
        <v>488.85727665418216</v>
      </c>
      <c r="S20" s="62">
        <f ca="1">AVERAGE(OFFSET($R$3,0,0,'Données projet'!$E$9+1,1))-AVERAGE(OFFSET($H$3,0,0,'Données projet'!$E$9+1,1))</f>
        <v>153.59418465942997</v>
      </c>
      <c r="T20" s="62">
        <f t="shared" si="34"/>
        <v>313.61727210988198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4.7395243974457886</v>
      </c>
      <c r="AC20" s="24">
        <f t="shared" si="3"/>
        <v>4.7395243974457886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5.5909090909090908</v>
      </c>
      <c r="AI20" s="14">
        <f>IF('Données projet'!$A$62&gt;35,AI19+AH20-AQ19,IF(A20&lt;'Données projet'!$A$62,$AF$205^A20,IF(A20='Données projet'!$A$62,'Données projet'!$B$62,AI19+AH20-AQ19)))</f>
        <v>41.202794955809431</v>
      </c>
      <c r="AJ20" s="14">
        <f>AI20*VLOOKUP('Données projet'!$B$10,Paramètres!$A$1:$I$89,3,0)*VLOOKUP('Données projet'!$B$10,Paramètres!$A$1:$I$89,5,0)</f>
        <v>24.639271383574041</v>
      </c>
      <c r="AK20" s="14">
        <f t="shared" si="35"/>
        <v>7.8197783429910519</v>
      </c>
      <c r="AL20" s="22">
        <f t="shared" si="4"/>
        <v>56.532844940434195</v>
      </c>
      <c r="AM20" s="62">
        <f t="shared" si="5"/>
        <v>349.8661782737675</v>
      </c>
      <c r="AN20" s="62">
        <f ca="1">AVERAGE(OFFSET($AM$3,0,0,'Données projet'!$E$10+1,1))-AVERAGE(OFFSET($H$3,0,0,'Données projet'!$E$10+1,1))</f>
        <v>288.15107951401188</v>
      </c>
      <c r="AO20" s="62">
        <f t="shared" si="36"/>
        <v>217.57508587672368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6.5</v>
      </c>
      <c r="BD20" s="13">
        <f>IF('Données projet'!$A$88&gt;35,BD19+BC20-BL19,IF(A20&lt;'Données projet'!$A$88,$BA$205^A20,IF(A20='Données projet'!$A$88,'Données projet'!$B$88,BD19+BC20-BL19)))</f>
        <v>19.846607449592845</v>
      </c>
      <c r="BE20" s="14">
        <f>BD20*VLOOKUP('Données projet'!$B$11,Paramètres!$A$1:$I$89,3,0)*VLOOKUP('Données projet'!$B$11,Paramètres!$A$1:$I$89,5,0)</f>
        <v>9.2882122864094523</v>
      </c>
      <c r="BF20" s="14">
        <f t="shared" si="37"/>
        <v>3.3023028355827138</v>
      </c>
      <c r="BG20" s="22">
        <f t="shared" si="7"/>
        <v>21.928480504136356</v>
      </c>
      <c r="BH20" s="62">
        <f t="shared" si="8"/>
        <v>315.26181383746967</v>
      </c>
      <c r="BI20" s="62">
        <f ca="1">AVERAGE(OFFSET($BH$3,0,0,'Données projet'!$E$11+1,1))-AVERAGE(OFFSET($H$3,0,0,'Données projet'!$E$11+1,1))</f>
        <v>221.07273841880755</v>
      </c>
      <c r="BJ20" s="62">
        <f t="shared" si="38"/>
        <v>164.23448598618114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11.6</v>
      </c>
      <c r="BY20" s="13">
        <f>IF('Données projet'!$A$114&gt;35,BY19+BX20-CG19,IF(A20&lt;'Données projet'!$A$114,$BV$205^A20,IF(A20='Données projet'!$A$114,'Données projet'!$B$114,BY19+BX20-CG19)))</f>
        <v>45.2</v>
      </c>
      <c r="BZ20" s="14">
        <f>BY20*VLOOKUP('Données projet'!$B$12,Paramètres!$A$1:$I$89,3,0)*VLOOKUP('Données projet'!$B$12,Paramètres!$A$1:$I$89,5,0)</f>
        <v>35.961120000000008</v>
      </c>
      <c r="CA20" s="14">
        <f t="shared" si="39"/>
        <v>10.921600552662685</v>
      </c>
      <c r="CB20" s="22">
        <f t="shared" si="10"/>
        <v>81.654071629220851</v>
      </c>
      <c r="CC20" s="62">
        <f t="shared" si="11"/>
        <v>374.98740496255414</v>
      </c>
      <c r="CD20" s="62">
        <f ca="1">AVERAGE(OFFSET($CC$3,0,0,'Données projet'!$E$12+1,1))-AVERAGE(OFFSET($H$3,0,0,'Données projet'!$E$12+1,1))</f>
        <v>219.2279518699109</v>
      </c>
      <c r="CE20" s="62">
        <f t="shared" si="40"/>
        <v>219.59799863414099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2">
        <f t="shared" si="32"/>
        <v>3.4713169544550633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70">
        <f t="shared" si="1"/>
        <v>316.49631036234257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>
        <f>VLOOKUP(A21,'Données projet'!$A$35:$I$55,2,0)</f>
        <v>166</v>
      </c>
      <c r="L21" s="13">
        <f>VLOOKUP(A21,'Données projet'!$A$35:$I$55,9,0)</f>
        <v>18.600000000000001</v>
      </c>
      <c r="M21" s="13">
        <f t="array" ref="M21">INDEX(L:L,MIN(IF(ISNUMBER(L21:L217),ROW(L21:L217),"")))</f>
        <v>18.600000000000001</v>
      </c>
      <c r="N21" s="14">
        <f>IF('Données projet'!$A$36&gt;35,N20+M21-V20,IF(A21&lt;'Données projet'!$A$36,$K$205^A21,IF(A21='Données projet'!$A$36,'Données projet'!$B$36,N20+M21-V20)))</f>
        <v>165.99999999999997</v>
      </c>
      <c r="O21" s="14">
        <f>N21*VLOOKUP('Données projet'!$B$9,Paramètres!$A$1:$I$89,3,0)*VLOOKUP('Données projet'!$B$9,Paramètres!$A$1:$I$89,5,0)</f>
        <v>99.267999999999986</v>
      </c>
      <c r="P21" s="14">
        <f t="shared" si="33"/>
        <v>26.78753414535981</v>
      </c>
      <c r="Q21" s="22">
        <f t="shared" si="2"/>
        <v>219.54672196983498</v>
      </c>
      <c r="R21" s="62">
        <f t="shared" si="0"/>
        <v>512.88005530316832</v>
      </c>
      <c r="S21" s="62">
        <f ca="1">AVERAGE(OFFSET($R$3,0,0,'Données projet'!$E$9+1,1))-AVERAGE(OFFSET($H$3,0,0,'Données projet'!$E$9+1,1))</f>
        <v>153.59418465942997</v>
      </c>
      <c r="T21" s="62">
        <f t="shared" si="34"/>
        <v>313.61727210988198</v>
      </c>
      <c r="U21" s="16">
        <f>IF(ISNA(VLOOKUP(A21,'Données projet'!$A$35:$I$55,3,0)),0,VLOOKUP(A21,'Données projet'!$A$35:$I$55,3,0))</f>
        <v>2</v>
      </c>
      <c r="V21" s="16">
        <f>IF(ISNA(VLOOKUP(A21,'Données projet'!$A$35:$I$55,4,0)),0,VLOOKUP(A21,'Données projet'!$A$35:$I$55,4,0))</f>
        <v>40</v>
      </c>
      <c r="W21" s="17">
        <f>IF(ISNA(VLOOKUP(A21,'Données projet'!$A$35:$I$55,5,0)),0%,VLOOKUP(A21,'Données projet'!$A$35:$I$55,5,0)*VLOOKUP('Données projet'!$B$9,Paramètres!$A$1:$I$89,7,0))</f>
        <v>0.1125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0.75</v>
      </c>
      <c r="Z21" s="23">
        <f>EXP(-LN(2)/35)*Z20+(1-EXP(-LN(2)/35))/(LN(2)/35)*V21*W21*VLOOKUP('Données projet'!$B$9,Paramètres!$A$1:$I$89,3,0)*0.475*44/12</f>
        <v>3.5697849495878025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23.663597258657802</v>
      </c>
      <c r="AC21" s="24">
        <f t="shared" si="3"/>
        <v>27.233382208245605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5.5909090909090908</v>
      </c>
      <c r="AI21" s="14">
        <f>IF('Données projet'!$A$62&gt;35,AI20+AH21-AQ20,IF(A21&lt;'Données projet'!$A$62,$AF$205^A21,IF(A21='Données projet'!$A$62,'Données projet'!$B$62,AI20+AH21-AQ20)))</f>
        <v>51.276971117915458</v>
      </c>
      <c r="AJ21" s="14">
        <f>AI21*VLOOKUP('Données projet'!$B$10,Paramètres!$A$1:$I$89,3,0)*VLOOKUP('Données projet'!$B$10,Paramètres!$A$1:$I$89,5,0)</f>
        <v>30.663628728513448</v>
      </c>
      <c r="AK21" s="14">
        <f t="shared" si="35"/>
        <v>9.4870815071768995</v>
      </c>
      <c r="AL21" s="22">
        <f t="shared" si="4"/>
        <v>69.929153660494023</v>
      </c>
      <c r="AM21" s="62">
        <f t="shared" si="5"/>
        <v>363.26248699382734</v>
      </c>
      <c r="AN21" s="62">
        <f ca="1">AVERAGE(OFFSET($AM$3,0,0,'Données projet'!$E$10+1,1))-AVERAGE(OFFSET($H$3,0,0,'Données projet'!$E$10+1,1))</f>
        <v>288.15107951401188</v>
      </c>
      <c r="AO21" s="62">
        <f t="shared" si="36"/>
        <v>217.57508587672368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6.5</v>
      </c>
      <c r="BD21" s="13">
        <f>IF('Données projet'!$A$88&gt;35,BD20+BC21-BL20,IF(A21&lt;'Données projet'!$A$88,$BA$205^A21,IF(A21='Données projet'!$A$88,'Données projet'!$B$88,BD20+BC21-BL20)))</f>
        <v>23.660328322350242</v>
      </c>
      <c r="BE21" s="14">
        <f>BD21*VLOOKUP('Données projet'!$B$11,Paramètres!$A$1:$I$89,3,0)*VLOOKUP('Données projet'!$B$11,Paramètres!$A$1:$I$89,5,0)</f>
        <v>11.073033654859913</v>
      </c>
      <c r="BF21" s="14">
        <f t="shared" si="37"/>
        <v>3.8571457530226052</v>
      </c>
      <c r="BG21" s="22">
        <f t="shared" si="7"/>
        <v>26.003395802062048</v>
      </c>
      <c r="BH21" s="62">
        <f t="shared" si="8"/>
        <v>319.33672913539539</v>
      </c>
      <c r="BI21" s="62">
        <f ca="1">AVERAGE(OFFSET($BH$3,0,0,'Données projet'!$E$11+1,1))-AVERAGE(OFFSET($H$3,0,0,'Données projet'!$E$11+1,1))</f>
        <v>221.07273841880755</v>
      </c>
      <c r="BJ21" s="62">
        <f t="shared" si="38"/>
        <v>164.23448598618114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11.6</v>
      </c>
      <c r="BY21" s="13">
        <f>IF('Données projet'!$A$114&gt;35,BY20+BX21-CG20,IF(A21&lt;'Données projet'!$A$114,$BV$205^A21,IF(A21='Données projet'!$A$114,'Données projet'!$B$114,BY20+BX21-CG20)))</f>
        <v>56.800000000000004</v>
      </c>
      <c r="BZ21" s="14">
        <f>BY21*VLOOKUP('Données projet'!$B$12,Paramètres!$A$1:$I$89,3,0)*VLOOKUP('Données projet'!$B$12,Paramètres!$A$1:$I$89,5,0)</f>
        <v>45.190080000000009</v>
      </c>
      <c r="CA21" s="14">
        <f t="shared" si="39"/>
        <v>13.364359727915414</v>
      </c>
      <c r="CB21" s="22">
        <f t="shared" si="10"/>
        <v>101.98231585945268</v>
      </c>
      <c r="CC21" s="62">
        <f t="shared" si="11"/>
        <v>395.315649192786</v>
      </c>
      <c r="CD21" s="62">
        <f ca="1">AVERAGE(OFFSET($CC$3,0,0,'Données projet'!$E$12+1,1))-AVERAGE(OFFSET($H$3,0,0,'Données projet'!$E$12+1,1))</f>
        <v>219.2279518699109</v>
      </c>
      <c r="CE21" s="62">
        <f t="shared" si="40"/>
        <v>219.59799863414099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2">
        <f t="shared" si="32"/>
        <v>3.6411801438697724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70">
        <f t="shared" si="1"/>
        <v>317.74310541723986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17.8</v>
      </c>
      <c r="N22" s="14">
        <f>IF('Données projet'!$A$36&gt;35,N21+M22-V21,IF(A22&lt;'Données projet'!$A$36,$K$205^A22,IF(A22='Données projet'!$A$36,'Données projet'!$B$36,N21+M22-V21)))</f>
        <v>143.79999999999998</v>
      </c>
      <c r="O22" s="14">
        <f>N22*VLOOKUP('Données projet'!$B$9,Paramètres!$A$1:$I$89,3,0)*VLOOKUP('Données projet'!$B$9,Paramètres!$A$1:$I$89,5,0)</f>
        <v>85.992400000000004</v>
      </c>
      <c r="P22" s="14">
        <f t="shared" si="33"/>
        <v>23.596141005324462</v>
      </c>
      <c r="Q22" s="22">
        <f t="shared" si="2"/>
        <v>190.86670891760676</v>
      </c>
      <c r="R22" s="62">
        <f t="shared" si="0"/>
        <v>484.2000422509401</v>
      </c>
      <c r="S22" s="62">
        <f ca="1">AVERAGE(OFFSET($R$3,0,0,'Données projet'!$E$9+1,1))-AVERAGE(OFFSET($H$3,0,0,'Données projet'!$E$9+1,1))</f>
        <v>153.59418465942997</v>
      </c>
      <c r="T22" s="62">
        <f t="shared" si="34"/>
        <v>313.61727210988198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3.499783644080209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16.732690088864331</v>
      </c>
      <c r="AC22" s="24">
        <f t="shared" si="3"/>
        <v>20.232473732944541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5.5909090909090908</v>
      </c>
      <c r="AI22" s="14">
        <f>IF('Données projet'!$A$62&gt;35,AI21+AH22-AQ21,IF(A22&lt;'Données projet'!$A$62,$AF$205^A22,IF(A22='Données projet'!$A$62,'Données projet'!$B$62,AI21+AH22-AQ21)))</f>
        <v>63.814306040343304</v>
      </c>
      <c r="AJ22" s="14">
        <f>AI22*VLOOKUP('Données projet'!$B$10,Paramètres!$A$1:$I$89,3,0)*VLOOKUP('Données projet'!$B$10,Paramètres!$A$1:$I$89,5,0)</f>
        <v>38.160955012125299</v>
      </c>
      <c r="AK22" s="14">
        <f t="shared" si="35"/>
        <v>11.509880661066306</v>
      </c>
      <c r="AL22" s="22">
        <f t="shared" si="4"/>
        <v>86.510038797475374</v>
      </c>
      <c r="AM22" s="62">
        <f t="shared" si="5"/>
        <v>379.84337213080869</v>
      </c>
      <c r="AN22" s="62">
        <f ca="1">AVERAGE(OFFSET($AM$3,0,0,'Données projet'!$E$10+1,1))-AVERAGE(OFFSET($H$3,0,0,'Données projet'!$E$10+1,1))</f>
        <v>288.15107951401188</v>
      </c>
      <c r="AO22" s="62">
        <f t="shared" si="36"/>
        <v>217.57508587672368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6.5</v>
      </c>
      <c r="BD22" s="13">
        <f>IF('Données projet'!$A$88&gt;35,BD21+BC22-BL21,IF(A22&lt;'Données projet'!$A$88,$BA$205^A22,IF(A22='Données projet'!$A$88,'Données projet'!$B$88,BD21+BC22-BL21)))</f>
        <v>28.206893180269638</v>
      </c>
      <c r="BE22" s="14">
        <f>BD22*VLOOKUP('Données projet'!$B$11,Paramètres!$A$1:$I$89,3,0)*VLOOKUP('Données projet'!$B$11,Paramètres!$A$1:$I$89,5,0)</f>
        <v>13.200826008366192</v>
      </c>
      <c r="BF22" s="14">
        <f t="shared" si="37"/>
        <v>4.5052116964418483</v>
      </c>
      <c r="BG22" s="22">
        <f t="shared" si="7"/>
        <v>30.838015669207337</v>
      </c>
      <c r="BH22" s="62">
        <f t="shared" si="8"/>
        <v>324.17134900254064</v>
      </c>
      <c r="BI22" s="62">
        <f ca="1">AVERAGE(OFFSET($BH$3,0,0,'Données projet'!$E$11+1,1))-AVERAGE(OFFSET($H$3,0,0,'Données projet'!$E$11+1,1))</f>
        <v>221.07273841880755</v>
      </c>
      <c r="BJ22" s="62">
        <f t="shared" si="38"/>
        <v>164.23448598618114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11.6</v>
      </c>
      <c r="BY22" s="13">
        <f>IF('Données projet'!$A$114&gt;35,BY21+BX22-CG21,IF(A22&lt;'Données projet'!$A$114,$BV$205^A22,IF(A22='Données projet'!$A$114,'Données projet'!$B$114,BY21+BX22-CG21)))</f>
        <v>68.400000000000006</v>
      </c>
      <c r="BZ22" s="14">
        <f>BY22*VLOOKUP('Données projet'!$B$12,Paramètres!$A$1:$I$89,3,0)*VLOOKUP('Données projet'!$B$12,Paramètres!$A$1:$I$89,5,0)</f>
        <v>54.419040000000003</v>
      </c>
      <c r="CA22" s="14">
        <f t="shared" si="39"/>
        <v>15.749310274925152</v>
      </c>
      <c r="CB22" s="22">
        <f t="shared" si="10"/>
        <v>122.20987672882796</v>
      </c>
      <c r="CC22" s="62">
        <f t="shared" si="11"/>
        <v>415.54321006216128</v>
      </c>
      <c r="CD22" s="62">
        <f ca="1">AVERAGE(OFFSET($CC$3,0,0,'Données projet'!$E$12+1,1))-AVERAGE(OFFSET($H$3,0,0,'Données projet'!$E$12+1,1))</f>
        <v>219.2279518699109</v>
      </c>
      <c r="CE22" s="62">
        <f t="shared" si="40"/>
        <v>219.59799863414099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2">
        <f t="shared" si="32"/>
        <v>3.810005372992582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70">
        <f t="shared" si="1"/>
        <v>318.98809269129538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17.8</v>
      </c>
      <c r="N23" s="14">
        <f>IF('Données projet'!$A$36&gt;35,N22+M23-V22,IF(A23&lt;'Données projet'!$A$36,$K$205^A23,IF(A23='Données projet'!$A$36,'Données projet'!$B$36,N22+M23-V22)))</f>
        <v>161.6</v>
      </c>
      <c r="O23" s="14">
        <f>N23*VLOOKUP('Données projet'!$B$9,Paramètres!$A$1:$I$89,3,0)*VLOOKUP('Données projet'!$B$9,Paramètres!$A$1:$I$89,5,0)</f>
        <v>96.636800000000008</v>
      </c>
      <c r="P23" s="14">
        <f t="shared" si="33"/>
        <v>26.159173215164081</v>
      </c>
      <c r="Q23" s="22">
        <f t="shared" si="2"/>
        <v>213.86965334974411</v>
      </c>
      <c r="R23" s="62">
        <f t="shared" si="0"/>
        <v>507.20298668307743</v>
      </c>
      <c r="S23" s="62">
        <f ca="1">AVERAGE(OFFSET($R$3,0,0,'Données projet'!$E$9+1,1))-AVERAGE(OFFSET($H$3,0,0,'Données projet'!$E$9+1,1))</f>
        <v>153.59418465942997</v>
      </c>
      <c r="T23" s="62">
        <f t="shared" si="34"/>
        <v>313.61727210988198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3.4311550214770392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11.831798629328903</v>
      </c>
      <c r="AC23" s="24">
        <f t="shared" si="3"/>
        <v>15.262953650805942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5.5909090909090908</v>
      </c>
      <c r="AI23" s="14">
        <f>IF('Données projet'!$A$62&gt;35,AI22+AH23-AQ22,IF(A23&lt;'Données projet'!$A$62,$AF$205^A23,IF(A23='Données projet'!$A$62,'Données projet'!$B$62,AI22+AH23-AQ22)))</f>
        <v>79.417047587426694</v>
      </c>
      <c r="AJ23" s="14">
        <f>AI23*VLOOKUP('Données projet'!$B$10,Paramètres!$A$1:$I$89,3,0)*VLOOKUP('Données projet'!$B$10,Paramètres!$A$1:$I$89,5,0)</f>
        <v>47.49139445728116</v>
      </c>
      <c r="AK23" s="14">
        <f t="shared" si="35"/>
        <v>13.96397329692701</v>
      </c>
      <c r="AL23" s="22">
        <f t="shared" si="4"/>
        <v>107.03476550524589</v>
      </c>
      <c r="AM23" s="62">
        <f t="shared" si="5"/>
        <v>400.36809883857921</v>
      </c>
      <c r="AN23" s="62">
        <f ca="1">AVERAGE(OFFSET($AM$3,0,0,'Données projet'!$E$10+1,1))-AVERAGE(OFFSET($H$3,0,0,'Données projet'!$E$10+1,1))</f>
        <v>288.15107951401188</v>
      </c>
      <c r="AO23" s="62">
        <f t="shared" si="36"/>
        <v>217.57508587672368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6.5</v>
      </c>
      <c r="BD23" s="13">
        <f>IF('Données projet'!$A$88&gt;35,BD22+BC23-BL22,IF(A23&lt;'Données projet'!$A$88,$BA$205^A23,IF(A23='Données projet'!$A$88,'Données projet'!$B$88,BD22+BC23-BL22)))</f>
        <v>33.627125204833582</v>
      </c>
      <c r="BE23" s="14">
        <f>BD23*VLOOKUP('Données projet'!$B$11,Paramètres!$A$1:$I$89,3,0)*VLOOKUP('Données projet'!$B$11,Paramètres!$A$1:$I$89,5,0)</f>
        <v>15.737494595862117</v>
      </c>
      <c r="BF23" s="14">
        <f t="shared" si="37"/>
        <v>5.2621637162274721</v>
      </c>
      <c r="BG23" s="22">
        <f t="shared" si="7"/>
        <v>36.574404893556029</v>
      </c>
      <c r="BH23" s="62">
        <f t="shared" si="8"/>
        <v>329.90773822688936</v>
      </c>
      <c r="BI23" s="62">
        <f ca="1">AVERAGE(OFFSET($BH$3,0,0,'Données projet'!$E$11+1,1))-AVERAGE(OFFSET($H$3,0,0,'Données projet'!$E$11+1,1))</f>
        <v>221.07273841880755</v>
      </c>
      <c r="BJ23" s="62">
        <f t="shared" si="38"/>
        <v>164.23448598618114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>
        <f>VLOOKUP(A23,'Données projet'!$A$113:$I$133,2,0)</f>
        <v>80</v>
      </c>
      <c r="BW23" s="13">
        <f>VLOOKUP(A23,'Données projet'!$A$113:$I$133,9,0)</f>
        <v>11.6</v>
      </c>
      <c r="BX23" s="13">
        <f t="array" ref="BX23">INDEX(BW:BW,MIN(IF(ISNUMBER(BW23:BW219),ROW(BW23:BW219),"")))</f>
        <v>11.6</v>
      </c>
      <c r="BY23" s="13">
        <f>IF('Données projet'!$A$114&gt;35,BY22+BX23-CG22,IF(A23&lt;'Données projet'!$A$114,$BV$205^A23,IF(A23='Données projet'!$A$114,'Données projet'!$B$114,BY22+BX23-CG22)))</f>
        <v>80</v>
      </c>
      <c r="BZ23" s="14">
        <f>BY23*VLOOKUP('Données projet'!$B$12,Paramètres!$A$1:$I$89,3,0)*VLOOKUP('Données projet'!$B$12,Paramètres!$A$1:$I$89,5,0)</f>
        <v>63.647999999999996</v>
      </c>
      <c r="CA23" s="14">
        <f t="shared" si="39"/>
        <v>18.087405707268363</v>
      </c>
      <c r="CB23" s="22">
        <f t="shared" si="10"/>
        <v>142.35583160682572</v>
      </c>
      <c r="CC23" s="62">
        <f t="shared" si="11"/>
        <v>435.689164940159</v>
      </c>
      <c r="CD23" s="62">
        <f ca="1">AVERAGE(OFFSET($CC$3,0,0,'Données projet'!$E$12+1,1))-AVERAGE(OFFSET($H$3,0,0,'Données projet'!$E$12+1,1))</f>
        <v>219.2279518699109</v>
      </c>
      <c r="CE23" s="62">
        <f t="shared" si="40"/>
        <v>219.59799863414099</v>
      </c>
      <c r="CF23" s="16">
        <f>IF(ISNA(VLOOKUP(A23,'Données projet'!$A$113:$I$133,3,0)),0,VLOOKUP(A23,'Données projet'!$A$113:$I$133,3,0))</f>
        <v>2</v>
      </c>
      <c r="CG23" s="16">
        <f>IF(ISNA(VLOOKUP(A23,'Données projet'!$A$113:$I$133,4,0)),0,VLOOKUP(A23,'Données projet'!$A$113:$I$133,4,0))</f>
        <v>28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2">
        <f t="shared" si="32"/>
        <v>3.9778504618356041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70">
        <f t="shared" si="1"/>
        <v>320.23137288769698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17.8</v>
      </c>
      <c r="N24" s="14">
        <f>IF('Données projet'!$A$36&gt;35,N23+M24-V23,IF(A24&lt;'Données projet'!$A$36,$K$205^A24,IF(A24='Données projet'!$A$36,'Données projet'!$B$36,N23+M24-V23)))</f>
        <v>179.4</v>
      </c>
      <c r="O24" s="14">
        <f>N24*VLOOKUP('Données projet'!$B$9,Paramètres!$A$1:$I$89,3,0)*VLOOKUP('Données projet'!$B$9,Paramètres!$A$1:$I$89,5,0)</f>
        <v>107.2812</v>
      </c>
      <c r="P24" s="14">
        <f t="shared" si="33"/>
        <v>28.68948404302737</v>
      </c>
      <c r="Q24" s="22">
        <f t="shared" si="2"/>
        <v>236.81560804160597</v>
      </c>
      <c r="R24" s="62">
        <f t="shared" si="0"/>
        <v>530.14894137493934</v>
      </c>
      <c r="S24" s="62">
        <f ca="1">AVERAGE(OFFSET($R$3,0,0,'Données projet'!$E$9+1,1))-AVERAGE(OFFSET($H$3,0,0,'Données projet'!$E$9+1,1))</f>
        <v>153.59418465942997</v>
      </c>
      <c r="T24" s="62">
        <f t="shared" si="34"/>
        <v>313.61727210988198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3.3638721643037908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8.3663450444321654</v>
      </c>
      <c r="AC24" s="24">
        <f t="shared" si="3"/>
        <v>11.730217208735956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5.5909090909090908</v>
      </c>
      <c r="AI24" s="14">
        <f>IF('Données projet'!$A$62&gt;35,AI23+AH24-AQ23,IF(A24&lt;'Données projet'!$A$62,$AF$205^A24,IF(A24='Données projet'!$A$62,'Données projet'!$B$62,AI23+AH24-AQ23)))</f>
        <v>98.834694582689295</v>
      </c>
      <c r="AJ24" s="14">
        <f>AI24*VLOOKUP('Données projet'!$B$10,Paramètres!$A$1:$I$89,3,0)*VLOOKUP('Données projet'!$B$10,Paramètres!$A$1:$I$89,5,0)</f>
        <v>59.103147360448204</v>
      </c>
      <c r="AK24" s="14">
        <f t="shared" si="35"/>
        <v>16.94131815778756</v>
      </c>
      <c r="AL24" s="22">
        <f t="shared" si="4"/>
        <v>132.44411077759398</v>
      </c>
      <c r="AM24" s="62">
        <f t="shared" si="5"/>
        <v>425.77744411092726</v>
      </c>
      <c r="AN24" s="62">
        <f ca="1">AVERAGE(OFFSET($AM$3,0,0,'Données projet'!$E$10+1,1))-AVERAGE(OFFSET($H$3,0,0,'Données projet'!$E$10+1,1))</f>
        <v>288.15107951401188</v>
      </c>
      <c r="AO24" s="62">
        <f t="shared" si="36"/>
        <v>217.57508587672368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6.5</v>
      </c>
      <c r="BD24" s="13">
        <f>IF('Données projet'!$A$88&gt;35,BD23+BC24-BL23,IF(A24&lt;'Données projet'!$A$88,$BA$205^A24,IF(A24='Données projet'!$A$88,'Données projet'!$B$88,BD23+BC24-BL23)))</f>
        <v>40.088908137267765</v>
      </c>
      <c r="BE24" s="14">
        <f>BD24*VLOOKUP('Données projet'!$B$11,Paramètres!$A$1:$I$89,3,0)*VLOOKUP('Données projet'!$B$11,Paramètres!$A$1:$I$89,5,0)</f>
        <v>18.761609008241315</v>
      </c>
      <c r="BF24" s="14">
        <f t="shared" si="37"/>
        <v>6.1462965210381464</v>
      </c>
      <c r="BG24" s="22">
        <f t="shared" si="7"/>
        <v>43.381268796828387</v>
      </c>
      <c r="BH24" s="62">
        <f t="shared" si="8"/>
        <v>336.71460213016172</v>
      </c>
      <c r="BI24" s="62">
        <f ca="1">AVERAGE(OFFSET($BH$3,0,0,'Données projet'!$E$11+1,1))-AVERAGE(OFFSET($H$3,0,0,'Données projet'!$E$11+1,1))</f>
        <v>221.07273841880755</v>
      </c>
      <c r="BJ24" s="62">
        <f t="shared" si="38"/>
        <v>164.23448598618114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12.6</v>
      </c>
      <c r="BY24" s="13">
        <f>IF('Données projet'!$A$114&gt;35,BY23+BX24-CG23,IF(A24&lt;'Données projet'!$A$114,$BV$205^A24,IF(A24='Données projet'!$A$114,'Données projet'!$B$114,BY23+BX24-CG23)))</f>
        <v>64.599999999999994</v>
      </c>
      <c r="BZ24" s="14">
        <f>BY24*VLOOKUP('Données projet'!$B$12,Paramètres!$A$1:$I$89,3,0)*VLOOKUP('Données projet'!$B$12,Paramètres!$A$1:$I$89,5,0)</f>
        <v>51.395759999999996</v>
      </c>
      <c r="CA24" s="14">
        <f t="shared" si="39"/>
        <v>14.973641136922506</v>
      </c>
      <c r="CB24" s="22">
        <f t="shared" si="10"/>
        <v>115.59337364680668</v>
      </c>
      <c r="CC24" s="62">
        <f t="shared" si="11"/>
        <v>408.92670698014001</v>
      </c>
      <c r="CD24" s="62">
        <f ca="1">AVERAGE(OFFSET($CC$3,0,0,'Données projet'!$E$12+1,1))-AVERAGE(OFFSET($H$3,0,0,'Données projet'!$E$12+1,1))</f>
        <v>219.2279518699109</v>
      </c>
      <c r="CE24" s="62">
        <f t="shared" si="40"/>
        <v>219.59799863414099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2">
        <f t="shared" si="32"/>
        <v>4.1447674125853915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70">
        <f t="shared" si="1"/>
        <v>321.47303657691953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17.8</v>
      </c>
      <c r="N25" s="14">
        <f>IF('Données projet'!$A$36&gt;35,N24+M25-V24,IF(A25&lt;'Données projet'!$A$36,$K$205^A25,IF(A25='Données projet'!$A$36,'Données projet'!$B$36,N24+M25-V24)))</f>
        <v>197.20000000000002</v>
      </c>
      <c r="O25" s="14">
        <f>N25*VLOOKUP('Données projet'!$B$9,Paramètres!$A$1:$I$89,3,0)*VLOOKUP('Données projet'!$B$9,Paramètres!$A$1:$I$89,5,0)</f>
        <v>117.92560000000003</v>
      </c>
      <c r="P25" s="14">
        <f t="shared" si="33"/>
        <v>31.190689636070587</v>
      </c>
      <c r="Q25" s="22">
        <f t="shared" si="2"/>
        <v>259.71087111615634</v>
      </c>
      <c r="R25" s="62">
        <f t="shared" si="0"/>
        <v>553.0442044494896</v>
      </c>
      <c r="S25" s="62">
        <f ca="1">AVERAGE(OFFSET($R$3,0,0,'Données projet'!$E$9+1,1))-AVERAGE(OFFSET($H$3,0,0,'Données projet'!$E$9+1,1))</f>
        <v>153.59418465942997</v>
      </c>
      <c r="T25" s="62">
        <f t="shared" si="34"/>
        <v>313.61727210988198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3.2979086829212192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5.9158993146644514</v>
      </c>
      <c r="AC25" s="24">
        <f t="shared" si="3"/>
        <v>9.2138079975856702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>
        <f>VLOOKUP(A25,'Données projet'!$A$61:$I$81,2,0)</f>
        <v>123</v>
      </c>
      <c r="AG25" s="13">
        <f>VLOOKUP(A25,'Données projet'!$A$61:$I$81,9,0)</f>
        <v>5.5909090909090908</v>
      </c>
      <c r="AH25" s="13">
        <f t="array" ref="AH25">INDEX(AG:AG,MIN(IF(ISNUMBER(AG25:AG221),ROW(AG25:AG221),"")))</f>
        <v>5.5909090909090908</v>
      </c>
      <c r="AI25" s="14">
        <f>IF('Données projet'!$A$62&gt;35,AI24+AH25-AQ24,IF(A25&lt;'Données projet'!$A$62,$AF$205^A25,IF(A25='Données projet'!$A$62,'Données projet'!$B$62,AI24+AH25-AQ24)))</f>
        <v>123</v>
      </c>
      <c r="AJ25" s="14">
        <f>AI25*VLOOKUP('Données projet'!$B$10,Paramètres!$A$1:$I$89,3,0)*VLOOKUP('Données projet'!$B$10,Paramètres!$A$1:$I$89,5,0)</f>
        <v>73.554000000000016</v>
      </c>
      <c r="AK25" s="14">
        <f t="shared" si="35"/>
        <v>20.553481077376691</v>
      </c>
      <c r="AL25" s="22">
        <f t="shared" si="4"/>
        <v>163.90386287643108</v>
      </c>
      <c r="AM25" s="62">
        <f t="shared" si="5"/>
        <v>457.23719620976442</v>
      </c>
      <c r="AN25" s="62">
        <f ca="1">AVERAGE(OFFSET($AM$3,0,0,'Données projet'!$E$10+1,1))-AVERAGE(OFFSET($H$3,0,0,'Données projet'!$E$10+1,1))</f>
        <v>288.15107951401188</v>
      </c>
      <c r="AO25" s="62">
        <f t="shared" si="36"/>
        <v>217.57508587672368</v>
      </c>
      <c r="AP25" s="16">
        <f>IF(ISNA(VLOOKUP(A25,'Données projet'!$A$61:$I$81,3,0)),0,VLOOKUP(A25,'Données projet'!$A$61:$I$81,3,0))</f>
        <v>1</v>
      </c>
      <c r="AQ25" s="16">
        <f>IF(ISNA(VLOOKUP(A25,'Données projet'!$A$61:$I$81,4,0)),0,VLOOKUP(A25,'Données projet'!$A$61:$I$81,4,0))</f>
        <v>16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1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10.833198622733226</v>
      </c>
      <c r="AX25" s="23">
        <f t="shared" si="6"/>
        <v>10.833198622733226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6.5</v>
      </c>
      <c r="BD25" s="13">
        <f>IF('Données projet'!$A$88&gt;35,BD24+BC25-BL24,IF(A25&lt;'Données projet'!$A$88,$BA$205^A25,IF(A25='Données projet'!$A$88,'Données projet'!$B$88,BD24+BC25-BL24)))</f>
        <v>47.792386231317963</v>
      </c>
      <c r="BE25" s="14">
        <f>BD25*VLOOKUP('Données projet'!$B$11,Paramètres!$A$1:$I$89,3,0)*VLOOKUP('Données projet'!$B$11,Paramètres!$A$1:$I$89,5,0)</f>
        <v>22.366836756256806</v>
      </c>
      <c r="BF25" s="14">
        <f t="shared" si="37"/>
        <v>7.178978641053865</v>
      </c>
      <c r="BG25" s="22">
        <f t="shared" si="7"/>
        <v>51.458961816982743</v>
      </c>
      <c r="BH25" s="62">
        <f t="shared" si="8"/>
        <v>344.79229515031608</v>
      </c>
      <c r="BI25" s="62">
        <f ca="1">AVERAGE(OFFSET($BH$3,0,0,'Données projet'!$E$11+1,1))-AVERAGE(OFFSET($H$3,0,0,'Données projet'!$E$11+1,1))</f>
        <v>221.07273841880755</v>
      </c>
      <c r="BJ25" s="62">
        <f t="shared" si="38"/>
        <v>164.23448598618114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12.6</v>
      </c>
      <c r="BY25" s="13">
        <f>IF('Données projet'!$A$114&gt;35,BY24+BX25-CG24,IF(A25&lt;'Données projet'!$A$114,$BV$205^A25,IF(A25='Données projet'!$A$114,'Données projet'!$B$114,BY24+BX25-CG24)))</f>
        <v>77.199999999999989</v>
      </c>
      <c r="BZ25" s="14">
        <f>BY25*VLOOKUP('Données projet'!$B$12,Paramètres!$A$1:$I$89,3,0)*VLOOKUP('Données projet'!$B$12,Paramètres!$A$1:$I$89,5,0)</f>
        <v>61.42031999999999</v>
      </c>
      <c r="CA25" s="14">
        <f t="shared" si="39"/>
        <v>17.526880037631354</v>
      </c>
      <c r="CB25" s="22">
        <f t="shared" si="10"/>
        <v>137.4997067322079</v>
      </c>
      <c r="CC25" s="62">
        <f t="shared" si="11"/>
        <v>430.83304006554124</v>
      </c>
      <c r="CD25" s="62">
        <f ca="1">AVERAGE(OFFSET($CC$3,0,0,'Données projet'!$E$12+1,1))-AVERAGE(OFFSET($H$3,0,0,'Données projet'!$E$12+1,1))</f>
        <v>219.2279518699109</v>
      </c>
      <c r="CE25" s="62">
        <f t="shared" si="40"/>
        <v>219.59799863414099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2">
        <f t="shared" si="32"/>
        <v>4.3108032327306516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70">
        <f t="shared" si="1"/>
        <v>322.71316563033918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>
        <f>VLOOKUP(A26,'Données projet'!$A$35:$I$55,2,0)</f>
        <v>215</v>
      </c>
      <c r="L26" s="13">
        <f>VLOOKUP(A26,'Données projet'!$A$35:$I$55,9,0)</f>
        <v>17.8</v>
      </c>
      <c r="M26" s="13">
        <f t="array" ref="M26">INDEX(L:L,MIN(IF(ISNUMBER(L26:L222),ROW(L26:L222),"")))</f>
        <v>17.8</v>
      </c>
      <c r="N26" s="14">
        <f>IF('Données projet'!$A$36&gt;35,N25+M26-V25,IF(A26&lt;'Données projet'!$A$36,$K$205^A26,IF(A26='Données projet'!$A$36,'Données projet'!$B$36,N25+M26-V25)))</f>
        <v>215.00000000000003</v>
      </c>
      <c r="O26" s="14">
        <f>N26*VLOOKUP('Données projet'!$B$9,Paramètres!$A$1:$I$89,3,0)*VLOOKUP('Données projet'!$B$9,Paramètres!$A$1:$I$89,5,0)</f>
        <v>128.57000000000002</v>
      </c>
      <c r="P26" s="14">
        <f t="shared" si="33"/>
        <v>33.665715905233277</v>
      </c>
      <c r="Q26" s="22">
        <f t="shared" si="2"/>
        <v>282.56053853494797</v>
      </c>
      <c r="R26" s="62">
        <f t="shared" si="0"/>
        <v>575.89387186828128</v>
      </c>
      <c r="S26" s="62">
        <f ca="1">AVERAGE(OFFSET($R$3,0,0,'Données projet'!$E$9+1,1))-AVERAGE(OFFSET($H$3,0,0,'Données projet'!$E$9+1,1))</f>
        <v>153.59418465942997</v>
      </c>
      <c r="T26" s="62">
        <f t="shared" si="34"/>
        <v>313.61727210988198</v>
      </c>
      <c r="U26" s="16">
        <f>IF(ISNA(VLOOKUP(A26,'Données projet'!$A$35:$I$55,3,0)),0,VLOOKUP(A26,'Données projet'!$A$35:$I$55,3,0))</f>
        <v>3</v>
      </c>
      <c r="V26" s="16">
        <f>IF(ISNA(VLOOKUP(A26,'Données projet'!$A$35:$I$55,4,0)),0,VLOOKUP(A26,'Données projet'!$A$35:$I$55,4,0))</f>
        <v>52</v>
      </c>
      <c r="W26" s="17">
        <f>IF(ISNA(VLOOKUP(A26,'Données projet'!$A$35:$I$55,5,0)),0%,VLOOKUP(A26,'Données projet'!$A$35:$I$55,5,0)*VLOOKUP('Données projet'!$B$9,Paramètres!$A$1:$I$89,7,0))</f>
        <v>0.22500000000000001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0.5</v>
      </c>
      <c r="Z26" s="23">
        <f>EXP(-LN(2)/35)*Z25+(1-EXP(-LN(2)/35))/(LN(2)/35)*V26*W26*VLOOKUP('Données projet'!$B$9,Paramètres!$A$1:$I$89,3,0)*0.475*44/12</f>
        <v>12.514679574103097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21.787120284157577</v>
      </c>
      <c r="AC26" s="24">
        <f t="shared" si="3"/>
        <v>34.301799858260672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12.333333333333334</v>
      </c>
      <c r="AI26" s="14">
        <f>IF('Données projet'!$A$62&gt;35,AI25+AH26-AQ25,IF(A26&lt;'Données projet'!$A$62,$AF$205^A26,IF(A26='Données projet'!$A$62,'Données projet'!$B$62,AI25+AH26-AQ25)))</f>
        <v>119.33333333333334</v>
      </c>
      <c r="AJ26" s="14">
        <f>AI26*VLOOKUP('Données projet'!$B$10,Paramètres!$A$1:$I$89,3,0)*VLOOKUP('Données projet'!$B$10,Paramètres!$A$1:$I$89,5,0)</f>
        <v>71.361333333333349</v>
      </c>
      <c r="AK26" s="14">
        <f t="shared" si="35"/>
        <v>20.011144716858571</v>
      </c>
      <c r="AL26" s="22">
        <f t="shared" si="4"/>
        <v>159.14039927075092</v>
      </c>
      <c r="AM26" s="62">
        <f t="shared" si="5"/>
        <v>452.47373260408426</v>
      </c>
      <c r="AN26" s="62">
        <f ca="1">AVERAGE(OFFSET($AM$3,0,0,'Données projet'!$E$10+1,1))-AVERAGE(OFFSET($H$3,0,0,'Données projet'!$E$10+1,1))</f>
        <v>288.15107951401188</v>
      </c>
      <c r="AO26" s="62">
        <f t="shared" si="36"/>
        <v>217.57508587672368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7.6602282080754316</v>
      </c>
      <c r="AX26" s="23">
        <f t="shared" si="6"/>
        <v>7.6602282080754316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6.5</v>
      </c>
      <c r="BD26" s="13">
        <f>IF('Données projet'!$A$88&gt;35,BD25+BC26-BL25,IF(A26&lt;'Données projet'!$A$88,$BA$205^A26,IF(A26='Données projet'!$A$88,'Données projet'!$B$88,BD25+BC26-BL25)))</f>
        <v>56.976163428110333</v>
      </c>
      <c r="BE26" s="14">
        <f>BD26*VLOOKUP('Données projet'!$B$11,Paramètres!$A$1:$I$89,3,0)*VLOOKUP('Données projet'!$B$11,Paramètres!$A$1:$I$89,5,0)</f>
        <v>26.664844484355637</v>
      </c>
      <c r="BF26" s="14">
        <f t="shared" si="37"/>
        <v>8.3851688821551527</v>
      </c>
      <c r="BG26" s="22">
        <f t="shared" si="7"/>
        <v>61.045439946672957</v>
      </c>
      <c r="BH26" s="62">
        <f t="shared" si="8"/>
        <v>354.37877328000627</v>
      </c>
      <c r="BI26" s="62">
        <f ca="1">AVERAGE(OFFSET($BH$3,0,0,'Données projet'!$E$11+1,1))-AVERAGE(OFFSET($H$3,0,0,'Données projet'!$E$11+1,1))</f>
        <v>221.07273841880755</v>
      </c>
      <c r="BJ26" s="62">
        <f t="shared" si="38"/>
        <v>164.23448598618114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12.6</v>
      </c>
      <c r="BY26" s="13">
        <f>IF('Données projet'!$A$114&gt;35,BY25+BX26-CG25,IF(A26&lt;'Données projet'!$A$114,$BV$205^A26,IF(A26='Données projet'!$A$114,'Données projet'!$B$114,BY25+BX26-CG25)))</f>
        <v>89.799999999999983</v>
      </c>
      <c r="BZ26" s="14">
        <f>BY26*VLOOKUP('Données projet'!$B$12,Paramètres!$A$1:$I$89,3,0)*VLOOKUP('Données projet'!$B$12,Paramètres!$A$1:$I$89,5,0)</f>
        <v>71.444879999999998</v>
      </c>
      <c r="CA26" s="14">
        <f t="shared" si="39"/>
        <v>20.03184442542841</v>
      </c>
      <c r="CB26" s="22">
        <f t="shared" si="10"/>
        <v>159.32196170762117</v>
      </c>
      <c r="CC26" s="62">
        <f t="shared" si="11"/>
        <v>452.65529504095446</v>
      </c>
      <c r="CD26" s="62">
        <f ca="1">AVERAGE(OFFSET($CC$3,0,0,'Données projet'!$E$12+1,1))-AVERAGE(OFFSET($H$3,0,0,'Données projet'!$E$12+1,1))</f>
        <v>219.2279518699109</v>
      </c>
      <c r="CE26" s="62">
        <f t="shared" si="40"/>
        <v>219.59799863414099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2">
        <f t="shared" si="32"/>
        <v>4.4760006109979766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70">
        <f t="shared" si="1"/>
        <v>323.95183439748814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15.142857142857142</v>
      </c>
      <c r="N27" s="14">
        <f>IF('Données projet'!$A$36&gt;35,N26+M27-V26,IF(A27&lt;'Données projet'!$A$36,$K$205^A27,IF(A27='Données projet'!$A$36,'Données projet'!$B$36,N26+M27-V26)))</f>
        <v>178.14285714285717</v>
      </c>
      <c r="O27" s="14">
        <f>N27*VLOOKUP('Données projet'!$B$9,Paramètres!$A$1:$I$89,3,0)*VLOOKUP('Données projet'!$B$9,Paramètres!$A$1:$I$89,5,0)</f>
        <v>106.5294285714286</v>
      </c>
      <c r="P27" s="14">
        <f t="shared" si="33"/>
        <v>28.511771457031461</v>
      </c>
      <c r="Q27" s="22">
        <f t="shared" si="2"/>
        <v>235.19675671623455</v>
      </c>
      <c r="R27" s="62">
        <f t="shared" si="0"/>
        <v>528.53009004956789</v>
      </c>
      <c r="S27" s="62">
        <f ca="1">AVERAGE(OFFSET($R$3,0,0,'Données projet'!$E$9+1,1))-AVERAGE(OFFSET($H$3,0,0,'Données projet'!$E$9+1,1))</f>
        <v>153.59418465942997</v>
      </c>
      <c r="T27" s="62">
        <f t="shared" si="34"/>
        <v>313.61727210988198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12.269274340855759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15.405820495454805</v>
      </c>
      <c r="AC27" s="24">
        <f t="shared" si="3"/>
        <v>27.675094836310564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12.333333333333334</v>
      </c>
      <c r="AI27" s="14">
        <f>IF('Données projet'!$A$62&gt;35,AI26+AH27-AQ26,IF(A27&lt;'Données projet'!$A$62,$AF$205^A27,IF(A27='Données projet'!$A$62,'Données projet'!$B$62,AI26+AH27-AQ26)))</f>
        <v>131.66666666666669</v>
      </c>
      <c r="AJ27" s="14">
        <f>AI27*VLOOKUP('Données projet'!$B$10,Paramètres!$A$1:$I$89,3,0)*VLOOKUP('Données projet'!$B$10,Paramètres!$A$1:$I$89,5,0)</f>
        <v>78.736666666666679</v>
      </c>
      <c r="AK27" s="14">
        <f t="shared" si="35"/>
        <v>21.828006984037064</v>
      </c>
      <c r="AL27" s="22">
        <f t="shared" si="4"/>
        <v>175.15013994164235</v>
      </c>
      <c r="AM27" s="62">
        <f t="shared" si="5"/>
        <v>468.48347327497567</v>
      </c>
      <c r="AN27" s="62">
        <f ca="1">AVERAGE(OFFSET($AM$3,0,0,'Données projet'!$E$10+1,1))-AVERAGE(OFFSET($H$3,0,0,'Données projet'!$E$10+1,1))</f>
        <v>288.15107951401188</v>
      </c>
      <c r="AO27" s="62">
        <f t="shared" si="36"/>
        <v>217.57508587672368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5.416599311366614</v>
      </c>
      <c r="AX27" s="23">
        <f t="shared" si="6"/>
        <v>5.416599311366614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6.5</v>
      </c>
      <c r="BD27" s="13">
        <f>IF('Données projet'!$A$88&gt;35,BD26+BC27-BL26,IF(A27&lt;'Données projet'!$A$88,$BA$205^A27,IF(A27='Données projet'!$A$88,'Données projet'!$B$88,BD26+BC27-BL26)))</f>
        <v>67.924693763448758</v>
      </c>
      <c r="BE27" s="14">
        <f>BD27*VLOOKUP('Données projet'!$B$11,Paramètres!$A$1:$I$89,3,0)*VLOOKUP('Données projet'!$B$11,Paramètres!$A$1:$I$89,5,0)</f>
        <v>31.788756681294021</v>
      </c>
      <c r="BF27" s="14">
        <f t="shared" si="37"/>
        <v>9.7940195531688623</v>
      </c>
      <c r="BG27" s="22">
        <f t="shared" si="7"/>
        <v>72.423335275022851</v>
      </c>
      <c r="BH27" s="62">
        <f t="shared" si="8"/>
        <v>365.75666860835616</v>
      </c>
      <c r="BI27" s="62">
        <f ca="1">AVERAGE(OFFSET($BH$3,0,0,'Données projet'!$E$11+1,1))-AVERAGE(OFFSET($H$3,0,0,'Données projet'!$E$11+1,1))</f>
        <v>221.07273841880755</v>
      </c>
      <c r="BJ27" s="62">
        <f t="shared" si="38"/>
        <v>164.23448598618114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12.6</v>
      </c>
      <c r="BY27" s="13">
        <f>IF('Données projet'!$A$114&gt;35,BY26+BX27-CG26,IF(A27&lt;'Données projet'!$A$114,$BV$205^A27,IF(A27='Données projet'!$A$114,'Données projet'!$B$114,BY26+BX27-CG26)))</f>
        <v>102.39999999999998</v>
      </c>
      <c r="BZ27" s="14">
        <f>BY27*VLOOKUP('Données projet'!$B$12,Paramètres!$A$1:$I$89,3,0)*VLOOKUP('Données projet'!$B$12,Paramètres!$A$1:$I$89,5,0)</f>
        <v>81.469439999999992</v>
      </c>
      <c r="CA27" s="14">
        <f t="shared" si="39"/>
        <v>22.496088365195678</v>
      </c>
      <c r="CB27" s="22">
        <f t="shared" si="10"/>
        <v>181.07329523604912</v>
      </c>
      <c r="CC27" s="62">
        <f t="shared" si="11"/>
        <v>474.40662856938241</v>
      </c>
      <c r="CD27" s="62">
        <f ca="1">AVERAGE(OFFSET($CC$3,0,0,'Données projet'!$E$12+1,1))-AVERAGE(OFFSET($H$3,0,0,'Données projet'!$E$12+1,1))</f>
        <v>219.2279518699109</v>
      </c>
      <c r="CE27" s="62">
        <f t="shared" si="40"/>
        <v>219.59799863414099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2">
        <f t="shared" si="32"/>
        <v>4.6403984774572109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70">
        <f t="shared" si="1"/>
        <v>325.18911068157126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15.142857142857142</v>
      </c>
      <c r="N28" s="14">
        <f>IF('Données projet'!$A$36&gt;35,N27+M28-V27,IF(A28&lt;'Données projet'!$A$36,$K$205^A28,IF(A28='Données projet'!$A$36,'Données projet'!$B$36,N27+M28-V27)))</f>
        <v>193.28571428571431</v>
      </c>
      <c r="O28" s="14">
        <f>N28*VLOOKUP('Données projet'!$B$9,Paramètres!$A$1:$I$89,3,0)*VLOOKUP('Données projet'!$B$9,Paramètres!$A$1:$I$89,5,0)</f>
        <v>115.58485714285716</v>
      </c>
      <c r="P28" s="14">
        <f t="shared" si="33"/>
        <v>30.643003864758004</v>
      </c>
      <c r="Q28" s="22">
        <f t="shared" si="2"/>
        <v>254.68019125492972</v>
      </c>
      <c r="R28" s="62">
        <f t="shared" si="0"/>
        <v>548.01352458826307</v>
      </c>
      <c r="S28" s="62">
        <f ca="1">AVERAGE(OFFSET($R$3,0,0,'Données projet'!$E$9+1,1))-AVERAGE(OFFSET($H$3,0,0,'Données projet'!$E$9+1,1))</f>
        <v>153.59418465942997</v>
      </c>
      <c r="T28" s="62">
        <f t="shared" si="34"/>
        <v>313.61727210988198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12.02868135454999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10.89356014207879</v>
      </c>
      <c r="AC28" s="24">
        <f t="shared" si="3"/>
        <v>22.922241496628779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144</v>
      </c>
      <c r="AG28" s="13">
        <f>VLOOKUP(A28,'Données projet'!$A$61:$I$81,9,0)</f>
        <v>12.333333333333334</v>
      </c>
      <c r="AH28" s="13">
        <f t="array" ref="AH28">INDEX(AG:AG,MIN(IF(ISNUMBER(AG28:AG224),ROW(AG28:AG224),"")))</f>
        <v>12.333333333333334</v>
      </c>
      <c r="AI28" s="14">
        <f>IF('Données projet'!$A$62&gt;35,AI27+AH28-AQ27,IF(A28&lt;'Données projet'!$A$62,$AF$205^A28,IF(A28='Données projet'!$A$62,'Données projet'!$B$62,AI27+AH28-AQ27)))</f>
        <v>144.00000000000003</v>
      </c>
      <c r="AJ28" s="14">
        <f>AI28*VLOOKUP('Données projet'!$B$10,Paramètres!$A$1:$I$89,3,0)*VLOOKUP('Données projet'!$B$10,Paramètres!$A$1:$I$89,5,0)</f>
        <v>86.112000000000009</v>
      </c>
      <c r="AK28" s="14">
        <f t="shared" si="35"/>
        <v>23.625136642852297</v>
      </c>
      <c r="AL28" s="22">
        <f t="shared" si="4"/>
        <v>191.12551298630106</v>
      </c>
      <c r="AM28" s="62">
        <f t="shared" si="5"/>
        <v>484.4588463196344</v>
      </c>
      <c r="AN28" s="62">
        <f ca="1">AVERAGE(OFFSET($AM$3,0,0,'Données projet'!$E$10+1,1))-AVERAGE(OFFSET($H$3,0,0,'Données projet'!$E$10+1,1))</f>
        <v>288.15107951401188</v>
      </c>
      <c r="AO28" s="62">
        <f t="shared" si="36"/>
        <v>217.57508587672368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17</v>
      </c>
      <c r="AR28" s="17">
        <f>IF(ISNA(VLOOKUP(A28,'Données projet'!$A$61:$I$81,5,0)),0%,VLOOKUP(A28,'Données projet'!$A$61:$I$81,5,0)*VLOOKUP('Données projet'!$B$10,Paramètres!$A$1:$I$89,7,0))</f>
        <v>0.1125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0.75</v>
      </c>
      <c r="AU28" s="23">
        <f>EXP(-LN(2)/35)*AU27+(1-EXP(-LN(2)/35))/(LN(2)/35)*AQ28*AR28*VLOOKUP('Données projet'!$B$10,Paramètres!$A$1:$I$89,3,0)*0.475*44/12</f>
        <v>1.5171586035748161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12.462819256528256</v>
      </c>
      <c r="AX28" s="23">
        <f t="shared" si="6"/>
        <v>13.979977860103073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6.5</v>
      </c>
      <c r="BD28" s="13">
        <f>IF('Données projet'!$A$88&gt;35,BD27+BC28-BL27,IF(A28&lt;'Données projet'!$A$88,$BA$205^A28,IF(A28='Données projet'!$A$88,'Données projet'!$B$88,BD27+BC28-BL27)))</f>
        <v>80.977091914581294</v>
      </c>
      <c r="BE28" s="14">
        <f>BD28*VLOOKUP('Données projet'!$B$11,Paramètres!$A$1:$I$89,3,0)*VLOOKUP('Données projet'!$B$11,Paramètres!$A$1:$I$89,5,0)</f>
        <v>37.897279016024044</v>
      </c>
      <c r="BF28" s="14">
        <f t="shared" si="37"/>
        <v>11.43958104552808</v>
      </c>
      <c r="BG28" s="22">
        <f t="shared" si="7"/>
        <v>85.928364607203278</v>
      </c>
      <c r="BH28" s="62">
        <f t="shared" si="8"/>
        <v>379.26169794053658</v>
      </c>
      <c r="BI28" s="62">
        <f ca="1">AVERAGE(OFFSET($BH$3,0,0,'Données projet'!$E$11+1,1))-AVERAGE(OFFSET($H$3,0,0,'Données projet'!$E$11+1,1))</f>
        <v>221.07273841880755</v>
      </c>
      <c r="BJ28" s="62">
        <f t="shared" si="38"/>
        <v>164.23448598618114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>
        <f>VLOOKUP(A28,'Données projet'!$A$113:$I$133,2,0)</f>
        <v>115</v>
      </c>
      <c r="BW28" s="13">
        <f>VLOOKUP(A28,'Données projet'!$A$113:$I$133,9,0)</f>
        <v>12.6</v>
      </c>
      <c r="BX28" s="13">
        <f t="array" ref="BX28">INDEX(BW:BW,MIN(IF(ISNUMBER(BW28:BW224),ROW(BW28:BW224),"")))</f>
        <v>12.6</v>
      </c>
      <c r="BY28" s="13">
        <f>IF('Données projet'!$A$114&gt;35,BY27+BX28-CG27,IF(A28&lt;'Données projet'!$A$114,$BV$205^A28,IF(A28='Données projet'!$A$114,'Données projet'!$B$114,BY27+BX28-CG27)))</f>
        <v>114.99999999999997</v>
      </c>
      <c r="BZ28" s="14">
        <f>BY28*VLOOKUP('Données projet'!$B$12,Paramètres!$A$1:$I$89,3,0)*VLOOKUP('Données projet'!$B$12,Paramètres!$A$1:$I$89,5,0)</f>
        <v>91.493999999999986</v>
      </c>
      <c r="CA28" s="14">
        <f t="shared" si="39"/>
        <v>24.925195840896517</v>
      </c>
      <c r="CB28" s="22">
        <f t="shared" si="10"/>
        <v>202.76343275622807</v>
      </c>
      <c r="CC28" s="62">
        <f t="shared" si="11"/>
        <v>496.09676608956136</v>
      </c>
      <c r="CD28" s="62">
        <f ca="1">AVERAGE(OFFSET($CC$3,0,0,'Données projet'!$E$12+1,1))-AVERAGE(OFFSET($H$3,0,0,'Données projet'!$E$12+1,1))</f>
        <v>219.2279518699109</v>
      </c>
      <c r="CE28" s="62">
        <f t="shared" si="40"/>
        <v>219.59799863414099</v>
      </c>
      <c r="CF28" s="16">
        <f>IF(ISNA(VLOOKUP(A28,'Données projet'!$A$113:$I$133,3,0)),0,VLOOKUP(A28,'Données projet'!$A$113:$I$133,3,0))</f>
        <v>3</v>
      </c>
      <c r="CG28" s="16">
        <f>IF(ISNA(VLOOKUP(A28,'Données projet'!$A$113:$I$133,4,0)),0,VLOOKUP(A28,'Données projet'!$A$113:$I$133,4,0))</f>
        <v>28</v>
      </c>
      <c r="CH28" s="17">
        <f>IF(ISNA(VLOOKUP(A28,'Données projet'!$A$113:$I$133,5,0)),0%,VLOOKUP(A28,'Données projet'!$A$113:$I$133,5,0)*VLOOKUP('Données projet'!$B$12,Paramètres!$A$1:$I$89,7,0))</f>
        <v>0.10600000000000001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2.6103923103826401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2.6103923103826401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2">
        <f t="shared" si="32"/>
        <v>4.8040324714872957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70">
        <f t="shared" si="1"/>
        <v>326.42505655450702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15.142857142857142</v>
      </c>
      <c r="N29" s="14">
        <f>IF('Données projet'!$A$36&gt;35,N28+M29-V28,IF(A29&lt;'Données projet'!$A$36,$K$205^A29,IF(A29='Données projet'!$A$36,'Données projet'!$B$36,N28+M29-V28)))</f>
        <v>208.42857142857144</v>
      </c>
      <c r="O29" s="14">
        <f>N29*VLOOKUP('Données projet'!$B$9,Paramètres!$A$1:$I$89,3,0)*VLOOKUP('Données projet'!$B$9,Paramètres!$A$1:$I$89,5,0)</f>
        <v>124.64028571428574</v>
      </c>
      <c r="P29" s="14">
        <f t="shared" si="33"/>
        <v>32.754868392894572</v>
      </c>
      <c r="Q29" s="22">
        <f t="shared" si="2"/>
        <v>274.129893403339</v>
      </c>
      <c r="R29" s="62">
        <f t="shared" si="0"/>
        <v>567.46322673667237</v>
      </c>
      <c r="S29" s="62">
        <f ca="1">AVERAGE(OFFSET($R$3,0,0,'Données projet'!$E$9+1,1))-AVERAGE(OFFSET($H$3,0,0,'Données projet'!$E$9+1,1))</f>
        <v>153.59418465942997</v>
      </c>
      <c r="T29" s="62">
        <f t="shared" si="34"/>
        <v>313.61727210988198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11.792806249958446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7.7029102477274032</v>
      </c>
      <c r="AC29" s="24">
        <f t="shared" si="3"/>
        <v>19.495716497685848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13.4</v>
      </c>
      <c r="AI29" s="14">
        <f>IF('Données projet'!$A$62&gt;35,AI28+AH29-AQ28,IF(A29&lt;'Données projet'!$A$62,$AF$205^A29,IF(A29='Données projet'!$A$62,'Données projet'!$B$62,AI28+AH29-AQ28)))</f>
        <v>140.40000000000003</v>
      </c>
      <c r="AJ29" s="14">
        <f>AI29*VLOOKUP('Données projet'!$B$10,Paramètres!$A$1:$I$89,3,0)*VLOOKUP('Données projet'!$B$10,Paramètres!$A$1:$I$89,5,0)</f>
        <v>83.959200000000024</v>
      </c>
      <c r="AK29" s="14">
        <f t="shared" si="35"/>
        <v>23.102490880810642</v>
      </c>
      <c r="AL29" s="22">
        <f t="shared" si="4"/>
        <v>186.46577828407854</v>
      </c>
      <c r="AM29" s="62">
        <f t="shared" si="5"/>
        <v>479.79911161741188</v>
      </c>
      <c r="AN29" s="62">
        <f ca="1">AVERAGE(OFFSET($AM$3,0,0,'Données projet'!$E$10+1,1))-AVERAGE(OFFSET($H$3,0,0,'Données projet'!$E$10+1,1))</f>
        <v>288.15107951401188</v>
      </c>
      <c r="AO29" s="62">
        <f t="shared" si="36"/>
        <v>217.57508587672368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1.487408048734089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8.8125440089934166</v>
      </c>
      <c r="AX29" s="23">
        <f t="shared" si="6"/>
        <v>10.299952057727506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6.5</v>
      </c>
      <c r="BD29" s="13">
        <f>IF('Données projet'!$A$88&gt;35,BD28+BC29-BL28,IF(A29&lt;'Données projet'!$A$88,$BA$205^A29,IF(A29='Données projet'!$A$88,'Données projet'!$B$88,BD28+BC29-BL28)))</f>
        <v>96.537636780206071</v>
      </c>
      <c r="BE29" s="14">
        <f>BD29*VLOOKUP('Données projet'!$B$11,Paramètres!$A$1:$I$89,3,0)*VLOOKUP('Données projet'!$B$11,Paramètres!$A$1:$I$89,5,0)</f>
        <v>45.179614013136444</v>
      </c>
      <c r="BF29" s="14">
        <f t="shared" si="37"/>
        <v>13.361624794271938</v>
      </c>
      <c r="BG29" s="22">
        <f t="shared" si="7"/>
        <v>101.95932425623626</v>
      </c>
      <c r="BH29" s="62">
        <f t="shared" si="8"/>
        <v>395.29265758956956</v>
      </c>
      <c r="BI29" s="62">
        <f ca="1">AVERAGE(OFFSET($BH$3,0,0,'Données projet'!$E$11+1,1))-AVERAGE(OFFSET($H$3,0,0,'Données projet'!$E$11+1,1))</f>
        <v>221.07273841880755</v>
      </c>
      <c r="BJ29" s="62">
        <f t="shared" si="38"/>
        <v>164.23448598618114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12</v>
      </c>
      <c r="BY29" s="13">
        <f>IF('Données projet'!$A$114&gt;35,BY28+BX29-CG28,IF(A29&lt;'Données projet'!$A$114,$BV$205^A29,IF(A29='Données projet'!$A$114,'Données projet'!$B$114,BY28+BX29-CG28)))</f>
        <v>98.999999999999972</v>
      </c>
      <c r="BZ29" s="14">
        <f>BY29*VLOOKUP('Données projet'!$B$12,Paramètres!$A$1:$I$89,3,0)*VLOOKUP('Données projet'!$B$12,Paramètres!$A$1:$I$89,5,0)</f>
        <v>78.764399999999981</v>
      </c>
      <c r="CA29" s="14">
        <f t="shared" si="39"/>
        <v>21.834800364471622</v>
      </c>
      <c r="CB29" s="22">
        <f t="shared" si="10"/>
        <v>175.21027396812136</v>
      </c>
      <c r="CC29" s="62">
        <f t="shared" si="11"/>
        <v>468.5436073014547</v>
      </c>
      <c r="CD29" s="62">
        <f ca="1">AVERAGE(OFFSET($CC$3,0,0,'Données projet'!$E$12+1,1))-AVERAGE(OFFSET($H$3,0,0,'Données projet'!$E$12+1,1))</f>
        <v>219.2279518699109</v>
      </c>
      <c r="CE29" s="62">
        <f t="shared" si="40"/>
        <v>219.59799863414099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2.5592041093581308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2.5592041093581308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2">
        <f t="shared" si="32"/>
        <v>4.9669353357224146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70">
        <f t="shared" si="1"/>
        <v>327.65972904304982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15.142857142857142</v>
      </c>
      <c r="N30" s="14">
        <f>IF('Données projet'!$A$36&gt;35,N29+M30-V29,IF(A30&lt;'Données projet'!$A$36,$K$205^A30,IF(A30='Données projet'!$A$36,'Données projet'!$B$36,N29+M30-V29)))</f>
        <v>223.57142857142858</v>
      </c>
      <c r="O30" s="14">
        <f>N30*VLOOKUP('Données projet'!$B$9,Paramètres!$A$1:$I$89,3,0)*VLOOKUP('Données projet'!$B$9,Paramètres!$A$1:$I$89,5,0)</f>
        <v>133.6957142857143</v>
      </c>
      <c r="P30" s="14">
        <f t="shared" si="33"/>
        <v>34.848932189999701</v>
      </c>
      <c r="Q30" s="22">
        <f t="shared" si="2"/>
        <v>293.54859261186851</v>
      </c>
      <c r="R30" s="62">
        <f t="shared" si="0"/>
        <v>586.88192594520183</v>
      </c>
      <c r="S30" s="62">
        <f ca="1">AVERAGE(OFFSET($R$3,0,0,'Données projet'!$E$9+1,1))-AVERAGE(OFFSET($H$3,0,0,'Données projet'!$E$9+1,1))</f>
        <v>153.59418465942997</v>
      </c>
      <c r="T30" s="62">
        <f t="shared" si="34"/>
        <v>313.61727210988198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11.561556512298333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5.4467800710393961</v>
      </c>
      <c r="AC30" s="24">
        <f t="shared" si="3"/>
        <v>17.00833658333773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13.4</v>
      </c>
      <c r="AI30" s="14">
        <f>IF('Données projet'!$A$62&gt;35,AI29+AH30-AQ29,IF(A30&lt;'Données projet'!$A$62,$AF$205^A30,IF(A30='Données projet'!$A$62,'Données projet'!$B$62,AI29+AH30-AQ29)))</f>
        <v>153.80000000000004</v>
      </c>
      <c r="AJ30" s="14">
        <f>AI30*VLOOKUP('Données projet'!$B$10,Paramètres!$A$1:$I$89,3,0)*VLOOKUP('Données projet'!$B$10,Paramètres!$A$1:$I$89,5,0)</f>
        <v>91.972400000000022</v>
      </c>
      <c r="AK30" s="14">
        <f t="shared" si="35"/>
        <v>25.040318527820091</v>
      </c>
      <c r="AL30" s="22">
        <f t="shared" si="4"/>
        <v>203.79715143595334</v>
      </c>
      <c r="AM30" s="62">
        <f t="shared" si="5"/>
        <v>497.13048476928668</v>
      </c>
      <c r="AN30" s="62">
        <f ca="1">AVERAGE(OFFSET($AM$3,0,0,'Données projet'!$E$10+1,1))-AVERAGE(OFFSET($H$3,0,0,'Données projet'!$E$10+1,1))</f>
        <v>288.15107951401188</v>
      </c>
      <c r="AO30" s="62">
        <f t="shared" si="36"/>
        <v>217.57508587672368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1.4582408841277419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6.2314096282641289</v>
      </c>
      <c r="AX30" s="23">
        <f t="shared" si="6"/>
        <v>7.6896505123918706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6.5</v>
      </c>
      <c r="BD30" s="13">
        <f>IF('Données projet'!$A$88&gt;35,BD29+BC30-BL29,IF(A30&lt;'Données projet'!$A$88,$BA$205^A30,IF(A30='Données projet'!$A$88,'Données projet'!$B$88,BD29+BC30-BL29)))</f>
        <v>115.08829342671002</v>
      </c>
      <c r="BE30" s="14">
        <f>BD30*VLOOKUP('Données projet'!$B$11,Paramètres!$A$1:$I$89,3,0)*VLOOKUP('Données projet'!$B$11,Paramètres!$A$1:$I$89,5,0)</f>
        <v>53.861321323700288</v>
      </c>
      <c r="BF30" s="14">
        <f t="shared" si="37"/>
        <v>15.606604510459258</v>
      </c>
      <c r="BG30" s="22">
        <f t="shared" si="7"/>
        <v>120.98997082782786</v>
      </c>
      <c r="BH30" s="62">
        <f t="shared" si="8"/>
        <v>414.32330416116116</v>
      </c>
      <c r="BI30" s="62">
        <f ca="1">AVERAGE(OFFSET($BH$3,0,0,'Données projet'!$E$11+1,1))-AVERAGE(OFFSET($H$3,0,0,'Données projet'!$E$11+1,1))</f>
        <v>221.07273841880755</v>
      </c>
      <c r="BJ30" s="62">
        <f t="shared" si="38"/>
        <v>164.23448598618114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12</v>
      </c>
      <c r="BY30" s="13">
        <f>IF('Données projet'!$A$114&gt;35,BY29+BX30-CG29,IF(A30&lt;'Données projet'!$A$114,$BV$205^A30,IF(A30='Données projet'!$A$114,'Données projet'!$B$114,BY29+BX30-CG29)))</f>
        <v>110.99999999999997</v>
      </c>
      <c r="BZ30" s="14">
        <f>BY30*VLOOKUP('Données projet'!$B$12,Paramètres!$A$1:$I$89,3,0)*VLOOKUP('Données projet'!$B$12,Paramètres!$A$1:$I$89,5,0)</f>
        <v>88.311599999999984</v>
      </c>
      <c r="CA30" s="14">
        <f t="shared" si="39"/>
        <v>24.157575839957186</v>
      </c>
      <c r="CB30" s="22">
        <f t="shared" si="10"/>
        <v>195.8838145879254</v>
      </c>
      <c r="CC30" s="62">
        <f t="shared" si="11"/>
        <v>489.21714792125874</v>
      </c>
      <c r="CD30" s="62">
        <f ca="1">AVERAGE(OFFSET($CC$3,0,0,'Données projet'!$E$12+1,1))-AVERAGE(OFFSET($H$3,0,0,'Données projet'!$E$12+1,1))</f>
        <v>219.2279518699109</v>
      </c>
      <c r="CE30" s="62">
        <f t="shared" si="40"/>
        <v>219.59799863414099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2.5090196777339924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2.5090196777339924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2">
        <f t="shared" si="32"/>
        <v>5.1291372499950274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70">
        <f t="shared" si="1"/>
        <v>328.89318071040799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15.142857142857142</v>
      </c>
      <c r="N31" s="14">
        <f>IF('Données projet'!$A$36&gt;35,N30+M31-V30,IF(A31&lt;'Données projet'!$A$36,$K$205^A31,IF(A31='Données projet'!$A$36,'Données projet'!$B$36,N30+M31-V30)))</f>
        <v>238.71428571428572</v>
      </c>
      <c r="O31" s="14">
        <f>N31*VLOOKUP('Données projet'!$B$9,Paramètres!$A$1:$I$89,3,0)*VLOOKUP('Données projet'!$B$9,Paramètres!$A$1:$I$89,5,0)</f>
        <v>142.75114285714287</v>
      </c>
      <c r="P31" s="14">
        <f t="shared" si="33"/>
        <v>36.926538099571019</v>
      </c>
      <c r="Q31" s="22">
        <f t="shared" si="2"/>
        <v>312.93862766627666</v>
      </c>
      <c r="R31" s="62">
        <f t="shared" si="0"/>
        <v>606.27196099960997</v>
      </c>
      <c r="S31" s="62">
        <f ca="1">AVERAGE(OFFSET($R$3,0,0,'Données projet'!$E$9+1,1))-AVERAGE(OFFSET($H$3,0,0,'Données projet'!$E$9+1,1))</f>
        <v>153.59418465942997</v>
      </c>
      <c r="T31" s="62">
        <f t="shared" si="34"/>
        <v>313.61727210988198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11.334841440945322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3.8514551238637025</v>
      </c>
      <c r="AC31" s="24">
        <f t="shared" si="3"/>
        <v>15.186296564809025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13.4</v>
      </c>
      <c r="AI31" s="14">
        <f>IF('Données projet'!$A$62&gt;35,AI30+AH31-AQ30,IF(A31&lt;'Données projet'!$A$62,$AF$205^A31,IF(A31='Données projet'!$A$62,'Données projet'!$B$62,AI30+AH31-AQ30)))</f>
        <v>167.20000000000005</v>
      </c>
      <c r="AJ31" s="14">
        <f>AI31*VLOOKUP('Données projet'!$B$10,Paramètres!$A$1:$I$89,3,0)*VLOOKUP('Données projet'!$B$10,Paramètres!$A$1:$I$89,5,0)</f>
        <v>99.985600000000034</v>
      </c>
      <c r="AK31" s="14">
        <f t="shared" si="35"/>
        <v>26.958566918169435</v>
      </c>
      <c r="AL31" s="22">
        <f t="shared" si="4"/>
        <v>221.09442404914515</v>
      </c>
      <c r="AM31" s="62">
        <f t="shared" si="5"/>
        <v>514.42775738247849</v>
      </c>
      <c r="AN31" s="62">
        <f ca="1">AVERAGE(OFFSET($AM$3,0,0,'Données projet'!$E$10+1,1))-AVERAGE(OFFSET($H$3,0,0,'Données projet'!$E$10+1,1))</f>
        <v>288.15107951401188</v>
      </c>
      <c r="AO31" s="62">
        <f t="shared" si="36"/>
        <v>217.57508587672368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1.4296456698291113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4.4062720044967092</v>
      </c>
      <c r="AX31" s="23">
        <f t="shared" si="6"/>
        <v>5.8359176743258203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6.5</v>
      </c>
      <c r="BD31" s="13">
        <f>IF('Données projet'!$A$88&gt;35,BD30+BC31-BL30,IF(A31&lt;'Données projet'!$A$88,$BA$205^A31,IF(A31='Données projet'!$A$88,'Données projet'!$B$88,BD30+BC31-BL30)))</f>
        <v>137.20364124956808</v>
      </c>
      <c r="BE31" s="14">
        <f>BD31*VLOOKUP('Données projet'!$B$11,Paramètres!$A$1:$I$89,3,0)*VLOOKUP('Données projet'!$B$11,Paramètres!$A$1:$I$89,5,0)</f>
        <v>64.211304104797861</v>
      </c>
      <c r="BF31" s="14">
        <f t="shared" si="37"/>
        <v>18.228778916940001</v>
      </c>
      <c r="BG31" s="22">
        <f t="shared" si="7"/>
        <v>143.58314459619342</v>
      </c>
      <c r="BH31" s="62">
        <f t="shared" si="8"/>
        <v>436.91647792952676</v>
      </c>
      <c r="BI31" s="62">
        <f ca="1">AVERAGE(OFFSET($BH$3,0,0,'Données projet'!$E$11+1,1))-AVERAGE(OFFSET($H$3,0,0,'Données projet'!$E$11+1,1))</f>
        <v>221.07273841880755</v>
      </c>
      <c r="BJ31" s="62">
        <f t="shared" si="38"/>
        <v>164.23448598618114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12</v>
      </c>
      <c r="BY31" s="13">
        <f>IF('Données projet'!$A$114&gt;35,BY30+BX31-CG30,IF(A31&lt;'Données projet'!$A$114,$BV$205^A31,IF(A31='Données projet'!$A$114,'Données projet'!$B$114,BY30+BX31-CG30)))</f>
        <v>122.99999999999997</v>
      </c>
      <c r="BZ31" s="14">
        <f>BY31*VLOOKUP('Données projet'!$B$12,Paramètres!$A$1:$I$89,3,0)*VLOOKUP('Données projet'!$B$12,Paramètres!$A$1:$I$89,5,0)</f>
        <v>97.858799999999988</v>
      </c>
      <c r="CA31" s="14">
        <f t="shared" si="39"/>
        <v>26.45124536158788</v>
      </c>
      <c r="CB31" s="22">
        <f t="shared" si="10"/>
        <v>216.50666233809886</v>
      </c>
      <c r="CC31" s="62">
        <f t="shared" si="11"/>
        <v>509.83999567143218</v>
      </c>
      <c r="CD31" s="62">
        <f ca="1">AVERAGE(OFFSET($CC$3,0,0,'Données projet'!$E$12+1,1))-AVERAGE(OFFSET($H$3,0,0,'Données projet'!$E$12+1,1))</f>
        <v>219.2279518699109</v>
      </c>
      <c r="CE31" s="62">
        <f t="shared" si="40"/>
        <v>219.59799863414099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2.4598193322045225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2.4598193322045225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2">
        <f t="shared" si="32"/>
        <v>5.2906661162322051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70">
        <f t="shared" si="1"/>
        <v>330.12546015243771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15.142857142857142</v>
      </c>
      <c r="N32" s="14">
        <f>IF('Données projet'!$A$36&gt;35,N31+M32-V31,IF(A32&lt;'Données projet'!$A$36,$K$205^A32,IF(A32='Données projet'!$A$36,'Données projet'!$B$36,N31+M32-V31)))</f>
        <v>253.85714285714286</v>
      </c>
      <c r="O32" s="14">
        <f>N32*VLOOKUP('Données projet'!$B$9,Paramètres!$A$1:$I$89,3,0)*VLOOKUP('Données projet'!$B$9,Paramètres!$A$1:$I$89,5,0)</f>
        <v>151.80657142857146</v>
      </c>
      <c r="P32" s="14">
        <f t="shared" si="33"/>
        <v>38.988848967460292</v>
      </c>
      <c r="Q32" s="22">
        <f t="shared" si="2"/>
        <v>332.30202385642195</v>
      </c>
      <c r="R32" s="62">
        <f t="shared" si="0"/>
        <v>625.63535718975527</v>
      </c>
      <c r="S32" s="62">
        <f ca="1">AVERAGE(OFFSET($R$3,0,0,'Données projet'!$E$9+1,1))-AVERAGE(OFFSET($H$3,0,0,'Données projet'!$E$9+1,1))</f>
        <v>153.59418465942997</v>
      </c>
      <c r="T32" s="62">
        <f t="shared" si="34"/>
        <v>313.61727210988198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11.112572113859004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2.7233900355196985</v>
      </c>
      <c r="AC32" s="24">
        <f t="shared" si="3"/>
        <v>13.835962149378702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13.4</v>
      </c>
      <c r="AI32" s="14">
        <f>IF('Données projet'!$A$62&gt;35,AI31+AH32-AQ31,IF(A32&lt;'Données projet'!$A$62,$AF$205^A32,IF(A32='Données projet'!$A$62,'Données projet'!$B$62,AI31+AH32-AQ31)))</f>
        <v>180.60000000000005</v>
      </c>
      <c r="AJ32" s="14">
        <f>AI32*VLOOKUP('Données projet'!$B$10,Paramètres!$A$1:$I$89,3,0)*VLOOKUP('Données projet'!$B$10,Paramètres!$A$1:$I$89,5,0)</f>
        <v>107.99880000000003</v>
      </c>
      <c r="AK32" s="14">
        <f t="shared" si="35"/>
        <v>28.85898360070161</v>
      </c>
      <c r="AL32" s="22">
        <f t="shared" si="4"/>
        <v>238.36063977122203</v>
      </c>
      <c r="AM32" s="62">
        <f t="shared" si="5"/>
        <v>531.69397310455531</v>
      </c>
      <c r="AN32" s="62">
        <f ca="1">AVERAGE(OFFSET($AM$3,0,0,'Données projet'!$E$10+1,1))-AVERAGE(OFFSET($H$3,0,0,'Données projet'!$E$10+1,1))</f>
        <v>288.15107951401188</v>
      </c>
      <c r="AO32" s="62">
        <f t="shared" si="36"/>
        <v>217.57508587672368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1.4016111902415185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3.1157048141320649</v>
      </c>
      <c r="AX32" s="23">
        <f t="shared" si="6"/>
        <v>4.5173160043735834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6.5</v>
      </c>
      <c r="BD32" s="13">
        <f>IF('Données projet'!$A$88&gt;35,BD31+BC32-BL31,IF(A32&lt;'Données projet'!$A$88,$BA$205^A32,IF(A32='Données projet'!$A$88,'Données projet'!$B$88,BD31+BC32-BL31)))</f>
        <v>163.5686707278193</v>
      </c>
      <c r="BE32" s="14">
        <f>BD32*VLOOKUP('Données projet'!$B$11,Paramètres!$A$1:$I$89,3,0)*VLOOKUP('Données projet'!$B$11,Paramètres!$A$1:$I$89,5,0)</f>
        <v>76.550137900619433</v>
      </c>
      <c r="BF32" s="14">
        <f t="shared" si="37"/>
        <v>21.291523122789648</v>
      </c>
      <c r="BG32" s="22">
        <f t="shared" si="7"/>
        <v>170.40755961577079</v>
      </c>
      <c r="BH32" s="62">
        <f t="shared" si="8"/>
        <v>463.74089294910414</v>
      </c>
      <c r="BI32" s="62">
        <f ca="1">AVERAGE(OFFSET($BH$3,0,0,'Données projet'!$E$11+1,1))-AVERAGE(OFFSET($H$3,0,0,'Données projet'!$E$11+1,1))</f>
        <v>221.07273841880755</v>
      </c>
      <c r="BJ32" s="62">
        <f t="shared" si="38"/>
        <v>164.23448598618114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12</v>
      </c>
      <c r="BY32" s="13">
        <f>IF('Données projet'!$A$114&gt;35,BY31+BX32-CG31,IF(A32&lt;'Données projet'!$A$114,$BV$205^A32,IF(A32='Données projet'!$A$114,'Données projet'!$B$114,BY31+BX32-CG31)))</f>
        <v>134.99999999999997</v>
      </c>
      <c r="BZ32" s="14">
        <f>BY32*VLOOKUP('Données projet'!$B$12,Paramètres!$A$1:$I$89,3,0)*VLOOKUP('Données projet'!$B$12,Paramètres!$A$1:$I$89,5,0)</f>
        <v>107.40599999999998</v>
      </c>
      <c r="CA32" s="14">
        <f t="shared" si="39"/>
        <v>28.718971683040337</v>
      </c>
      <c r="CB32" s="22">
        <f t="shared" si="10"/>
        <v>237.08432568129521</v>
      </c>
      <c r="CC32" s="62">
        <f t="shared" si="11"/>
        <v>530.4176590146285</v>
      </c>
      <c r="CD32" s="62">
        <f ca="1">AVERAGE(OFFSET($CC$3,0,0,'Données projet'!$E$12+1,1))-AVERAGE(OFFSET($H$3,0,0,'Données projet'!$E$12+1,1))</f>
        <v>219.2279518699109</v>
      </c>
      <c r="CE32" s="62">
        <f t="shared" si="40"/>
        <v>219.59799863414099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2.4115837754416383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2.4115837754416383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2">
        <f t="shared" si="32"/>
        <v>5.4515478029518807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70">
        <f t="shared" si="1"/>
        <v>331.35661242347447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269</v>
      </c>
      <c r="L33" s="13">
        <f>VLOOKUP(A33,'Données projet'!$A$35:$I$55,9,0)</f>
        <v>15.142857142857142</v>
      </c>
      <c r="M33" s="13">
        <f t="array" ref="M33">INDEX(L:L,MIN(IF(ISNUMBER(L33:L229),ROW(L33:L229),"")))</f>
        <v>15.142857142857142</v>
      </c>
      <c r="N33" s="14">
        <f>IF('Données projet'!$A$36&gt;35,N32+M33-V32,IF(A33&lt;'Données projet'!$A$36,$K$205^A33,IF(A33='Données projet'!$A$36,'Données projet'!$B$36,N32+M33-V32)))</f>
        <v>269</v>
      </c>
      <c r="O33" s="14">
        <f>N33*VLOOKUP('Données projet'!$B$9,Paramètres!$A$1:$I$89,3,0)*VLOOKUP('Données projet'!$B$9,Paramètres!$A$1:$I$89,5,0)</f>
        <v>160.86200000000002</v>
      </c>
      <c r="P33" s="14">
        <f t="shared" si="33"/>
        <v>41.03688107178359</v>
      </c>
      <c r="Q33" s="22">
        <f t="shared" si="2"/>
        <v>351.64055120002314</v>
      </c>
      <c r="R33" s="62">
        <f t="shared" si="0"/>
        <v>644.97388453335645</v>
      </c>
      <c r="S33" s="62">
        <f ca="1">AVERAGE(OFFSET($R$3,0,0,'Données projet'!$E$9+1,1))-AVERAGE(OFFSET($H$3,0,0,'Données projet'!$E$9+1,1))</f>
        <v>153.59418465942997</v>
      </c>
      <c r="T33" s="62">
        <f t="shared" si="34"/>
        <v>313.61727210988198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0.27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0.4</v>
      </c>
      <c r="Z33" s="23">
        <f>EXP(-LN(2)/35)*Z32+(1-EXP(-LN(2)/35))/(LN(2)/35)*V33*W33*VLOOKUP('Données projet'!$B$9,Paramètres!$A$1:$I$89,3,0)*0.475*44/12</f>
        <v>10.894661352705947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1.9257275619318515</v>
      </c>
      <c r="AC33" s="24">
        <f t="shared" si="3"/>
        <v>12.8203889146378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194</v>
      </c>
      <c r="AG33" s="13">
        <f>VLOOKUP(A33,'Données projet'!$A$61:$I$81,9,0)</f>
        <v>13.4</v>
      </c>
      <c r="AH33" s="13">
        <f t="array" ref="AH33">INDEX(AG:AG,MIN(IF(ISNUMBER(AG33:AG229),ROW(AG33:AG229),"")))</f>
        <v>13.4</v>
      </c>
      <c r="AI33" s="14">
        <f>IF('Données projet'!$A$62&gt;35,AI32+AH33-AQ32,IF(A33&lt;'Données projet'!$A$62,$AF$205^A33,IF(A33='Données projet'!$A$62,'Données projet'!$B$62,AI32+AH33-AQ32)))</f>
        <v>194.00000000000006</v>
      </c>
      <c r="AJ33" s="14">
        <f>AI33*VLOOKUP('Données projet'!$B$10,Paramètres!$A$1:$I$89,3,0)*VLOOKUP('Données projet'!$B$10,Paramètres!$A$1:$I$89,5,0)</f>
        <v>116.01200000000003</v>
      </c>
      <c r="AK33" s="14">
        <f t="shared" si="35"/>
        <v>30.743042086238173</v>
      </c>
      <c r="AL33" s="22">
        <f t="shared" si="4"/>
        <v>255.59836496686489</v>
      </c>
      <c r="AM33" s="62">
        <f t="shared" si="5"/>
        <v>548.93169830019815</v>
      </c>
      <c r="AN33" s="62">
        <f ca="1">AVERAGE(OFFSET($AM$3,0,0,'Données projet'!$E$10+1,1))-AVERAGE(OFFSET($H$3,0,0,'Données projet'!$E$10+1,1))</f>
        <v>288.15107951401188</v>
      </c>
      <c r="AO33" s="62">
        <f t="shared" si="36"/>
        <v>217.57508587672368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34</v>
      </c>
      <c r="AR33" s="17">
        <f>IF(ISNA(VLOOKUP(A33,'Données projet'!$A$61:$I$81,5,0)),0%,VLOOKUP(A33,'Données projet'!$A$61:$I$81,5,0)*VLOOKUP('Données projet'!$B$10,Paramètres!$A$1:$I$89,7,0))</f>
        <v>0.22500000000000001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0.5</v>
      </c>
      <c r="AU33" s="23">
        <f>EXP(-LN(2)/35)*AU32+(1-EXP(-LN(2)/35))/(LN(2)/35)*AQ33*AR33*VLOOKUP('Données projet'!$B$10,Paramètres!$A$1:$I$89,3,0)*0.475*44/12</f>
        <v>7.4427608639985587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13.713409538902408</v>
      </c>
      <c r="AX33" s="23">
        <f t="shared" si="6"/>
        <v>21.156170402900965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195</v>
      </c>
      <c r="BB33" s="13">
        <f>VLOOKUP(A33,'Données projet'!$A$87:$I$107,9,0)</f>
        <v>6.5</v>
      </c>
      <c r="BC33" s="13">
        <f t="array" ref="BC33">INDEX(BB:BB,MIN(IF(ISNUMBER(BB33:BB229),ROW(BB33:BB229),"")))</f>
        <v>6.5</v>
      </c>
      <c r="BD33" s="13">
        <f>IF('Données projet'!$A$88&gt;35,BD32+BC33-BL32,IF(A33&lt;'Données projet'!$A$88,$BA$205^A33,IF(A33='Données projet'!$A$88,'Données projet'!$B$88,BD32+BC33-BL32)))</f>
        <v>195</v>
      </c>
      <c r="BE33" s="14">
        <f>BD33*VLOOKUP('Données projet'!$B$11,Paramètres!$A$1:$I$89,3,0)*VLOOKUP('Données projet'!$B$11,Paramètres!$A$1:$I$89,5,0)</f>
        <v>91.26</v>
      </c>
      <c r="BF33" s="14">
        <f t="shared" si="37"/>
        <v>24.868860330902777</v>
      </c>
      <c r="BG33" s="22">
        <f t="shared" si="7"/>
        <v>202.25776507632233</v>
      </c>
      <c r="BH33" s="62">
        <f t="shared" si="8"/>
        <v>495.59109840965561</v>
      </c>
      <c r="BI33" s="62">
        <f ca="1">AVERAGE(OFFSET($BH$3,0,0,'Données projet'!$E$11+1,1))-AVERAGE(OFFSET($H$3,0,0,'Données projet'!$E$11+1,1))</f>
        <v>221.07273841880755</v>
      </c>
      <c r="BJ33" s="62">
        <f t="shared" si="38"/>
        <v>164.23448598618114</v>
      </c>
      <c r="BK33" s="16">
        <f>IF(ISNA(VLOOKUP(A33,'Données projet'!$A$87:$I$107,3,0)),0,VLOOKUP(A33,'Données projet'!$A$87:$I$107,3,0))</f>
        <v>1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0.38500000000000001</v>
      </c>
      <c r="BN33" s="17">
        <f>IF(ISNA(VLOOKUP(A33,'Données projet'!$A$87:$I$107,6,0)),0%,VLOOKUP(A33,'Données projet'!$A$87:$I$107,6,0)*VLOOKUP('Données projet'!$B$11,Paramètres!$A$1:$I$89,7,0))</f>
        <v>8.2500000000000004E-2</v>
      </c>
      <c r="BO33" s="17">
        <f>IF(ISNA(VLOOKUP(A33,'Données projet'!$A$87:$I$107,7,0)),0%,VLOOKUP(A33,'Données projet'!$A$87:$I$107,7,0))</f>
        <v>0.15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147</v>
      </c>
      <c r="BW33" s="13">
        <f>VLOOKUP(A33,'Données projet'!$A$113:$I$133,9,0)</f>
        <v>12</v>
      </c>
      <c r="BX33" s="13">
        <f t="array" ref="BX33">INDEX(BW:BW,MIN(IF(ISNUMBER(BW33:BW229),ROW(BW33:BW229),"")))</f>
        <v>12</v>
      </c>
      <c r="BY33" s="13">
        <f>IF('Données projet'!$A$114&gt;35,BY32+BX33-CG32,IF(A33&lt;'Données projet'!$A$114,$BV$205^A33,IF(A33='Données projet'!$A$114,'Données projet'!$B$114,BY32+BX33-CG32)))</f>
        <v>146.99999999999997</v>
      </c>
      <c r="BZ33" s="14">
        <f>BY33*VLOOKUP('Données projet'!$B$12,Paramètres!$A$1:$I$89,3,0)*VLOOKUP('Données projet'!$B$12,Paramètres!$A$1:$I$89,5,0)</f>
        <v>116.95319999999998</v>
      </c>
      <c r="CA33" s="14">
        <f t="shared" si="39"/>
        <v>30.963323095281662</v>
      </c>
      <c r="CB33" s="22">
        <f t="shared" si="10"/>
        <v>257.62127772428215</v>
      </c>
      <c r="CC33" s="62">
        <f t="shared" si="11"/>
        <v>550.95461105761547</v>
      </c>
      <c r="CD33" s="62">
        <f ca="1">AVERAGE(OFFSET($CC$3,0,0,'Données projet'!$E$12+1,1))-AVERAGE(OFFSET($H$3,0,0,'Données projet'!$E$12+1,1))</f>
        <v>219.2279518699109</v>
      </c>
      <c r="CE33" s="62">
        <f t="shared" si="40"/>
        <v>219.59799863414099</v>
      </c>
      <c r="CF33" s="16">
        <f>IF(ISNA(VLOOKUP(A33,'Données projet'!$A$113:$I$133,3,0)),0,VLOOKUP(A33,'Données projet'!$A$113:$I$133,3,0))</f>
        <v>4</v>
      </c>
      <c r="CG33" s="16">
        <f>IF(ISNA(VLOOKUP(A33,'Données projet'!$A$113:$I$133,4,0)),0,VLOOKUP(A33,'Données projet'!$A$113:$I$133,4,0))</f>
        <v>28</v>
      </c>
      <c r="CH33" s="17">
        <f>IF(ISNA(VLOOKUP(A33,'Données projet'!$A$113:$I$133,5,0)),0%,VLOOKUP(A33,'Données projet'!$A$113:$I$133,5,0)*VLOOKUP('Données projet'!$B$12,Paramètres!$A$1:$I$89,7,0))</f>
        <v>0.21200000000000002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7.5850787092913698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7.5850787092913698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2">
        <f t="shared" si="32"/>
        <v>5.6118063562438518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70">
        <f t="shared" si="1"/>
        <v>332.58667940379132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14</v>
      </c>
      <c r="N34" s="14">
        <f>IF('Données projet'!$A$36&gt;35,N33+M34-V33,IF(A34&lt;'Données projet'!$A$36,$K$205^A34,IF(A34='Données projet'!$A$36,'Données projet'!$B$36,N33+M34-V33)))</f>
        <v>283</v>
      </c>
      <c r="O34" s="14">
        <f>N34*VLOOKUP('Données projet'!$B$9,Paramètres!$A$1:$I$89,3,0)*VLOOKUP('Données projet'!$B$9,Paramètres!$A$1:$I$89,5,0)</f>
        <v>169.23400000000001</v>
      </c>
      <c r="P34" s="14">
        <f t="shared" si="33"/>
        <v>42.918420001269354</v>
      </c>
      <c r="Q34" s="22">
        <f t="shared" si="2"/>
        <v>369.4987981688775</v>
      </c>
      <c r="R34" s="62">
        <f t="shared" si="0"/>
        <v>662.83213150221081</v>
      </c>
      <c r="S34" s="62">
        <f ca="1">AVERAGE(OFFSET($R$3,0,0,'Données projet'!$E$9+1,1))-AVERAGE(OFFSET($H$3,0,0,'Données projet'!$E$9+1,1))</f>
        <v>153.59418465942997</v>
      </c>
      <c r="T34" s="62">
        <f t="shared" si="34"/>
        <v>313.61727210988198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10.681023688666661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1.3616950177598495</v>
      </c>
      <c r="AC34" s="24">
        <f t="shared" si="3"/>
        <v>12.042718706426511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14.6</v>
      </c>
      <c r="AI34" s="14">
        <f>IF('Données projet'!$A$62&gt;35,AI33+AH34-AQ33,IF(A34&lt;'Données projet'!$A$62,$AF$205^A34,IF(A34='Données projet'!$A$62,'Données projet'!$B$62,AI33+AH34-AQ33)))</f>
        <v>174.60000000000005</v>
      </c>
      <c r="AJ34" s="14">
        <f>AI34*VLOOKUP('Données projet'!$B$10,Paramètres!$A$1:$I$89,3,0)*VLOOKUP('Données projet'!$B$10,Paramètres!$A$1:$I$89,5,0)</f>
        <v>104.41080000000004</v>
      </c>
      <c r="AK34" s="14">
        <f t="shared" si="35"/>
        <v>28.010155571424168</v>
      </c>
      <c r="AL34" s="22">
        <f t="shared" si="4"/>
        <v>230.63316428689714</v>
      </c>
      <c r="AM34" s="62">
        <f t="shared" si="5"/>
        <v>523.96649762023048</v>
      </c>
      <c r="AN34" s="62">
        <f ca="1">AVERAGE(OFFSET($AM$3,0,0,'Données projet'!$E$10+1,1))-AVERAGE(OFFSET($H$3,0,0,'Données projet'!$E$10+1,1))</f>
        <v>288.15107951401188</v>
      </c>
      <c r="AO34" s="62">
        <f t="shared" si="36"/>
        <v>217.57508587672368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7.2968128630914224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9.6968448781461785</v>
      </c>
      <c r="AX34" s="23">
        <f t="shared" si="6"/>
        <v>16.993657741237602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17</v>
      </c>
      <c r="BD34" s="13">
        <f>IF('Données projet'!$A$88&gt;35,BD33+BC34-BL33,IF(A34&lt;'Données projet'!$A$88,$BA$205^A34,IF(A34='Données projet'!$A$88,'Données projet'!$B$88,BD33+BC34-BL33)))</f>
        <v>212</v>
      </c>
      <c r="BE34" s="14">
        <f>BD34*VLOOKUP('Données projet'!$B$11,Paramètres!$A$1:$I$89,3,0)*VLOOKUP('Données projet'!$B$11,Paramètres!$A$1:$I$89,5,0)</f>
        <v>99.215999999999994</v>
      </c>
      <c r="BF34" s="14">
        <f t="shared" si="37"/>
        <v>26.775134885576414</v>
      </c>
      <c r="BG34" s="22">
        <f t="shared" si="7"/>
        <v>219.43455992571219</v>
      </c>
      <c r="BH34" s="62">
        <f t="shared" si="8"/>
        <v>512.76789325904554</v>
      </c>
      <c r="BI34" s="62">
        <f ca="1">AVERAGE(OFFSET($BH$3,0,0,'Données projet'!$E$11+1,1))-AVERAGE(OFFSET($H$3,0,0,'Données projet'!$E$11+1,1))</f>
        <v>221.07273841880755</v>
      </c>
      <c r="BJ34" s="62">
        <f t="shared" si="38"/>
        <v>164.23448598618114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10.8</v>
      </c>
      <c r="BY34" s="13">
        <f>IF('Données projet'!$A$114&gt;35,BY33+BX34-CG33,IF(A34&lt;'Données projet'!$A$114,$BV$205^A34,IF(A34='Données projet'!$A$114,'Données projet'!$B$114,BY33+BX34-CG33)))</f>
        <v>129.79999999999998</v>
      </c>
      <c r="BZ34" s="14">
        <f>BY34*VLOOKUP('Données projet'!$B$12,Paramètres!$A$1:$I$89,3,0)*VLOOKUP('Données projet'!$B$12,Paramètres!$A$1:$I$89,5,0)</f>
        <v>103.26888</v>
      </c>
      <c r="CA34" s="14">
        <f t="shared" si="39"/>
        <v>27.739299256755746</v>
      </c>
      <c r="CB34" s="22">
        <f t="shared" si="10"/>
        <v>228.17257887218292</v>
      </c>
      <c r="CC34" s="62">
        <f t="shared" si="11"/>
        <v>521.50591220551621</v>
      </c>
      <c r="CD34" s="62">
        <f ca="1">AVERAGE(OFFSET($CC$3,0,0,'Données projet'!$E$12+1,1))-AVERAGE(OFFSET($H$3,0,0,'Données projet'!$E$12+1,1))</f>
        <v>219.2279518699109</v>
      </c>
      <c r="CE34" s="62">
        <f t="shared" si="40"/>
        <v>219.59799863414099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7.4363399422433556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7.4363399422433556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2">
        <f t="shared" si="32"/>
        <v>5.7714641827626956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70">
        <f t="shared" si="1"/>
        <v>333.81570011831167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14</v>
      </c>
      <c r="N35" s="14">
        <f>IF('Données projet'!$A$36&gt;35,N34+M35-V34,IF(A35&lt;'Données projet'!$A$36,$K$205^A35,IF(A35='Données projet'!$A$36,'Données projet'!$B$36,N34+M35-V34)))</f>
        <v>297</v>
      </c>
      <c r="O35" s="14">
        <f>N35*VLOOKUP('Données projet'!$B$9,Paramètres!$A$1:$I$89,3,0)*VLOOKUP('Données projet'!$B$9,Paramètres!$A$1:$I$89,5,0)</f>
        <v>177.60600000000002</v>
      </c>
      <c r="P35" s="14">
        <f t="shared" si="33"/>
        <v>44.789150937858665</v>
      </c>
      <c r="Q35" s="22">
        <f t="shared" ref="Q35:Q66" si="53">(O35+P35)*0.475*44/12</f>
        <v>387.33822121677053</v>
      </c>
      <c r="R35" s="62">
        <f t="shared" si="0"/>
        <v>680.67155455010379</v>
      </c>
      <c r="S35" s="62">
        <f ca="1">AVERAGE(OFFSET($R$3,0,0,'Données projet'!$E$9+1,1))-AVERAGE(OFFSET($H$3,0,0,'Données projet'!$E$9+1,1))</f>
        <v>153.59418465942997</v>
      </c>
      <c r="T35" s="62">
        <f t="shared" si="34"/>
        <v>313.61727210988198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10.471575328913076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0.96286378096592584</v>
      </c>
      <c r="AC35" s="24">
        <f t="shared" si="3"/>
        <v>11.434439109879001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14.6</v>
      </c>
      <c r="AI35" s="14">
        <f>IF('Données projet'!$A$62&gt;35,AI34+AH35-AQ34,IF(A35&lt;'Données projet'!$A$62,$AF$205^A35,IF(A35='Données projet'!$A$62,'Données projet'!$B$62,AI34+AH35-AQ34)))</f>
        <v>189.20000000000005</v>
      </c>
      <c r="AJ35" s="14">
        <f>AI35*VLOOKUP('Données projet'!$B$10,Paramètres!$A$1:$I$89,3,0)*VLOOKUP('Données projet'!$B$10,Paramètres!$A$1:$I$89,5,0)</f>
        <v>113.14160000000004</v>
      </c>
      <c r="AK35" s="14">
        <f t="shared" si="35"/>
        <v>30.069952587742019</v>
      </c>
      <c r="AL35" s="22">
        <f t="shared" si="4"/>
        <v>249.42678742365072</v>
      </c>
      <c r="AM35" s="62">
        <f t="shared" si="5"/>
        <v>542.76012075698407</v>
      </c>
      <c r="AN35" s="62">
        <f ca="1">AVERAGE(OFFSET($AM$3,0,0,'Données projet'!$E$10+1,1))-AVERAGE(OFFSET($H$3,0,0,'Données projet'!$E$10+1,1))</f>
        <v>288.15107951401188</v>
      </c>
      <c r="AO35" s="62">
        <f t="shared" si="36"/>
        <v>217.57508587672368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7.1537268134625842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6.8567047694512047</v>
      </c>
      <c r="AX35" s="23">
        <f t="shared" si="6"/>
        <v>14.010431582913789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17</v>
      </c>
      <c r="BD35" s="13">
        <f>IF('Données projet'!$A$88&gt;35,BD34+BC35-BL34,IF(A35&lt;'Données projet'!$A$88,$BA$205^A35,IF(A35='Données projet'!$A$88,'Données projet'!$B$88,BD34+BC35-BL34)))</f>
        <v>229</v>
      </c>
      <c r="BE35" s="14">
        <f>BD35*VLOOKUP('Données projet'!$B$11,Paramètres!$A$1:$I$89,3,0)*VLOOKUP('Données projet'!$B$11,Paramètres!$A$1:$I$89,5,0)</f>
        <v>107.172</v>
      </c>
      <c r="BF35" s="14">
        <f t="shared" si="37"/>
        <v>28.663679082578788</v>
      </c>
      <c r="BG35" s="22">
        <f t="shared" si="7"/>
        <v>236.58047440215805</v>
      </c>
      <c r="BH35" s="62">
        <f t="shared" si="8"/>
        <v>529.91380773549133</v>
      </c>
      <c r="BI35" s="62">
        <f ca="1">AVERAGE(OFFSET($BH$3,0,0,'Données projet'!$E$11+1,1))-AVERAGE(OFFSET($H$3,0,0,'Données projet'!$E$11+1,1))</f>
        <v>221.07273841880755</v>
      </c>
      <c r="BJ35" s="62">
        <f t="shared" si="38"/>
        <v>164.23448598618114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10.8</v>
      </c>
      <c r="BY35" s="13">
        <f>IF('Données projet'!$A$114&gt;35,BY34+BX35-CG34,IF(A35&lt;'Données projet'!$A$114,$BV$205^A35,IF(A35='Données projet'!$A$114,'Données projet'!$B$114,BY34+BX35-CG34)))</f>
        <v>140.6</v>
      </c>
      <c r="BZ35" s="14">
        <f>BY35*VLOOKUP('Données projet'!$B$12,Paramètres!$A$1:$I$89,3,0)*VLOOKUP('Données projet'!$B$12,Paramètres!$A$1:$I$89,5,0)</f>
        <v>111.86136</v>
      </c>
      <c r="CA35" s="14">
        <f t="shared" si="39"/>
        <v>29.769106304683568</v>
      </c>
      <c r="CB35" s="22">
        <f t="shared" si="10"/>
        <v>246.67306214732389</v>
      </c>
      <c r="CC35" s="62">
        <f t="shared" si="11"/>
        <v>540.00639548065715</v>
      </c>
      <c r="CD35" s="62">
        <f ca="1">AVERAGE(OFFSET($CC$3,0,0,'Données projet'!$E$12+1,1))-AVERAGE(OFFSET($H$3,0,0,'Données projet'!$E$12+1,1))</f>
        <v>219.2279518699109</v>
      </c>
      <c r="CE35" s="62">
        <f t="shared" si="40"/>
        <v>219.59799863414099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7.290517851695463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7.290517851695463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2">
        <f t="shared" si="32"/>
        <v>5.9305422092039777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70">
        <f t="shared" si="1"/>
        <v>335.04371101436357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14</v>
      </c>
      <c r="N36" s="14">
        <f>IF('Données projet'!$A$36&gt;35,N35+M36-V35,IF(A36&lt;'Données projet'!$A$36,$K$205^A36,IF(A36='Données projet'!$A$36,'Données projet'!$B$36,N35+M36-V35)))</f>
        <v>311</v>
      </c>
      <c r="O36" s="14">
        <f>N36*VLOOKUP('Données projet'!$B$9,Paramètres!$A$1:$I$89,3,0)*VLOOKUP('Données projet'!$B$9,Paramètres!$A$1:$I$89,5,0)</f>
        <v>185.97800000000001</v>
      </c>
      <c r="P36" s="14">
        <f t="shared" si="33"/>
        <v>46.649641523668571</v>
      </c>
      <c r="Q36" s="22">
        <f t="shared" si="53"/>
        <v>405.15980898705612</v>
      </c>
      <c r="R36" s="62">
        <f t="shared" si="0"/>
        <v>698.49314232038944</v>
      </c>
      <c r="S36" s="62">
        <f ca="1">AVERAGE(OFFSET($R$3,0,0,'Données projet'!$E$9+1,1))-AVERAGE(OFFSET($H$3,0,0,'Données projet'!$E$9+1,1))</f>
        <v>153.59418465942997</v>
      </c>
      <c r="T36" s="62">
        <f t="shared" si="34"/>
        <v>313.61727210988198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10.266234123743374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0.68084750887992485</v>
      </c>
      <c r="AC36" s="24">
        <f t="shared" si="3"/>
        <v>10.947081632623298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14.6</v>
      </c>
      <c r="AI36" s="14">
        <f>IF('Données projet'!$A$62&gt;35,AI35+AH36-AQ35,IF(A36&lt;'Données projet'!$A$62,$AF$205^A36,IF(A36='Données projet'!$A$62,'Données projet'!$B$62,AI35+AH36-AQ35)))</f>
        <v>203.80000000000004</v>
      </c>
      <c r="AJ36" s="14">
        <f>AI36*VLOOKUP('Données projet'!$B$10,Paramètres!$A$1:$I$89,3,0)*VLOOKUP('Données projet'!$B$10,Paramètres!$A$1:$I$89,5,0)</f>
        <v>121.87240000000003</v>
      </c>
      <c r="AK36" s="14">
        <f t="shared" si="35"/>
        <v>32.111311550408985</v>
      </c>
      <c r="AL36" s="22">
        <f t="shared" si="4"/>
        <v>268.1882976169623</v>
      </c>
      <c r="AM36" s="62">
        <f t="shared" si="5"/>
        <v>561.52163095029562</v>
      </c>
      <c r="AN36" s="62">
        <f ca="1">AVERAGE(OFFSET($AM$3,0,0,'Données projet'!$E$10+1,1))-AVERAGE(OFFSET($H$3,0,0,'Données projet'!$E$10+1,1))</f>
        <v>288.15107951401188</v>
      </c>
      <c r="AO36" s="62">
        <f t="shared" si="36"/>
        <v>217.57508587672368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7.0134465939930948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4.8484224390730901</v>
      </c>
      <c r="AX36" s="23">
        <f t="shared" si="6"/>
        <v>11.861869033066185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17</v>
      </c>
      <c r="BD36" s="13">
        <f>IF('Données projet'!$A$88&gt;35,BD35+BC36-BL35,IF(A36&lt;'Données projet'!$A$88,$BA$205^A36,IF(A36='Données projet'!$A$88,'Données projet'!$B$88,BD35+BC36-BL35)))</f>
        <v>246</v>
      </c>
      <c r="BE36" s="14">
        <f>BD36*VLOOKUP('Données projet'!$B$11,Paramètres!$A$1:$I$89,3,0)*VLOOKUP('Données projet'!$B$11,Paramètres!$A$1:$I$89,5,0)</f>
        <v>115.128</v>
      </c>
      <c r="BF36" s="14">
        <f t="shared" si="37"/>
        <v>30.53595882135</v>
      </c>
      <c r="BG36" s="22">
        <f t="shared" si="7"/>
        <v>253.69806161385125</v>
      </c>
      <c r="BH36" s="62">
        <f t="shared" si="8"/>
        <v>547.03139494718459</v>
      </c>
      <c r="BI36" s="62">
        <f ca="1">AVERAGE(OFFSET($BH$3,0,0,'Données projet'!$E$11+1,1))-AVERAGE(OFFSET($H$3,0,0,'Données projet'!$E$11+1,1))</f>
        <v>221.07273841880755</v>
      </c>
      <c r="BJ36" s="62">
        <f t="shared" si="38"/>
        <v>164.23448598618114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10.8</v>
      </c>
      <c r="BY36" s="13">
        <f>IF('Données projet'!$A$114&gt;35,BY35+BX36-CG35,IF(A36&lt;'Données projet'!$A$114,$BV$205^A36,IF(A36='Données projet'!$A$114,'Données projet'!$B$114,BY35+BX36-CG35)))</f>
        <v>151.4</v>
      </c>
      <c r="BZ36" s="14">
        <f>BY36*VLOOKUP('Données projet'!$B$12,Paramètres!$A$1:$I$89,3,0)*VLOOKUP('Données projet'!$B$12,Paramètres!$A$1:$I$89,5,0)</f>
        <v>120.45384</v>
      </c>
      <c r="CA36" s="14">
        <f t="shared" si="39"/>
        <v>31.780826754892406</v>
      </c>
      <c r="CB36" s="22">
        <f t="shared" si="10"/>
        <v>265.14204459810429</v>
      </c>
      <c r="CC36" s="62">
        <f t="shared" si="11"/>
        <v>558.47537793143761</v>
      </c>
      <c r="CD36" s="62">
        <f ca="1">AVERAGE(OFFSET($CC$3,0,0,'Données projet'!$E$12+1,1))-AVERAGE(OFFSET($H$3,0,0,'Données projet'!$E$12+1,1))</f>
        <v>219.2279518699109</v>
      </c>
      <c r="CE36" s="62">
        <f t="shared" si="40"/>
        <v>219.59799863414099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7.1475552434005216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7.1475552434005216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2">
        <f t="shared" si="32"/>
        <v>6.0890600219069135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70">
        <f t="shared" si="1"/>
        <v>336.27074620482119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>
        <f>VLOOKUP(A37,'Données projet'!$A$35:$I$55,2,0)</f>
        <v>325</v>
      </c>
      <c r="L37" s="13">
        <f>VLOOKUP(A37,'Données projet'!$A$35:$I$55,9,0)</f>
        <v>14</v>
      </c>
      <c r="M37" s="13">
        <f t="array" ref="M37">INDEX(L:L,MIN(IF(ISNUMBER(L37:L233),ROW(L37:L233),"")))</f>
        <v>14</v>
      </c>
      <c r="N37" s="14">
        <f>IF('Données projet'!$A$36&gt;35,N36+M37-V36,IF(A37&lt;'Données projet'!$A$36,$K$205^A37,IF(A37='Données projet'!$A$36,'Données projet'!$B$36,N36+M37-V36)))</f>
        <v>325</v>
      </c>
      <c r="O37" s="14">
        <f>N37*VLOOKUP('Données projet'!$B$9,Paramètres!$A$1:$I$89,3,0)*VLOOKUP('Données projet'!$B$9,Paramètres!$A$1:$I$89,5,0)</f>
        <v>194.35</v>
      </c>
      <c r="P37" s="14">
        <f t="shared" si="33"/>
        <v>48.500405405690429</v>
      </c>
      <c r="Q37" s="22">
        <f t="shared" si="53"/>
        <v>422.96445608157745</v>
      </c>
      <c r="R37" s="62">
        <f t="shared" si="0"/>
        <v>716.29778941491077</v>
      </c>
      <c r="S37" s="62">
        <f ca="1">AVERAGE(OFFSET($R$3,0,0,'Données projet'!$E$9+1,1))-AVERAGE(OFFSET($H$3,0,0,'Données projet'!$E$9+1,1))</f>
        <v>153.59418465942997</v>
      </c>
      <c r="T37" s="62">
        <f t="shared" si="34"/>
        <v>313.61727210988198</v>
      </c>
      <c r="U37" s="16">
        <f>IF(ISNA(VLOOKUP(A37,'Données projet'!$A$35:$I$55,3,0)),0,VLOOKUP(A37,'Données projet'!$A$35:$I$55,3,0))</f>
        <v>5</v>
      </c>
      <c r="V37" s="16">
        <f>IF(ISNA(VLOOKUP(A37,'Données projet'!$A$35:$I$55,4,0)),0,VLOOKUP(A37,'Données projet'!$A$35:$I$55,4,0))</f>
        <v>325</v>
      </c>
      <c r="W37" s="17">
        <f>IF(ISNA(VLOOKUP(A37,'Données projet'!$A$35:$I$55,5,0)),0%,VLOOKUP(A37,'Données projet'!$A$35:$I$55,5,0)*VLOOKUP('Données projet'!$B$9,Paramètres!$A$1:$I$89,7,0))</f>
        <v>0.315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0.3</v>
      </c>
      <c r="Z37" s="23">
        <f>EXP(-LN(2)/35)*Z36+(1-EXP(-LN(2)/35))/(LN(2)/35)*V37*W37*VLOOKUP('Données projet'!$B$9,Paramètres!$A$1:$I$89,3,0)*0.475*44/12</f>
        <v>91.277527137483801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66.496235997763563</v>
      </c>
      <c r="AC37" s="24">
        <f t="shared" si="3"/>
        <v>157.77376313524735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14.6</v>
      </c>
      <c r="AI37" s="14">
        <f>IF('Données projet'!$A$62&gt;35,AI36+AH37-AQ36,IF(A37&lt;'Données projet'!$A$62,$AF$205^A37,IF(A37='Données projet'!$A$62,'Données projet'!$B$62,AI36+AH37-AQ36)))</f>
        <v>218.40000000000003</v>
      </c>
      <c r="AJ37" s="14">
        <f>AI37*VLOOKUP('Données projet'!$B$10,Paramètres!$A$1:$I$89,3,0)*VLOOKUP('Données projet'!$B$10,Paramètres!$A$1:$I$89,5,0)</f>
        <v>130.60320000000004</v>
      </c>
      <c r="AK37" s="14">
        <f t="shared" si="35"/>
        <v>34.135703567016428</v>
      </c>
      <c r="AL37" s="22">
        <f t="shared" si="4"/>
        <v>286.92025704588701</v>
      </c>
      <c r="AM37" s="62">
        <f t="shared" si="5"/>
        <v>580.25359037922033</v>
      </c>
      <c r="AN37" s="62">
        <f ca="1">AVERAGE(OFFSET($AM$3,0,0,'Données projet'!$E$10+1,1))-AVERAGE(OFFSET($H$3,0,0,'Données projet'!$E$10+1,1))</f>
        <v>288.15107951401188</v>
      </c>
      <c r="AO37" s="62">
        <f t="shared" si="36"/>
        <v>217.57508587672368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6.8759171840649165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3.4283523847256028</v>
      </c>
      <c r="AX37" s="23">
        <f t="shared" si="6"/>
        <v>10.30426956879052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17</v>
      </c>
      <c r="BD37" s="13">
        <f>IF('Données projet'!$A$88&gt;35,BD36+BC37-BL36,IF(A37&lt;'Données projet'!$A$88,$BA$205^A37,IF(A37='Données projet'!$A$88,'Données projet'!$B$88,BD36+BC37-BL36)))</f>
        <v>263</v>
      </c>
      <c r="BE37" s="14">
        <f>BD37*VLOOKUP('Données projet'!$B$11,Paramètres!$A$1:$I$89,3,0)*VLOOKUP('Données projet'!$B$11,Paramètres!$A$1:$I$89,5,0)</f>
        <v>123.08399999999999</v>
      </c>
      <c r="BF37" s="14">
        <f t="shared" si="37"/>
        <v>32.393225926509828</v>
      </c>
      <c r="BG37" s="22">
        <f t="shared" si="7"/>
        <v>270.78950182200458</v>
      </c>
      <c r="BH37" s="62">
        <f t="shared" si="8"/>
        <v>564.12283515533795</v>
      </c>
      <c r="BI37" s="62">
        <f ca="1">AVERAGE(OFFSET($BH$3,0,0,'Données projet'!$E$11+1,1))-AVERAGE(OFFSET($H$3,0,0,'Données projet'!$E$11+1,1))</f>
        <v>221.07273841880755</v>
      </c>
      <c r="BJ37" s="62">
        <f t="shared" si="38"/>
        <v>164.23448598618114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10.8</v>
      </c>
      <c r="BY37" s="13">
        <f>IF('Données projet'!$A$114&gt;35,BY36+BX37-CG36,IF(A37&lt;'Données projet'!$A$114,$BV$205^A37,IF(A37='Données projet'!$A$114,'Données projet'!$B$114,BY36+BX37-CG36)))</f>
        <v>162.20000000000002</v>
      </c>
      <c r="BZ37" s="14">
        <f>BY37*VLOOKUP('Données projet'!$B$12,Paramètres!$A$1:$I$89,3,0)*VLOOKUP('Données projet'!$B$12,Paramètres!$A$1:$I$89,5,0)</f>
        <v>129.04632000000001</v>
      </c>
      <c r="CA37" s="14">
        <f t="shared" si="39"/>
        <v>33.775897540199807</v>
      </c>
      <c r="CB37" s="22">
        <f t="shared" si="10"/>
        <v>283.58202888251463</v>
      </c>
      <c r="CC37" s="62">
        <f t="shared" si="11"/>
        <v>576.91536221584795</v>
      </c>
      <c r="CD37" s="62">
        <f ca="1">AVERAGE(OFFSET($CC$3,0,0,'Données projet'!$E$12+1,1))-AVERAGE(OFFSET($H$3,0,0,'Données projet'!$E$12+1,1))</f>
        <v>219.2279518699109</v>
      </c>
      <c r="CE37" s="62">
        <f t="shared" si="40"/>
        <v>219.59799863414099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7.0073960446556631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7.0073960446556631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2">
        <f t="shared" si="32"/>
        <v>6.2470359895716463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70">
        <f t="shared" si="1"/>
        <v>337.49683768183723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153.59418465942997</v>
      </c>
      <c r="T38" s="62">
        <f t="shared" si="34"/>
        <v>313.61727210988198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89.487630504111962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47.019939397399625</v>
      </c>
      <c r="AC38" s="24">
        <f t="shared" si="3"/>
        <v>136.5075699015116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233</v>
      </c>
      <c r="AG38" s="13">
        <f>VLOOKUP(A38,'Données projet'!$A$61:$I$81,9,0)</f>
        <v>14.6</v>
      </c>
      <c r="AH38" s="13">
        <f t="array" ref="AH38">INDEX(AG:AG,MIN(IF(ISNUMBER(AG38:AG234),ROW(AG38:AG234),"")))</f>
        <v>14.6</v>
      </c>
      <c r="AI38" s="14">
        <f>IF('Données projet'!$A$62&gt;35,AI37+AH38-AQ37,IF(A38&lt;'Données projet'!$A$62,$AF$205^A38,IF(A38='Données projet'!$A$62,'Données projet'!$B$62,AI37+AH38-AQ37)))</f>
        <v>233.00000000000003</v>
      </c>
      <c r="AJ38" s="14">
        <f>AI38*VLOOKUP('Données projet'!$B$10,Paramètres!$A$1:$I$89,3,0)*VLOOKUP('Données projet'!$B$10,Paramètres!$A$1:$I$89,5,0)</f>
        <v>139.33400000000003</v>
      </c>
      <c r="AK38" s="14">
        <f t="shared" si="35"/>
        <v>36.144391930570897</v>
      </c>
      <c r="AL38" s="22">
        <f t="shared" si="4"/>
        <v>305.62486594574438</v>
      </c>
      <c r="AM38" s="62">
        <f t="shared" si="5"/>
        <v>598.95819927907769</v>
      </c>
      <c r="AN38" s="62">
        <f ca="1">AVERAGE(OFFSET($AM$3,0,0,'Données projet'!$E$10+1,1))-AVERAGE(OFFSET($H$3,0,0,'Données projet'!$E$10+1,1))</f>
        <v>288.15107951401188</v>
      </c>
      <c r="AO38" s="62">
        <f t="shared" si="36"/>
        <v>217.57508587672368</v>
      </c>
      <c r="AP38" s="16">
        <f>IF(ISNA(VLOOKUP(A38,'Données projet'!$A$61:$I$81,3,0)),0,VLOOKUP(A38,'Données projet'!$A$61:$I$81,3,0))</f>
        <v>4</v>
      </c>
      <c r="AQ38" s="16">
        <f>IF(ISNA(VLOOKUP(A38,'Données projet'!$A$61:$I$81,4,0)),0,VLOOKUP(A38,'Données projet'!$A$61:$I$81,4,0))</f>
        <v>41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6.7410846419807733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2.4242112195365455</v>
      </c>
      <c r="AX38" s="23">
        <f t="shared" si="6"/>
        <v>9.1652958615173183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280</v>
      </c>
      <c r="BB38" s="13">
        <f>VLOOKUP(A38,'Données projet'!$A$87:$I$107,9,0)</f>
        <v>17</v>
      </c>
      <c r="BC38" s="13">
        <f t="array" ref="BC38">INDEX(BB:BB,MIN(IF(ISNUMBER(BB38:BB234),ROW(BB38:BB234),"")))</f>
        <v>17</v>
      </c>
      <c r="BD38" s="13">
        <f>IF('Données projet'!$A$88&gt;35,BD37+BC38-BL37,IF(A38&lt;'Données projet'!$A$88,$BA$205^A38,IF(A38='Données projet'!$A$88,'Données projet'!$B$88,BD37+BC38-BL37)))</f>
        <v>280</v>
      </c>
      <c r="BE38" s="14">
        <f>BD38*VLOOKUP('Données projet'!$B$11,Paramètres!$A$1:$I$89,3,0)*VLOOKUP('Données projet'!$B$11,Paramètres!$A$1:$I$89,5,0)</f>
        <v>131.04</v>
      </c>
      <c r="BF38" s="14">
        <f t="shared" si="37"/>
        <v>34.236561238949918</v>
      </c>
      <c r="BG38" s="22">
        <f t="shared" si="7"/>
        <v>287.85667749117107</v>
      </c>
      <c r="BH38" s="62">
        <f t="shared" si="8"/>
        <v>581.19001082450438</v>
      </c>
      <c r="BI38" s="62">
        <f ca="1">AVERAGE(OFFSET($BH$3,0,0,'Données projet'!$E$11+1,1))-AVERAGE(OFFSET($H$3,0,0,'Données projet'!$E$11+1,1))</f>
        <v>221.07273841880755</v>
      </c>
      <c r="BJ38" s="62">
        <f t="shared" si="38"/>
        <v>164.23448598618114</v>
      </c>
      <c r="BK38" s="16">
        <f>IF(ISNA(VLOOKUP(A38,'Données projet'!$A$87:$I$107,3,0)),0,VLOOKUP(A38,'Données projet'!$A$87:$I$107,3,0))</f>
        <v>2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173</v>
      </c>
      <c r="BW38" s="13">
        <f>VLOOKUP(A38,'Données projet'!$A$113:$I$133,9,0)</f>
        <v>10.8</v>
      </c>
      <c r="BX38" s="13">
        <f t="array" ref="BX38">INDEX(BW:BW,MIN(IF(ISNUMBER(BW38:BW234),ROW(BW38:BW234),"")))</f>
        <v>10.8</v>
      </c>
      <c r="BY38" s="13">
        <f>IF('Données projet'!$A$114&gt;35,BY37+BX38-CG37,IF(A38&lt;'Données projet'!$A$114,$BV$205^A38,IF(A38='Données projet'!$A$114,'Données projet'!$B$114,BY37+BX38-CG37)))</f>
        <v>173.00000000000003</v>
      </c>
      <c r="BZ38" s="14">
        <f>BY38*VLOOKUP('Données projet'!$B$12,Paramètres!$A$1:$I$89,3,0)*VLOOKUP('Données projet'!$B$12,Paramètres!$A$1:$I$89,5,0)</f>
        <v>137.63880000000003</v>
      </c>
      <c r="CA38" s="14">
        <f t="shared" si="39"/>
        <v>35.755553413044268</v>
      </c>
      <c r="CB38" s="22">
        <f t="shared" si="10"/>
        <v>301.99516552771883</v>
      </c>
      <c r="CC38" s="62">
        <f t="shared" si="11"/>
        <v>595.32849886105214</v>
      </c>
      <c r="CD38" s="62">
        <f ca="1">AVERAGE(OFFSET($CC$3,0,0,'Données projet'!$E$12+1,1))-AVERAGE(OFFSET($H$3,0,0,'Données projet'!$E$12+1,1))</f>
        <v>219.2279518699109</v>
      </c>
      <c r="CE38" s="62">
        <f t="shared" si="40"/>
        <v>219.59799863414099</v>
      </c>
      <c r="CF38" s="16">
        <f>IF(ISNA(VLOOKUP(A38,'Données projet'!$A$113:$I$133,3,0)),0,VLOOKUP(A38,'Données projet'!$A$113:$I$133,3,0))</f>
        <v>5</v>
      </c>
      <c r="CG38" s="16">
        <f>IF(ISNA(VLOOKUP(A38,'Données projet'!$A$113:$I$133,4,0)),0,VLOOKUP(A38,'Données projet'!$A$113:$I$133,4,0))</f>
        <v>28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6.8699852823095213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6.8699852823095213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2">
        <f t="shared" si="32"/>
        <v>6.4044873715575248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70">
        <f t="shared" si="1"/>
        <v>338.72201550546265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153.59418465942997</v>
      </c>
      <c r="T39" s="62">
        <f t="shared" si="34"/>
        <v>313.61727210988198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87.732832651991401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33.248117998881781</v>
      </c>
      <c r="AC39" s="24">
        <f t="shared" si="3"/>
        <v>120.98095065087318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14.4</v>
      </c>
      <c r="AI39" s="14">
        <f>IF('Données projet'!$A$62&gt;35,AI38+AH39-AQ38,IF(A39&lt;'Données projet'!$A$62,$AF$205^A39,IF(A39='Données projet'!$A$62,'Données projet'!$B$62,AI38+AH39-AQ38)))</f>
        <v>206.40000000000003</v>
      </c>
      <c r="AJ39" s="14">
        <f>AI39*VLOOKUP('Données projet'!$B$10,Paramètres!$A$1:$I$89,3,0)*VLOOKUP('Données projet'!$B$10,Paramètres!$A$1:$I$89,5,0)</f>
        <v>123.42720000000003</v>
      </c>
      <c r="AK39" s="14">
        <f t="shared" si="35"/>
        <v>32.473022671122074</v>
      </c>
      <c r="AL39" s="22">
        <f t="shared" si="4"/>
        <v>271.5262211522043</v>
      </c>
      <c r="AM39" s="62">
        <f t="shared" si="5"/>
        <v>564.85955448553761</v>
      </c>
      <c r="AN39" s="62">
        <f ca="1">AVERAGE(OFFSET($AM$3,0,0,'Données projet'!$E$10+1,1))-AVERAGE(OFFSET($H$3,0,0,'Données projet'!$E$10+1,1))</f>
        <v>288.15107951401188</v>
      </c>
      <c r="AO39" s="62">
        <f t="shared" si="36"/>
        <v>217.57508587672368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6.6088960838071698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1.7141761923628018</v>
      </c>
      <c r="AX39" s="23">
        <f t="shared" si="6"/>
        <v>8.323072276169972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19.571428571428573</v>
      </c>
      <c r="BD39" s="13">
        <f>IF('Données projet'!$A$88&gt;35,BD38+BC39-BL38,IF(A39&lt;'Données projet'!$A$88,$BA$205^A39,IF(A39='Données projet'!$A$88,'Données projet'!$B$88,BD38+BC39-BL38)))</f>
        <v>299.57142857142856</v>
      </c>
      <c r="BE39" s="14">
        <f>BD39*VLOOKUP('Données projet'!$B$11,Paramètres!$A$1:$I$89,3,0)*VLOOKUP('Données projet'!$B$11,Paramètres!$A$1:$I$89,5,0)</f>
        <v>140.19942857142857</v>
      </c>
      <c r="BF39" s="14">
        <f t="shared" si="37"/>
        <v>36.342687994625102</v>
      </c>
      <c r="BG39" s="22">
        <f t="shared" si="7"/>
        <v>307.47751968587681</v>
      </c>
      <c r="BH39" s="62">
        <f t="shared" si="8"/>
        <v>600.81085301921007</v>
      </c>
      <c r="BI39" s="62">
        <f ca="1">AVERAGE(OFFSET($BH$3,0,0,'Données projet'!$E$11+1,1))-AVERAGE(OFFSET($H$3,0,0,'Données projet'!$E$11+1,1))</f>
        <v>221.07273841880755</v>
      </c>
      <c r="BJ39" s="62">
        <f t="shared" si="38"/>
        <v>164.23448598618114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9.4</v>
      </c>
      <c r="BY39" s="13">
        <f>IF('Données projet'!$A$114&gt;35,BY38+BX39-CG38,IF(A39&lt;'Données projet'!$A$114,$BV$205^A39,IF(A39='Données projet'!$A$114,'Données projet'!$B$114,BY38+BX39-CG38)))</f>
        <v>154.40000000000003</v>
      </c>
      <c r="BZ39" s="14">
        <f>BY39*VLOOKUP('Données projet'!$B$12,Paramètres!$A$1:$I$89,3,0)*VLOOKUP('Données projet'!$B$12,Paramètres!$A$1:$I$89,5,0)</f>
        <v>122.84064000000002</v>
      </c>
      <c r="CA39" s="14">
        <f t="shared" si="39"/>
        <v>32.336627088964654</v>
      </c>
      <c r="CB39" s="22">
        <f t="shared" si="10"/>
        <v>270.26707351328014</v>
      </c>
      <c r="CC39" s="62">
        <f t="shared" si="11"/>
        <v>563.6004068466134</v>
      </c>
      <c r="CD39" s="62">
        <f ca="1">AVERAGE(OFFSET($CC$3,0,0,'Données projet'!$E$12+1,1))-AVERAGE(OFFSET($H$3,0,0,'Données projet'!$E$12+1,1))</f>
        <v>219.2279518699109</v>
      </c>
      <c r="CE39" s="62">
        <f t="shared" si="40"/>
        <v>219.59799863414099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6.7352690612006985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6.7352690612006985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2">
        <f t="shared" si="32"/>
        <v>6.5614304138099282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70">
        <f t="shared" si="1"/>
        <v>339.94630797071892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153.59418465942997</v>
      </c>
      <c r="T40" s="62">
        <f t="shared" si="34"/>
        <v>313.61727210988198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86.012445315429929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23.509969698699813</v>
      </c>
      <c r="AC40" s="24">
        <f t="shared" si="3"/>
        <v>109.52241501412973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14.4</v>
      </c>
      <c r="AI40" s="14">
        <f>IF('Données projet'!$A$62&gt;35,AI39+AH40-AQ39,IF(A40&lt;'Données projet'!$A$62,$AF$205^A40,IF(A40='Données projet'!$A$62,'Données projet'!$B$62,AI39+AH40-AQ39)))</f>
        <v>220.80000000000004</v>
      </c>
      <c r="AJ40" s="14">
        <f>AI40*VLOOKUP('Données projet'!$B$10,Paramètres!$A$1:$I$89,3,0)*VLOOKUP('Données projet'!$B$10,Paramètres!$A$1:$I$89,5,0)</f>
        <v>132.03840000000005</v>
      </c>
      <c r="AK40" s="14">
        <f t="shared" si="35"/>
        <v>34.466946374534373</v>
      </c>
      <c r="AL40" s="22">
        <f t="shared" si="4"/>
        <v>289.99681160231415</v>
      </c>
      <c r="AM40" s="62">
        <f t="shared" si="5"/>
        <v>583.33014493564747</v>
      </c>
      <c r="AN40" s="62">
        <f ca="1">AVERAGE(OFFSET($AM$3,0,0,'Données projet'!$E$10+1,1))-AVERAGE(OFFSET($H$3,0,0,'Données projet'!$E$10+1,1))</f>
        <v>288.15107951401188</v>
      </c>
      <c r="AO40" s="62">
        <f t="shared" si="36"/>
        <v>217.57508587672368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6.4792996626322914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1.212105609768273</v>
      </c>
      <c r="AX40" s="23">
        <f t="shared" si="6"/>
        <v>7.6914052724005639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19.571428571428573</v>
      </c>
      <c r="BD40" s="13">
        <f>IF('Données projet'!$A$88&gt;35,BD39+BC40-BL39,IF(A40&lt;'Données projet'!$A$88,$BA$205^A40,IF(A40='Données projet'!$A$88,'Données projet'!$B$88,BD39+BC40-BL39)))</f>
        <v>319.14285714285711</v>
      </c>
      <c r="BE40" s="14">
        <f>BD40*VLOOKUP('Données projet'!$B$11,Paramètres!$A$1:$I$89,3,0)*VLOOKUP('Données projet'!$B$11,Paramètres!$A$1:$I$89,5,0)</f>
        <v>149.35885714285715</v>
      </c>
      <c r="BF40" s="14">
        <f t="shared" si="37"/>
        <v>38.432847302798578</v>
      </c>
      <c r="BG40" s="22">
        <f t="shared" si="7"/>
        <v>327.07055190951706</v>
      </c>
      <c r="BH40" s="62">
        <f t="shared" si="8"/>
        <v>620.40388524285038</v>
      </c>
      <c r="BI40" s="62">
        <f ca="1">AVERAGE(OFFSET($BH$3,0,0,'Données projet'!$E$11+1,1))-AVERAGE(OFFSET($H$3,0,0,'Données projet'!$E$11+1,1))</f>
        <v>221.07273841880755</v>
      </c>
      <c r="BJ40" s="62">
        <f t="shared" si="38"/>
        <v>164.23448598618114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9.4</v>
      </c>
      <c r="BY40" s="13">
        <f>IF('Données projet'!$A$114&gt;35,BY39+BX40-CG39,IF(A40&lt;'Données projet'!$A$114,$BV$205^A40,IF(A40='Données projet'!$A$114,'Données projet'!$B$114,BY39+BX40-CG39)))</f>
        <v>163.80000000000004</v>
      </c>
      <c r="BZ40" s="14">
        <f>BY40*VLOOKUP('Données projet'!$B$12,Paramètres!$A$1:$I$89,3,0)*VLOOKUP('Données projet'!$B$12,Paramètres!$A$1:$I$89,5,0)</f>
        <v>130.31928000000005</v>
      </c>
      <c r="CA40" s="14">
        <f t="shared" si="39"/>
        <v>34.070125030168121</v>
      </c>
      <c r="CB40" s="22">
        <f t="shared" si="10"/>
        <v>286.31154709420952</v>
      </c>
      <c r="CC40" s="62">
        <f t="shared" si="11"/>
        <v>579.64488042754283</v>
      </c>
      <c r="CD40" s="62">
        <f ca="1">AVERAGE(OFFSET($CC$3,0,0,'Données projet'!$E$12+1,1))-AVERAGE(OFFSET($H$3,0,0,'Données projet'!$E$12+1,1))</f>
        <v>219.2279518699109</v>
      </c>
      <c r="CE40" s="62">
        <f t="shared" si="40"/>
        <v>219.59799863414099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6.603194543019038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6.603194543019038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2">
        <f t="shared" si="32"/>
        <v>6.717880434124976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70">
        <f t="shared" si="1"/>
        <v>341.16974175610096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153.59418465942997</v>
      </c>
      <c r="T41" s="62">
        <f t="shared" si="34"/>
        <v>313.61727210988198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84.325793725205756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16.624058999440891</v>
      </c>
      <c r="AC41" s="24">
        <f t="shared" si="3"/>
        <v>100.94985272464665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14.4</v>
      </c>
      <c r="AI41" s="14">
        <f>IF('Données projet'!$A$62&gt;35,AI40+AH41-AQ40,IF(A41&lt;'Données projet'!$A$62,$AF$205^A41,IF(A41='Données projet'!$A$62,'Données projet'!$B$62,AI40+AH41-AQ40)))</f>
        <v>235.20000000000005</v>
      </c>
      <c r="AJ41" s="14">
        <f>AI41*VLOOKUP('Données projet'!$B$10,Paramètres!$A$1:$I$89,3,0)*VLOOKUP('Données projet'!$B$10,Paramètres!$A$1:$I$89,5,0)</f>
        <v>140.64960000000002</v>
      </c>
      <c r="AK41" s="14">
        <f t="shared" si="35"/>
        <v>36.445779615258601</v>
      </c>
      <c r="AL41" s="22">
        <f t="shared" si="4"/>
        <v>308.44111949657542</v>
      </c>
      <c r="AM41" s="62">
        <f t="shared" si="5"/>
        <v>601.7744528299088</v>
      </c>
      <c r="AN41" s="62">
        <f ca="1">AVERAGE(OFFSET($AM$3,0,0,'Données projet'!$E$10+1,1))-AVERAGE(OFFSET($H$3,0,0,'Données projet'!$E$10+1,1))</f>
        <v>288.15107951401188</v>
      </c>
      <c r="AO41" s="62">
        <f t="shared" si="36"/>
        <v>217.57508587672368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6.3522445482306402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0.85708809618140103</v>
      </c>
      <c r="AX41" s="23">
        <f t="shared" si="6"/>
        <v>7.2093326444120409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19.571428571428573</v>
      </c>
      <c r="BD41" s="13">
        <f>IF('Données projet'!$A$88&gt;35,BD40+BC41-BL40,IF(A41&lt;'Données projet'!$A$88,$BA$205^A41,IF(A41='Données projet'!$A$88,'Données projet'!$B$88,BD40+BC41-BL40)))</f>
        <v>338.71428571428567</v>
      </c>
      <c r="BE41" s="14">
        <f>BD41*VLOOKUP('Données projet'!$B$11,Paramètres!$A$1:$I$89,3,0)*VLOOKUP('Données projet'!$B$11,Paramètres!$A$1:$I$89,5,0)</f>
        <v>158.5182857142857</v>
      </c>
      <c r="BF41" s="14">
        <f t="shared" si="37"/>
        <v>40.508129862224799</v>
      </c>
      <c r="BG41" s="22">
        <f t="shared" si="7"/>
        <v>346.63767379575575</v>
      </c>
      <c r="BH41" s="62">
        <f t="shared" si="8"/>
        <v>639.971007129089</v>
      </c>
      <c r="BI41" s="62">
        <f ca="1">AVERAGE(OFFSET($BH$3,0,0,'Données projet'!$E$11+1,1))-AVERAGE(OFFSET($H$3,0,0,'Données projet'!$E$11+1,1))</f>
        <v>221.07273841880755</v>
      </c>
      <c r="BJ41" s="62">
        <f t="shared" si="38"/>
        <v>164.23448598618114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9.4</v>
      </c>
      <c r="BY41" s="13">
        <f>IF('Données projet'!$A$114&gt;35,BY40+BX41-CG40,IF(A41&lt;'Données projet'!$A$114,$BV$205^A41,IF(A41='Données projet'!$A$114,'Données projet'!$B$114,BY40+BX41-CG40)))</f>
        <v>173.20000000000005</v>
      </c>
      <c r="BZ41" s="14">
        <f>BY41*VLOOKUP('Données projet'!$B$12,Paramètres!$A$1:$I$89,3,0)*VLOOKUP('Données projet'!$B$12,Paramètres!$A$1:$I$89,5,0)</f>
        <v>137.79792000000003</v>
      </c>
      <c r="CA41" s="14">
        <f t="shared" si="39"/>
        <v>35.792075357772092</v>
      </c>
      <c r="CB41" s="22">
        <f t="shared" si="10"/>
        <v>302.33590858145311</v>
      </c>
      <c r="CC41" s="62">
        <f t="shared" si="11"/>
        <v>595.66924191478643</v>
      </c>
      <c r="CD41" s="62">
        <f ca="1">AVERAGE(OFFSET($CC$3,0,0,'Données projet'!$E$12+1,1))-AVERAGE(OFFSET($H$3,0,0,'Données projet'!$E$12+1,1))</f>
        <v>219.2279518699109</v>
      </c>
      <c r="CE41" s="62">
        <f t="shared" si="40"/>
        <v>219.59799863414099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6.4737099255814181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6.4737099255814181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2">
        <f t="shared" si="32"/>
        <v>6.8738518981865644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70">
        <f t="shared" si="1"/>
        <v>342.3923420560082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153.59418465942997</v>
      </c>
      <c r="T42" s="62">
        <f t="shared" si="34"/>
        <v>313.61727210988198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82.672216343909994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11.754984849349906</v>
      </c>
      <c r="AC42" s="24">
        <f t="shared" si="3"/>
        <v>94.427201193259904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14.4</v>
      </c>
      <c r="AI42" s="14">
        <f>IF('Données projet'!$A$62&gt;35,AI41+AH42-AQ41,IF(A42&lt;'Données projet'!$A$62,$AF$205^A42,IF(A42='Données projet'!$A$62,'Données projet'!$B$62,AI41+AH42-AQ41)))</f>
        <v>249.60000000000005</v>
      </c>
      <c r="AJ42" s="14">
        <f>AI42*VLOOKUP('Données projet'!$B$10,Paramètres!$A$1:$I$89,3,0)*VLOOKUP('Données projet'!$B$10,Paramètres!$A$1:$I$89,5,0)</f>
        <v>149.26080000000005</v>
      </c>
      <c r="AK42" s="14">
        <f t="shared" si="35"/>
        <v>38.410551499792909</v>
      </c>
      <c r="AL42" s="22">
        <f t="shared" si="4"/>
        <v>326.86093719547273</v>
      </c>
      <c r="AM42" s="62">
        <f t="shared" si="5"/>
        <v>620.1942705288061</v>
      </c>
      <c r="AN42" s="62">
        <f ca="1">AVERAGE(OFFSET($AM$3,0,0,'Données projet'!$E$10+1,1))-AVERAGE(OFFSET($H$3,0,0,'Données projet'!$E$10+1,1))</f>
        <v>288.15107951401188</v>
      </c>
      <c r="AO42" s="62">
        <f t="shared" si="36"/>
        <v>217.57508587672368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6.2276809071264383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0.6060528048841366</v>
      </c>
      <c r="AX42" s="23">
        <f t="shared" si="6"/>
        <v>6.8337337120105746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19.571428571428573</v>
      </c>
      <c r="BD42" s="13">
        <f>IF('Données projet'!$A$88&gt;35,BD41+BC42-BL41,IF(A42&lt;'Données projet'!$A$88,$BA$205^A42,IF(A42='Données projet'!$A$88,'Données projet'!$B$88,BD41+BC42-BL41)))</f>
        <v>358.28571428571422</v>
      </c>
      <c r="BE42" s="14">
        <f>BD42*VLOOKUP('Données projet'!$B$11,Paramètres!$A$1:$I$89,3,0)*VLOOKUP('Données projet'!$B$11,Paramètres!$A$1:$I$89,5,0)</f>
        <v>167.67771428571425</v>
      </c>
      <c r="BF42" s="14">
        <f t="shared" si="37"/>
        <v>42.569493207492975</v>
      </c>
      <c r="BG42" s="22">
        <f t="shared" si="7"/>
        <v>366.18055305066923</v>
      </c>
      <c r="BH42" s="62">
        <f t="shared" si="8"/>
        <v>659.51388638400249</v>
      </c>
      <c r="BI42" s="62">
        <f ca="1">AVERAGE(OFFSET($BH$3,0,0,'Données projet'!$E$11+1,1))-AVERAGE(OFFSET($H$3,0,0,'Données projet'!$E$11+1,1))</f>
        <v>221.07273841880755</v>
      </c>
      <c r="BJ42" s="62">
        <f t="shared" si="38"/>
        <v>164.23448598618114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9.4</v>
      </c>
      <c r="BY42" s="13">
        <f>IF('Données projet'!$A$114&gt;35,BY41+BX42-CG41,IF(A42&lt;'Données projet'!$A$114,$BV$205^A42,IF(A42='Données projet'!$A$114,'Données projet'!$B$114,BY41+BX42-CG41)))</f>
        <v>182.60000000000005</v>
      </c>
      <c r="BZ42" s="14">
        <f>BY42*VLOOKUP('Données projet'!$B$12,Paramètres!$A$1:$I$89,3,0)*VLOOKUP('Données projet'!$B$12,Paramètres!$A$1:$I$89,5,0)</f>
        <v>145.27656000000005</v>
      </c>
      <c r="CA42" s="14">
        <f t="shared" si="39"/>
        <v>37.503176238005366</v>
      </c>
      <c r="CB42" s="22">
        <f t="shared" si="10"/>
        <v>318.34137394785938</v>
      </c>
      <c r="CC42" s="62">
        <f t="shared" si="11"/>
        <v>611.6747072811927</v>
      </c>
      <c r="CD42" s="62">
        <f ca="1">AVERAGE(OFFSET($CC$3,0,0,'Données projet'!$E$12+1,1))-AVERAGE(OFFSET($H$3,0,0,'Données projet'!$E$12+1,1))</f>
        <v>219.2279518699109</v>
      </c>
      <c r="CE42" s="62">
        <f t="shared" si="40"/>
        <v>219.59799863414099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6.3467644225139317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6.3467644225139317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2">
        <f t="shared" si="32"/>
        <v>7.0293584875852577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70">
        <f t="shared" si="1"/>
        <v>343.61413269921093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153.59418465942997</v>
      </c>
      <c r="T43" s="62">
        <f t="shared" si="34"/>
        <v>313.61727210988198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81.051064606478832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8.3120294997204454</v>
      </c>
      <c r="AC43" s="24">
        <f t="shared" si="3"/>
        <v>89.36309410619927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264</v>
      </c>
      <c r="AG43" s="13">
        <f>VLOOKUP(A43,'Données projet'!$A$61:$I$81,9,0)</f>
        <v>14.4</v>
      </c>
      <c r="AH43" s="13">
        <f t="array" ref="AH43">INDEX(AG:AG,MIN(IF(ISNUMBER(AG43:AG239),ROW(AG43:AG239),"")))</f>
        <v>14.4</v>
      </c>
      <c r="AI43" s="14">
        <f>IF('Données projet'!$A$62&gt;35,AI42+AH43-AQ42,IF(A43&lt;'Données projet'!$A$62,$AF$205^A43,IF(A43='Données projet'!$A$62,'Données projet'!$B$62,AI42+AH43-AQ42)))</f>
        <v>264.00000000000006</v>
      </c>
      <c r="AJ43" s="14">
        <f>AI43*VLOOKUP('Données projet'!$B$10,Paramètres!$A$1:$I$89,3,0)*VLOOKUP('Données projet'!$B$10,Paramètres!$A$1:$I$89,5,0)</f>
        <v>157.87200000000004</v>
      </c>
      <c r="AK43" s="14">
        <f t="shared" si="35"/>
        <v>40.362165684361159</v>
      </c>
      <c r="AL43" s="22">
        <f t="shared" si="4"/>
        <v>345.25783856692902</v>
      </c>
      <c r="AM43" s="62">
        <f t="shared" si="5"/>
        <v>638.59117190026234</v>
      </c>
      <c r="AN43" s="62">
        <f ca="1">AVERAGE(OFFSET($AM$3,0,0,'Données projet'!$E$10+1,1))-AVERAGE(OFFSET($H$3,0,0,'Données projet'!$E$10+1,1))</f>
        <v>288.15107951401188</v>
      </c>
      <c r="AO43" s="62">
        <f t="shared" si="36"/>
        <v>217.57508587672368</v>
      </c>
      <c r="AP43" s="16">
        <f>IF(ISNA(VLOOKUP(A43,'Données projet'!$A$61:$I$81,3,0)),0,VLOOKUP(A43,'Données projet'!$A$61:$I$81,3,0))</f>
        <v>5</v>
      </c>
      <c r="AQ43" s="16">
        <f>IF(ISNA(VLOOKUP(A43,'Données projet'!$A$61:$I$81,4,0)),0,VLOOKUP(A43,'Données projet'!$A$61:$I$81,4,0))</f>
        <v>41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6.1055598830479703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0.42854404809070057</v>
      </c>
      <c r="AX43" s="23">
        <f t="shared" si="6"/>
        <v>6.5341039311386711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19.571428571428573</v>
      </c>
      <c r="BD43" s="13">
        <f>IF('Données projet'!$A$88&gt;35,BD42+BC43-BL42,IF(A43&lt;'Données projet'!$A$88,$BA$205^A43,IF(A43='Données projet'!$A$88,'Données projet'!$B$88,BD42+BC43-BL42)))</f>
        <v>377.85714285714278</v>
      </c>
      <c r="BE43" s="14">
        <f>BD43*VLOOKUP('Données projet'!$B$11,Paramètres!$A$1:$I$89,3,0)*VLOOKUP('Données projet'!$B$11,Paramètres!$A$1:$I$89,5,0)</f>
        <v>176.83714285714279</v>
      </c>
      <c r="BF43" s="14">
        <f t="shared" si="37"/>
        <v>44.617784353930041</v>
      </c>
      <c r="BG43" s="22">
        <f t="shared" si="7"/>
        <v>385.70066489261848</v>
      </c>
      <c r="BH43" s="62">
        <f t="shared" si="8"/>
        <v>679.03399822595179</v>
      </c>
      <c r="BI43" s="62">
        <f ca="1">AVERAGE(OFFSET($BH$3,0,0,'Données projet'!$E$11+1,1))-AVERAGE(OFFSET($H$3,0,0,'Données projet'!$E$11+1,1))</f>
        <v>221.07273841880755</v>
      </c>
      <c r="BJ43" s="62">
        <f t="shared" si="38"/>
        <v>164.23448598618114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192</v>
      </c>
      <c r="BW43" s="13">
        <f>VLOOKUP(A43,'Données projet'!$A$113:$I$133,9,0)</f>
        <v>9.4</v>
      </c>
      <c r="BX43" s="13">
        <f t="array" ref="BX43">INDEX(BW:BW,MIN(IF(ISNUMBER(BW43:BW239),ROW(BW43:BW239),"")))</f>
        <v>9.4</v>
      </c>
      <c r="BY43" s="13">
        <f>IF('Données projet'!$A$114&gt;35,BY42+BX43-CG42,IF(A43&lt;'Données projet'!$A$114,$BV$205^A43,IF(A43='Données projet'!$A$114,'Données projet'!$B$114,BY42+BX43-CG42)))</f>
        <v>192.00000000000006</v>
      </c>
      <c r="BZ43" s="14">
        <f>BY43*VLOOKUP('Données projet'!$B$12,Paramètres!$A$1:$I$89,3,0)*VLOOKUP('Données projet'!$B$12,Paramètres!$A$1:$I$89,5,0)</f>
        <v>152.75520000000006</v>
      </c>
      <c r="CA43" s="14">
        <f t="shared" si="39"/>
        <v>39.204049895729561</v>
      </c>
      <c r="CB43" s="22">
        <f t="shared" si="10"/>
        <v>334.32902690172904</v>
      </c>
      <c r="CC43" s="62">
        <f t="shared" si="11"/>
        <v>627.66236023506235</v>
      </c>
      <c r="CD43" s="62">
        <f ca="1">AVERAGE(OFFSET($CC$3,0,0,'Données projet'!$E$12+1,1))-AVERAGE(OFFSET($H$3,0,0,'Données projet'!$E$12+1,1))</f>
        <v>219.2279518699109</v>
      </c>
      <c r="CE43" s="62">
        <f t="shared" si="40"/>
        <v>219.59799863414099</v>
      </c>
      <c r="CF43" s="16">
        <f>IF(ISNA(VLOOKUP(A43,'Données projet'!$A$113:$I$133,3,0)),0,VLOOKUP(A43,'Données projet'!$A$113:$I$133,3,0))</f>
        <v>6</v>
      </c>
      <c r="CG43" s="16">
        <f>IF(ISNA(VLOOKUP(A43,'Données projet'!$A$113:$I$133,4,0)),0,VLOOKUP(A43,'Données projet'!$A$113:$I$133,4,0))</f>
        <v>28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6.2223082433324874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6.2223082433324874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2">
        <f t="shared" si="32"/>
        <v>7.1844131608438397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70">
        <f t="shared" si="1"/>
        <v>344.83513625513632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153.59418465942997</v>
      </c>
      <c r="T44" s="62">
        <f t="shared" si="34"/>
        <v>313.61727210988198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79.46170266581376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5.8774924246749531</v>
      </c>
      <c r="AC44" s="24">
        <f t="shared" si="3"/>
        <v>85.339195090488715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16.600000000000001</v>
      </c>
      <c r="AI44" s="14">
        <f>IF('Données projet'!$A$62&gt;35,AI43+AH44-AQ43,IF(A44&lt;'Données projet'!$A$62,$AF$205^A44,IF(A44='Données projet'!$A$62,'Données projet'!$B$62,AI43+AH44-AQ43)))</f>
        <v>239.60000000000008</v>
      </c>
      <c r="AJ44" s="14">
        <f>AI44*VLOOKUP('Données projet'!$B$10,Paramètres!$A$1:$I$89,3,0)*VLOOKUP('Données projet'!$B$10,Paramètres!$A$1:$I$89,5,0)</f>
        <v>143.28080000000006</v>
      </c>
      <c r="AK44" s="14">
        <f t="shared" si="35"/>
        <v>37.047574465948976</v>
      </c>
      <c r="AL44" s="22">
        <f t="shared" si="4"/>
        <v>314.07191886152788</v>
      </c>
      <c r="AM44" s="62">
        <f t="shared" si="5"/>
        <v>607.40525219486119</v>
      </c>
      <c r="AN44" s="62">
        <f ca="1">AVERAGE(OFFSET($AM$3,0,0,'Données projet'!$E$10+1,1))-AVERAGE(OFFSET($H$3,0,0,'Données projet'!$E$10+1,1))</f>
        <v>288.15107951401188</v>
      </c>
      <c r="AO44" s="62">
        <f t="shared" si="36"/>
        <v>217.57508587672368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5.9858335777652112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0.30302640244206835</v>
      </c>
      <c r="AX44" s="23">
        <f t="shared" si="6"/>
        <v>6.2888599802072793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19.571428571428573</v>
      </c>
      <c r="BD44" s="13">
        <f>IF('Données projet'!$A$88&gt;35,BD43+BC44-BL43,IF(A44&lt;'Données projet'!$A$88,$BA$205^A44,IF(A44='Données projet'!$A$88,'Données projet'!$B$88,BD43+BC44-BL43)))</f>
        <v>397.42857142857133</v>
      </c>
      <c r="BE44" s="14">
        <f>BD44*VLOOKUP('Données projet'!$B$11,Paramètres!$A$1:$I$89,3,0)*VLOOKUP('Données projet'!$B$11,Paramètres!$A$1:$I$89,5,0)</f>
        <v>185.9965714285714</v>
      </c>
      <c r="BF44" s="14">
        <f t="shared" si="37"/>
        <v>46.653757617185917</v>
      </c>
      <c r="BG44" s="22">
        <f t="shared" si="7"/>
        <v>405.19932308802726</v>
      </c>
      <c r="BH44" s="62">
        <f t="shared" si="8"/>
        <v>698.53265642136057</v>
      </c>
      <c r="BI44" s="62">
        <f ca="1">AVERAGE(OFFSET($BH$3,0,0,'Données projet'!$E$11+1,1))-AVERAGE(OFFSET($H$3,0,0,'Données projet'!$E$11+1,1))</f>
        <v>221.07273841880755</v>
      </c>
      <c r="BJ44" s="62">
        <f t="shared" si="38"/>
        <v>164.23448598618114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8.1999999999999993</v>
      </c>
      <c r="BY44" s="13">
        <f>IF('Données projet'!$A$114&gt;35,BY43+BX44-CG43,IF(A44&lt;'Données projet'!$A$114,$BV$205^A44,IF(A44='Données projet'!$A$114,'Données projet'!$B$114,BY43+BX44-CG43)))</f>
        <v>172.20000000000005</v>
      </c>
      <c r="BZ44" s="14">
        <f>BY44*VLOOKUP('Données projet'!$B$12,Paramètres!$A$1:$I$89,3,0)*VLOOKUP('Données projet'!$B$12,Paramètres!$A$1:$I$89,5,0)</f>
        <v>137.00232000000005</v>
      </c>
      <c r="CA44" s="14">
        <f t="shared" si="39"/>
        <v>35.609416420931346</v>
      </c>
      <c r="CB44" s="22">
        <f t="shared" si="10"/>
        <v>300.63210759978887</v>
      </c>
      <c r="CC44" s="62">
        <f t="shared" si="11"/>
        <v>593.96544093312218</v>
      </c>
      <c r="CD44" s="62">
        <f ca="1">AVERAGE(OFFSET($CC$3,0,0,'Données projet'!$E$12+1,1))-AVERAGE(OFFSET($H$3,0,0,'Données projet'!$E$12+1,1))</f>
        <v>219.2279518699109</v>
      </c>
      <c r="CE44" s="62">
        <f t="shared" si="40"/>
        <v>219.59799863414099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6.1002925739140172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6.1002925739140172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2">
        <f t="shared" si="32"/>
        <v>7.3390282083215048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70">
        <f t="shared" si="1"/>
        <v>346.05537412949326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153.59418465942997</v>
      </c>
      <c r="T45" s="62">
        <f t="shared" si="34"/>
        <v>313.61727210988198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77.903507143390073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4.1560147498602227</v>
      </c>
      <c r="AC45" s="24">
        <f t="shared" si="3"/>
        <v>82.059521893250292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16.600000000000001</v>
      </c>
      <c r="AI45" s="14">
        <f>IF('Données projet'!$A$62&gt;35,AI44+AH45-AQ44,IF(A45&lt;'Données projet'!$A$62,$AF$205^A45,IF(A45='Données projet'!$A$62,'Données projet'!$B$62,AI44+AH45-AQ44)))</f>
        <v>256.2000000000001</v>
      </c>
      <c r="AJ45" s="14">
        <f>AI45*VLOOKUP('Données projet'!$B$10,Paramètres!$A$1:$I$89,3,0)*VLOOKUP('Données projet'!$B$10,Paramètres!$A$1:$I$89,5,0)</f>
        <v>153.20760000000007</v>
      </c>
      <c r="AK45" s="14">
        <f t="shared" si="35"/>
        <v>39.306624169832133</v>
      </c>
      <c r="AL45" s="22">
        <f t="shared" si="4"/>
        <v>335.29560709579107</v>
      </c>
      <c r="AM45" s="62">
        <f t="shared" si="5"/>
        <v>628.62894042912444</v>
      </c>
      <c r="AN45" s="62">
        <f ca="1">AVERAGE(OFFSET($AM$3,0,0,'Données projet'!$E$10+1,1))-AVERAGE(OFFSET($H$3,0,0,'Données projet'!$E$10+1,1))</f>
        <v>288.15107951401188</v>
      </c>
      <c r="AO45" s="62">
        <f t="shared" si="36"/>
        <v>217.57508587672368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5.8684550323032116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0.21427202404535034</v>
      </c>
      <c r="AX45" s="23">
        <f t="shared" si="6"/>
        <v>6.0827270563485616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>
        <f>VLOOKUP(A45,'Données projet'!$A$87:$I$107,2,0)</f>
        <v>417</v>
      </c>
      <c r="BB45" s="13">
        <f>VLOOKUP(A45,'Données projet'!$A$87:$I$107,9,0)</f>
        <v>19.571428571428573</v>
      </c>
      <c r="BC45" s="13">
        <f t="array" ref="BC45">INDEX(BB:BB,MIN(IF(ISNUMBER(BB45:BB241),ROW(BB45:BB241),"")))</f>
        <v>19.571428571428573</v>
      </c>
      <c r="BD45" s="13">
        <f>IF('Données projet'!$A$88&gt;35,BD44+BC45-BL44,IF(A45&lt;'Données projet'!$A$88,$BA$205^A45,IF(A45='Données projet'!$A$88,'Données projet'!$B$88,BD44+BC45-BL44)))</f>
        <v>416.99999999999989</v>
      </c>
      <c r="BE45" s="14">
        <f>BD45*VLOOKUP('Données projet'!$B$11,Paramètres!$A$1:$I$89,3,0)*VLOOKUP('Données projet'!$B$11,Paramètres!$A$1:$I$89,5,0)</f>
        <v>195.15599999999995</v>
      </c>
      <c r="BF45" s="14">
        <f t="shared" si="37"/>
        <v>48.678088823054175</v>
      </c>
      <c r="BG45" s="22">
        <f t="shared" si="7"/>
        <v>424.67770470015256</v>
      </c>
      <c r="BH45" s="62">
        <f t="shared" si="8"/>
        <v>718.01103803348587</v>
      </c>
      <c r="BI45" s="62">
        <f ca="1">AVERAGE(OFFSET($BH$3,0,0,'Données projet'!$E$11+1,1))-AVERAGE(OFFSET($H$3,0,0,'Données projet'!$E$11+1,1))</f>
        <v>221.07273841880755</v>
      </c>
      <c r="BJ45" s="62">
        <f t="shared" si="38"/>
        <v>164.23448598618114</v>
      </c>
      <c r="BK45" s="16">
        <f>IF(ISNA(VLOOKUP(A45,'Données projet'!$A$87:$I$107,3,0)),0,VLOOKUP(A45,'Données projet'!$A$87:$I$107,3,0))</f>
        <v>3</v>
      </c>
      <c r="BL45" s="16">
        <f>IF(ISNA(VLOOKUP(A45,'Données projet'!$A$87:$I$107,4,0)),0,VLOOKUP(A45,'Données projet'!$A$87:$I$107,4,0))</f>
        <v>182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8.1999999999999993</v>
      </c>
      <c r="BY45" s="13">
        <f>IF('Données projet'!$A$114&gt;35,BY44+BX45-CG44,IF(A45&lt;'Données projet'!$A$114,$BV$205^A45,IF(A45='Données projet'!$A$114,'Données projet'!$B$114,BY44+BX45-CG44)))</f>
        <v>180.40000000000003</v>
      </c>
      <c r="BZ45" s="14">
        <f>BY45*VLOOKUP('Données projet'!$B$12,Paramètres!$A$1:$I$89,3,0)*VLOOKUP('Données projet'!$B$12,Paramètres!$A$1:$I$89,5,0)</f>
        <v>143.52624000000003</v>
      </c>
      <c r="CA45" s="14">
        <f t="shared" si="39"/>
        <v>37.103644337236275</v>
      </c>
      <c r="CB45" s="22">
        <f t="shared" si="10"/>
        <v>314.59704855401986</v>
      </c>
      <c r="CC45" s="62">
        <f t="shared" si="11"/>
        <v>607.93038188735318</v>
      </c>
      <c r="CD45" s="62">
        <f ca="1">AVERAGE(OFFSET($CC$3,0,0,'Données projet'!$E$12+1,1))-AVERAGE(OFFSET($H$3,0,0,'Données projet'!$E$12+1,1))</f>
        <v>219.2279518699109</v>
      </c>
      <c r="CE45" s="62">
        <f t="shared" si="40"/>
        <v>219.59799863414099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5.9806695573506339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5.9806695573506339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2">
        <f t="shared" si="32"/>
        <v>7.4932153017418166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70">
        <f t="shared" si="1"/>
        <v>347.27486665053362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153.59418465942997</v>
      </c>
      <c r="T46" s="62">
        <f t="shared" si="34"/>
        <v>313.61727210988198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76.375866884755695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2.9387462123374766</v>
      </c>
      <c r="AC46" s="24">
        <f t="shared" si="3"/>
        <v>79.314613097093172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16.600000000000001</v>
      </c>
      <c r="AI46" s="14">
        <f>IF('Données projet'!$A$62&gt;35,AI45+AH46-AQ45,IF(A46&lt;'Données projet'!$A$62,$AF$205^A46,IF(A46='Données projet'!$A$62,'Données projet'!$B$62,AI45+AH46-AQ45)))</f>
        <v>272.80000000000013</v>
      </c>
      <c r="AJ46" s="14">
        <f>AI46*VLOOKUP('Données projet'!$B$10,Paramètres!$A$1:$I$89,3,0)*VLOOKUP('Données projet'!$B$10,Paramètres!$A$1:$I$89,5,0)</f>
        <v>163.13440000000008</v>
      </c>
      <c r="AK46" s="14">
        <f t="shared" si="35"/>
        <v>41.548687845426002</v>
      </c>
      <c r="AL46" s="22">
        <f t="shared" si="4"/>
        <v>356.48971133078379</v>
      </c>
      <c r="AM46" s="62">
        <f t="shared" si="5"/>
        <v>649.82304466411711</v>
      </c>
      <c r="AN46" s="62">
        <f ca="1">AVERAGE(OFFSET($AM$3,0,0,'Données projet'!$E$10+1,1))-AVERAGE(OFFSET($H$3,0,0,'Données projet'!$E$10+1,1))</f>
        <v>288.15107951401188</v>
      </c>
      <c r="AO46" s="62">
        <f t="shared" si="36"/>
        <v>217.57508587672368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5.7533782085238787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0.1515132012210342</v>
      </c>
      <c r="AX46" s="23">
        <f t="shared" si="6"/>
        <v>5.9048914097449128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>
        <f>VLOOKUP(A46,'Données projet'!$A$87:$I$107,2,0)</f>
        <v>256</v>
      </c>
      <c r="BB46" s="13">
        <f>VLOOKUP(A46,'Données projet'!$A$87:$I$107,9,0)</f>
        <v>21</v>
      </c>
      <c r="BC46" s="13">
        <f t="array" ref="BC46">INDEX(BB:BB,MIN(IF(ISNUMBER(BB46:BB242),ROW(BB46:BB242),"")))</f>
        <v>21</v>
      </c>
      <c r="BD46" s="13">
        <f>IF('Données projet'!$A$88&gt;35,BD45+BC46-BL45,IF(A46&lt;'Données projet'!$A$88,$BA$205^A46,IF(A46='Données projet'!$A$88,'Données projet'!$B$88,BD45+BC46-BL45)))</f>
        <v>255.99999999999989</v>
      </c>
      <c r="BE46" s="14">
        <f>BD46*VLOOKUP('Données projet'!$B$11,Paramètres!$A$1:$I$89,3,0)*VLOOKUP('Données projet'!$B$11,Paramètres!$A$1:$I$89,5,0)</f>
        <v>119.80799999999995</v>
      </c>
      <c r="BF46" s="14">
        <f t="shared" si="37"/>
        <v>31.630214274643535</v>
      </c>
      <c r="BG46" s="22">
        <f t="shared" si="7"/>
        <v>263.75488986167073</v>
      </c>
      <c r="BH46" s="62">
        <f t="shared" si="8"/>
        <v>557.08822319500405</v>
      </c>
      <c r="BI46" s="62">
        <f ca="1">AVERAGE(OFFSET($BH$3,0,0,'Données projet'!$E$11+1,1))-AVERAGE(OFFSET($H$3,0,0,'Données projet'!$E$11+1,1))</f>
        <v>221.07273841880755</v>
      </c>
      <c r="BJ46" s="62">
        <f t="shared" si="38"/>
        <v>164.23448598618114</v>
      </c>
      <c r="BK46" s="16">
        <f>IF(ISNA(VLOOKUP(A46,'Données projet'!$A$87:$I$107,3,0)),0,VLOOKUP(A46,'Données projet'!$A$87:$I$107,3,0))</f>
        <v>4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8.1999999999999993</v>
      </c>
      <c r="BY46" s="13">
        <f>IF('Données projet'!$A$114&gt;35,BY45+BX46-CG45,IF(A46&lt;'Données projet'!$A$114,$BV$205^A46,IF(A46='Données projet'!$A$114,'Données projet'!$B$114,BY45+BX46-CG45)))</f>
        <v>188.60000000000002</v>
      </c>
      <c r="BZ46" s="14">
        <f>BY46*VLOOKUP('Données projet'!$B$12,Paramètres!$A$1:$I$89,3,0)*VLOOKUP('Données projet'!$B$12,Paramètres!$A$1:$I$89,5,0)</f>
        <v>150.05016000000001</v>
      </c>
      <c r="CA46" s="14">
        <f t="shared" si="39"/>
        <v>38.589984439024605</v>
      </c>
      <c r="CB46" s="22">
        <f t="shared" si="10"/>
        <v>328.54825156463448</v>
      </c>
      <c r="CC46" s="62">
        <f t="shared" si="11"/>
        <v>621.88158489796774</v>
      </c>
      <c r="CD46" s="62">
        <f ca="1">AVERAGE(OFFSET($CC$3,0,0,'Données projet'!$E$12+1,1))-AVERAGE(OFFSET($H$3,0,0,'Données projet'!$E$12+1,1))</f>
        <v>219.2279518699109</v>
      </c>
      <c r="CE46" s="62">
        <f t="shared" si="40"/>
        <v>219.59799863414099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5.8633922751792227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5.8633922751792227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2">
        <f t="shared" si="32"/>
        <v>7.6469855389835546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70">
        <f t="shared" si="1"/>
        <v>348.49363314706295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153.59418465942997</v>
      </c>
      <c r="T47" s="62">
        <f t="shared" si="34"/>
        <v>313.61727210988198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74.878182719824579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2.0780073749301113</v>
      </c>
      <c r="AC47" s="24">
        <f t="shared" si="3"/>
        <v>76.956190094754689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16.600000000000001</v>
      </c>
      <c r="AI47" s="14">
        <f>IF('Données projet'!$A$62&gt;35,AI46+AH47-AQ46,IF(A47&lt;'Données projet'!$A$62,$AF$205^A47,IF(A47='Données projet'!$A$62,'Données projet'!$B$62,AI46+AH47-AQ46)))</f>
        <v>289.40000000000015</v>
      </c>
      <c r="AJ47" s="14">
        <f>AI47*VLOOKUP('Données projet'!$B$10,Paramètres!$A$1:$I$89,3,0)*VLOOKUP('Données projet'!$B$10,Paramètres!$A$1:$I$89,5,0)</f>
        <v>173.0612000000001</v>
      </c>
      <c r="AK47" s="14">
        <f t="shared" si="35"/>
        <v>43.774916798471111</v>
      </c>
      <c r="AL47" s="22">
        <f t="shared" si="4"/>
        <v>377.65623675733735</v>
      </c>
      <c r="AM47" s="62">
        <f t="shared" si="5"/>
        <v>670.98957009067067</v>
      </c>
      <c r="AN47" s="62">
        <f ca="1">AVERAGE(OFFSET($AM$3,0,0,'Données projet'!$E$10+1,1))-AVERAGE(OFFSET($H$3,0,0,'Données projet'!$E$10+1,1))</f>
        <v>288.15107951401188</v>
      </c>
      <c r="AO47" s="62">
        <f t="shared" si="36"/>
        <v>217.57508587672368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5.6405579710689269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0.10713601202267518</v>
      </c>
      <c r="AX47" s="23">
        <f t="shared" si="6"/>
        <v>5.7476939830916018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17.5</v>
      </c>
      <c r="BD47" s="13">
        <f>IF('Données projet'!$A$88&gt;35,BD46+BC47-BL46,IF(A47&lt;'Données projet'!$A$88,$BA$205^A47,IF(A47='Données projet'!$A$88,'Données projet'!$B$88,BD46+BC47-BL46)))</f>
        <v>273.49999999999989</v>
      </c>
      <c r="BE47" s="14">
        <f>BD47*VLOOKUP('Données projet'!$B$11,Paramètres!$A$1:$I$89,3,0)*VLOOKUP('Données projet'!$B$11,Paramètres!$A$1:$I$89,5,0)</f>
        <v>127.99799999999995</v>
      </c>
      <c r="BF47" s="14">
        <f t="shared" si="37"/>
        <v>33.533338894635314</v>
      </c>
      <c r="BG47" s="22">
        <f t="shared" si="7"/>
        <v>281.33374857482306</v>
      </c>
      <c r="BH47" s="62">
        <f t="shared" si="8"/>
        <v>574.66708190815643</v>
      </c>
      <c r="BI47" s="62">
        <f ca="1">AVERAGE(OFFSET($BH$3,0,0,'Données projet'!$E$11+1,1))-AVERAGE(OFFSET($H$3,0,0,'Données projet'!$E$11+1,1))</f>
        <v>221.07273841880755</v>
      </c>
      <c r="BJ47" s="62">
        <f t="shared" si="38"/>
        <v>164.23448598618114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8.1999999999999993</v>
      </c>
      <c r="BY47" s="13">
        <f>IF('Données projet'!$A$114&gt;35,BY46+BX47-CG46,IF(A47&lt;'Données projet'!$A$114,$BV$205^A47,IF(A47='Données projet'!$A$114,'Données projet'!$B$114,BY46+BX47-CG46)))</f>
        <v>196.8</v>
      </c>
      <c r="BZ47" s="14">
        <f>BY47*VLOOKUP('Données projet'!$B$12,Paramètres!$A$1:$I$89,3,0)*VLOOKUP('Données projet'!$B$12,Paramètres!$A$1:$I$89,5,0)</f>
        <v>156.57408000000001</v>
      </c>
      <c r="CA47" s="14">
        <f t="shared" si="39"/>
        <v>40.068818872547467</v>
      </c>
      <c r="CB47" s="22">
        <f t="shared" si="10"/>
        <v>342.48638220302018</v>
      </c>
      <c r="CC47" s="62">
        <f t="shared" si="11"/>
        <v>635.81971553635344</v>
      </c>
      <c r="CD47" s="62">
        <f ca="1">AVERAGE(OFFSET($CC$3,0,0,'Données projet'!$E$12+1,1))-AVERAGE(OFFSET($H$3,0,0,'Données projet'!$E$12+1,1))</f>
        <v>219.2279518699109</v>
      </c>
      <c r="CE47" s="62">
        <f t="shared" si="40"/>
        <v>219.59799863414099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5.7484147289791139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5.7484147289791139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2">
        <f t="shared" si="32"/>
        <v>7.8003494846849248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70">
        <f t="shared" si="1"/>
        <v>349.7116920191595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153.59418465942997</v>
      </c>
      <c r="T48" s="62">
        <f t="shared" si="34"/>
        <v>313.61727210988198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73.40986722787062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1.4693731061687383</v>
      </c>
      <c r="AC48" s="24">
        <f t="shared" si="3"/>
        <v>74.879240334039352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306</v>
      </c>
      <c r="AG48" s="13">
        <f>VLOOKUP(A48,'Données projet'!$A$61:$I$81,9,0)</f>
        <v>16.600000000000001</v>
      </c>
      <c r="AH48" s="13">
        <f t="array" ref="AH48">INDEX(AG:AG,MIN(IF(ISNUMBER(AG48:AG244),ROW(AG48:AG244),"")))</f>
        <v>16.600000000000001</v>
      </c>
      <c r="AI48" s="14">
        <f>IF('Données projet'!$A$62&gt;35,AI47+AH48-AQ47,IF(A48&lt;'Données projet'!$A$62,$AF$205^A48,IF(A48='Données projet'!$A$62,'Données projet'!$B$62,AI47+AH48-AQ47)))</f>
        <v>306.00000000000017</v>
      </c>
      <c r="AJ48" s="14">
        <f>AI48*VLOOKUP('Données projet'!$B$10,Paramètres!$A$1:$I$89,3,0)*VLOOKUP('Données projet'!$B$10,Paramètres!$A$1:$I$89,5,0)</f>
        <v>182.98800000000011</v>
      </c>
      <c r="AK48" s="14">
        <f t="shared" si="35"/>
        <v>45.986322796524874</v>
      </c>
      <c r="AL48" s="22">
        <f t="shared" si="4"/>
        <v>398.79694553728103</v>
      </c>
      <c r="AM48" s="62">
        <f t="shared" si="5"/>
        <v>692.13027887061435</v>
      </c>
      <c r="AN48" s="62">
        <f ca="1">AVERAGE(OFFSET($AM$3,0,0,'Données projet'!$E$10+1,1))-AVERAGE(OFFSET($H$3,0,0,'Données projet'!$E$10+1,1))</f>
        <v>288.15107951401188</v>
      </c>
      <c r="AO48" s="62">
        <f t="shared" si="36"/>
        <v>217.57508587672368</v>
      </c>
      <c r="AP48" s="16">
        <f>IF(ISNA(VLOOKUP(A48,'Données projet'!$A$61:$I$81,3,0)),0,VLOOKUP(A48,'Données projet'!$A$61:$I$81,3,0))</f>
        <v>6</v>
      </c>
      <c r="AQ48" s="16">
        <f>IF(ISNA(VLOOKUP(A48,'Données projet'!$A$61:$I$81,4,0)),0,VLOOKUP(A48,'Données projet'!$A$61:$I$81,4,0))</f>
        <v>53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5.5299500696569162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7.5756600610517116E-2</v>
      </c>
      <c r="AX48" s="23">
        <f t="shared" si="6"/>
        <v>5.6057066702674332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17.5</v>
      </c>
      <c r="BD48" s="13">
        <f>IF('Données projet'!$A$88&gt;35,BD47+BC48-BL47,IF(A48&lt;'Données projet'!$A$88,$BA$205^A48,IF(A48='Données projet'!$A$88,'Données projet'!$B$88,BD47+BC48-BL47)))</f>
        <v>290.99999999999989</v>
      </c>
      <c r="BE48" s="14">
        <f>BD48*VLOOKUP('Données projet'!$B$11,Paramètres!$A$1:$I$89,3,0)*VLOOKUP('Données projet'!$B$11,Paramètres!$A$1:$I$89,5,0)</f>
        <v>136.18799999999993</v>
      </c>
      <c r="BF48" s="14">
        <f t="shared" si="37"/>
        <v>35.422331714503152</v>
      </c>
      <c r="BG48" s="22">
        <f t="shared" si="7"/>
        <v>298.88799440275955</v>
      </c>
      <c r="BH48" s="62">
        <f t="shared" si="8"/>
        <v>592.22132773609292</v>
      </c>
      <c r="BI48" s="62">
        <f ca="1">AVERAGE(OFFSET($BH$3,0,0,'Données projet'!$E$11+1,1))-AVERAGE(OFFSET($H$3,0,0,'Données projet'!$E$11+1,1))</f>
        <v>221.07273841880755</v>
      </c>
      <c r="BJ48" s="62">
        <f t="shared" si="38"/>
        <v>164.23448598618114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205</v>
      </c>
      <c r="BW48" s="13">
        <f>VLOOKUP(A48,'Données projet'!$A$113:$I$133,9,0)</f>
        <v>8.1999999999999993</v>
      </c>
      <c r="BX48" s="13">
        <f t="array" ref="BX48">INDEX(BW:BW,MIN(IF(ISNUMBER(BW48:BW244),ROW(BW48:BW244),"")))</f>
        <v>8.1999999999999993</v>
      </c>
      <c r="BY48" s="13">
        <f>IF('Données projet'!$A$114&gt;35,BY47+BX48-CG47,IF(A48&lt;'Données projet'!$A$114,$BV$205^A48,IF(A48='Données projet'!$A$114,'Données projet'!$B$114,BY47+BX48-CG47)))</f>
        <v>205</v>
      </c>
      <c r="BZ48" s="14">
        <f>BY48*VLOOKUP('Données projet'!$B$12,Paramètres!$A$1:$I$89,3,0)*VLOOKUP('Données projet'!$B$12,Paramètres!$A$1:$I$89,5,0)</f>
        <v>163.09800000000001</v>
      </c>
      <c r="CA48" s="14">
        <f t="shared" si="39"/>
        <v>41.540496136845142</v>
      </c>
      <c r="CB48" s="22">
        <f t="shared" si="10"/>
        <v>356.41204743833867</v>
      </c>
      <c r="CC48" s="62">
        <f t="shared" si="11"/>
        <v>649.74538077167199</v>
      </c>
      <c r="CD48" s="62">
        <f ca="1">AVERAGE(OFFSET($CC$3,0,0,'Données projet'!$E$12+1,1))-AVERAGE(OFFSET($H$3,0,0,'Données projet'!$E$12+1,1))</f>
        <v>219.2279518699109</v>
      </c>
      <c r="CE48" s="62">
        <f t="shared" si="40"/>
        <v>219.59799863414099</v>
      </c>
      <c r="CF48" s="16">
        <f>IF(ISNA(VLOOKUP(A48,'Données projet'!$A$113:$I$133,3,0)),0,VLOOKUP(A48,'Données projet'!$A$113:$I$133,3,0))</f>
        <v>7</v>
      </c>
      <c r="CG48" s="16">
        <f>IF(ISNA(VLOOKUP(A48,'Données projet'!$A$113:$I$133,4,0)),0,VLOOKUP(A48,'Données projet'!$A$113:$I$133,4,0))</f>
        <v>22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5.6356918223306112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5.6356918223306112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2">
        <f t="shared" si="32"/>
        <v>7.9533172071366991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70">
        <f t="shared" si="1"/>
        <v>350.92906080242972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153.59418465942997</v>
      </c>
      <c r="T49" s="62">
        <f t="shared" si="34"/>
        <v>313.61727210988198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71.970344507129866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1.0390036874650557</v>
      </c>
      <c r="AC49" s="24">
        <f t="shared" si="3"/>
        <v>73.009348194594921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19.8</v>
      </c>
      <c r="AI49" s="14">
        <f>IF('Données projet'!$A$62&gt;35,AI48+AH49-AQ48,IF(A49&lt;'Données projet'!$A$62,$AF$205^A49,IF(A49='Données projet'!$A$62,'Données projet'!$B$62,AI48+AH49-AQ48)))</f>
        <v>272.80000000000018</v>
      </c>
      <c r="AJ49" s="14">
        <f>AI49*VLOOKUP('Données projet'!$B$10,Paramètres!$A$1:$I$89,3,0)*VLOOKUP('Données projet'!$B$10,Paramètres!$A$1:$I$89,5,0)</f>
        <v>163.13440000000011</v>
      </c>
      <c r="AK49" s="14">
        <f t="shared" si="35"/>
        <v>41.548687845426002</v>
      </c>
      <c r="AL49" s="22">
        <f t="shared" si="4"/>
        <v>356.48971133078385</v>
      </c>
      <c r="AM49" s="62">
        <f t="shared" si="5"/>
        <v>649.82304466411711</v>
      </c>
      <c r="AN49" s="62">
        <f ca="1">AVERAGE(OFFSET($AM$3,0,0,'Données projet'!$E$10+1,1))-AVERAGE(OFFSET($H$3,0,0,'Données projet'!$E$10+1,1))</f>
        <v>288.15107951401188</v>
      </c>
      <c r="AO49" s="62">
        <f t="shared" si="36"/>
        <v>217.57508587672368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5.4215111217274368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5.3568006011337606E-2</v>
      </c>
      <c r="AX49" s="23">
        <f t="shared" si="6"/>
        <v>5.4750791277387743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17.5</v>
      </c>
      <c r="BD49" s="13">
        <f>IF('Données projet'!$A$88&gt;35,BD48+BC49-BL48,IF(A49&lt;'Données projet'!$A$88,$BA$205^A49,IF(A49='Données projet'!$A$88,'Données projet'!$B$88,BD48+BC49-BL48)))</f>
        <v>308.49999999999989</v>
      </c>
      <c r="BE49" s="14">
        <f>BD49*VLOOKUP('Données projet'!$B$11,Paramètres!$A$1:$I$89,3,0)*VLOOKUP('Données projet'!$B$11,Paramètres!$A$1:$I$89,5,0)</f>
        <v>144.37799999999996</v>
      </c>
      <c r="BF49" s="14">
        <f t="shared" si="37"/>
        <v>37.298139369272413</v>
      </c>
      <c r="BG49" s="22">
        <f t="shared" si="7"/>
        <v>316.41927606814937</v>
      </c>
      <c r="BH49" s="62">
        <f t="shared" si="8"/>
        <v>609.75260940148269</v>
      </c>
      <c r="BI49" s="62">
        <f ca="1">AVERAGE(OFFSET($BH$3,0,0,'Données projet'!$E$11+1,1))-AVERAGE(OFFSET($H$3,0,0,'Données projet'!$E$11+1,1))</f>
        <v>221.07273841880755</v>
      </c>
      <c r="BJ49" s="62">
        <f t="shared" si="38"/>
        <v>164.23448598618114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7</v>
      </c>
      <c r="BY49" s="13">
        <f>IF('Données projet'!$A$114&gt;35,BY48+BX49-CG48,IF(A49&lt;'Données projet'!$A$114,$BV$205^A49,IF(A49='Données projet'!$A$114,'Données projet'!$B$114,BY48+BX49-CG48)))</f>
        <v>190</v>
      </c>
      <c r="BZ49" s="14">
        <f>BY49*VLOOKUP('Données projet'!$B$12,Paramètres!$A$1:$I$89,3,0)*VLOOKUP('Données projet'!$B$12,Paramètres!$A$1:$I$89,5,0)</f>
        <v>151.16400000000002</v>
      </c>
      <c r="CA49" s="14">
        <f t="shared" si="39"/>
        <v>38.84298967415998</v>
      </c>
      <c r="CB49" s="22">
        <f t="shared" si="10"/>
        <v>330.92884034916193</v>
      </c>
      <c r="CC49" s="62">
        <f t="shared" si="11"/>
        <v>624.26217368249524</v>
      </c>
      <c r="CD49" s="62">
        <f ca="1">AVERAGE(OFFSET($CC$3,0,0,'Données projet'!$E$12+1,1))-AVERAGE(OFFSET($H$3,0,0,'Données projet'!$E$12+1,1))</f>
        <v>219.2279518699109</v>
      </c>
      <c r="CE49" s="62">
        <f t="shared" si="40"/>
        <v>219.59799863414099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5.5251793431273013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5.5251793431273013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2">
        <f t="shared" si="32"/>
        <v>8.1058983118768051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70">
        <f t="shared" si="1"/>
        <v>352.14575622651876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153.59418465942997</v>
      </c>
      <c r="T50" s="62">
        <f t="shared" si="34"/>
        <v>313.61727210988198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70.559049948920674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0.73468655308436914</v>
      </c>
      <c r="AC50" s="24">
        <f t="shared" si="3"/>
        <v>71.293736502005046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19.8</v>
      </c>
      <c r="AI50" s="14">
        <f>IF('Données projet'!$A$62&gt;35,AI49+AH50-AQ49,IF(A50&lt;'Données projet'!$A$62,$AF$205^A50,IF(A50='Données projet'!$A$62,'Données projet'!$B$62,AI49+AH50-AQ49)))</f>
        <v>292.60000000000019</v>
      </c>
      <c r="AJ50" s="14">
        <f>AI50*VLOOKUP('Données projet'!$B$10,Paramètres!$A$1:$I$89,3,0)*VLOOKUP('Données projet'!$B$10,Paramètres!$A$1:$I$89,5,0)</f>
        <v>174.97480000000013</v>
      </c>
      <c r="AK50" s="14">
        <f t="shared" si="35"/>
        <v>44.202336027888833</v>
      </c>
      <c r="AL50" s="22">
        <f t="shared" si="4"/>
        <v>381.73351191523989</v>
      </c>
      <c r="AM50" s="62">
        <f t="shared" si="5"/>
        <v>675.06684524857314</v>
      </c>
      <c r="AN50" s="62">
        <f ca="1">AVERAGE(OFFSET($AM$3,0,0,'Données projet'!$E$10+1,1))-AVERAGE(OFFSET($H$3,0,0,'Données projet'!$E$10+1,1))</f>
        <v>288.15107951401188</v>
      </c>
      <c r="AO50" s="62">
        <f t="shared" si="36"/>
        <v>217.57508587672368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5.3151985954256267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3.7878300305258565E-2</v>
      </c>
      <c r="AX50" s="23">
        <f t="shared" si="6"/>
        <v>5.3530768957308856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17.5</v>
      </c>
      <c r="BD50" s="13">
        <f>IF('Données projet'!$A$88&gt;35,BD49+BC50-BL49,IF(A50&lt;'Données projet'!$A$88,$BA$205^A50,IF(A50='Données projet'!$A$88,'Données projet'!$B$88,BD49+BC50-BL49)))</f>
        <v>325.99999999999989</v>
      </c>
      <c r="BE50" s="14">
        <f>BD50*VLOOKUP('Données projet'!$B$11,Paramètres!$A$1:$I$89,3,0)*VLOOKUP('Données projet'!$B$11,Paramètres!$A$1:$I$89,5,0)</f>
        <v>152.56799999999996</v>
      </c>
      <c r="BF50" s="14">
        <f t="shared" si="37"/>
        <v>39.161595030150863</v>
      </c>
      <c r="BG50" s="22">
        <f t="shared" si="7"/>
        <v>333.92904467751265</v>
      </c>
      <c r="BH50" s="62">
        <f t="shared" si="8"/>
        <v>627.26237801084596</v>
      </c>
      <c r="BI50" s="62">
        <f ca="1">AVERAGE(OFFSET($BH$3,0,0,'Données projet'!$E$11+1,1))-AVERAGE(OFFSET($H$3,0,0,'Données projet'!$E$11+1,1))</f>
        <v>221.07273841880755</v>
      </c>
      <c r="BJ50" s="62">
        <f t="shared" si="38"/>
        <v>164.23448598618114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7</v>
      </c>
      <c r="BY50" s="13">
        <f>IF('Données projet'!$A$114&gt;35,BY49+BX50-CG49,IF(A50&lt;'Données projet'!$A$114,$BV$205^A50,IF(A50='Données projet'!$A$114,'Données projet'!$B$114,BY49+BX50-CG49)))</f>
        <v>197</v>
      </c>
      <c r="BZ50" s="14">
        <f>BY50*VLOOKUP('Données projet'!$B$12,Paramètres!$A$1:$I$89,3,0)*VLOOKUP('Données projet'!$B$12,Paramètres!$A$1:$I$89,5,0)</f>
        <v>156.73320000000001</v>
      </c>
      <c r="CA50" s="14">
        <f t="shared" si="39"/>
        <v>40.104797241533682</v>
      </c>
      <c r="CB50" s="22">
        <f t="shared" si="10"/>
        <v>342.82617852900444</v>
      </c>
      <c r="CC50" s="62">
        <f t="shared" si="11"/>
        <v>636.15951186233769</v>
      </c>
      <c r="CD50" s="62">
        <f ca="1">AVERAGE(OFFSET($CC$3,0,0,'Données projet'!$E$12+1,1))-AVERAGE(OFFSET($H$3,0,0,'Données projet'!$E$12+1,1))</f>
        <v>219.2279518699109</v>
      </c>
      <c r="CE50" s="62">
        <f t="shared" si="40"/>
        <v>219.59799863414099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5.4168339462352115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5.4168339462352115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2">
        <f t="shared" si="32"/>
        <v>8.2581019723450915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70">
        <f t="shared" si="1"/>
        <v>353.361794268501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153.59418465942997</v>
      </c>
      <c r="T51" s="62">
        <f t="shared" si="34"/>
        <v>313.61727210988198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69.175430016193275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0.51950184373252783</v>
      </c>
      <c r="AC51" s="24">
        <f t="shared" si="3"/>
        <v>69.694931859925802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19.8</v>
      </c>
      <c r="AI51" s="14">
        <f>IF('Données projet'!$A$62&gt;35,AI50+AH51-AQ50,IF(A51&lt;'Données projet'!$A$62,$AF$205^A51,IF(A51='Données projet'!$A$62,'Données projet'!$B$62,AI50+AH51-AQ50)))</f>
        <v>312.4000000000002</v>
      </c>
      <c r="AJ51" s="14">
        <f>AI51*VLOOKUP('Données projet'!$B$10,Paramètres!$A$1:$I$89,3,0)*VLOOKUP('Données projet'!$B$10,Paramètres!$A$1:$I$89,5,0)</f>
        <v>186.81520000000012</v>
      </c>
      <c r="AK51" s="14">
        <f t="shared" si="35"/>
        <v>46.835147564925492</v>
      </c>
      <c r="AL51" s="22">
        <f t="shared" si="4"/>
        <v>406.94102200891206</v>
      </c>
      <c r="AM51" s="62">
        <f t="shared" si="5"/>
        <v>700.27435534224537</v>
      </c>
      <c r="AN51" s="62">
        <f ca="1">AVERAGE(OFFSET($AM$3,0,0,'Données projet'!$E$10+1,1))-AVERAGE(OFFSET($H$3,0,0,'Données projet'!$E$10+1,1))</f>
        <v>288.15107951401188</v>
      </c>
      <c r="AO51" s="62">
        <f t="shared" si="36"/>
        <v>217.57508587672368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5.2109707929203575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2.6784003005668806E-2</v>
      </c>
      <c r="AX51" s="23">
        <f t="shared" si="6"/>
        <v>5.2377547959260262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17.5</v>
      </c>
      <c r="BD51" s="13">
        <f>IF('Données projet'!$A$88&gt;35,BD50+BC51-BL50,IF(A51&lt;'Données projet'!$A$88,$BA$205^A51,IF(A51='Données projet'!$A$88,'Données projet'!$B$88,BD50+BC51-BL50)))</f>
        <v>343.49999999999989</v>
      </c>
      <c r="BE51" s="14">
        <f>BD51*VLOOKUP('Données projet'!$B$11,Paramètres!$A$1:$I$89,3,0)*VLOOKUP('Données projet'!$B$11,Paramètres!$A$1:$I$89,5,0)</f>
        <v>160.75799999999995</v>
      </c>
      <c r="BF51" s="14">
        <f t="shared" si="37"/>
        <v>41.013437365421375</v>
      </c>
      <c r="BG51" s="22">
        <f t="shared" si="7"/>
        <v>351.41858674477544</v>
      </c>
      <c r="BH51" s="62">
        <f t="shared" si="8"/>
        <v>644.7519200781087</v>
      </c>
      <c r="BI51" s="62">
        <f ca="1">AVERAGE(OFFSET($BH$3,0,0,'Données projet'!$E$11+1,1))-AVERAGE(OFFSET($H$3,0,0,'Données projet'!$E$11+1,1))</f>
        <v>221.07273841880755</v>
      </c>
      <c r="BJ51" s="62">
        <f t="shared" si="38"/>
        <v>164.23448598618114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7</v>
      </c>
      <c r="BY51" s="13">
        <f>IF('Données projet'!$A$114&gt;35,BY50+BX51-CG50,IF(A51&lt;'Données projet'!$A$114,$BV$205^A51,IF(A51='Données projet'!$A$114,'Données projet'!$B$114,BY50+BX51-CG50)))</f>
        <v>204</v>
      </c>
      <c r="BZ51" s="14">
        <f>BY51*VLOOKUP('Données projet'!$B$12,Paramètres!$A$1:$I$89,3,0)*VLOOKUP('Données projet'!$B$12,Paramètres!$A$1:$I$89,5,0)</f>
        <v>162.30240000000001</v>
      </c>
      <c r="CA51" s="14">
        <f t="shared" si="39"/>
        <v>41.361395541514355</v>
      </c>
      <c r="CB51" s="22">
        <f t="shared" si="10"/>
        <v>354.71444390147082</v>
      </c>
      <c r="CC51" s="62">
        <f t="shared" si="11"/>
        <v>648.04777723480413</v>
      </c>
      <c r="CD51" s="62">
        <f ca="1">AVERAGE(OFFSET($CC$3,0,0,'Données projet'!$E$12+1,1))-AVERAGE(OFFSET($H$3,0,0,'Données projet'!$E$12+1,1))</f>
        <v>219.2279518699109</v>
      </c>
      <c r="CE51" s="62">
        <f t="shared" si="40"/>
        <v>219.59799863414099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5.3106131364920088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5.3106131364920088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2">
        <f t="shared" si="32"/>
        <v>8.4099369579114391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70">
        <f t="shared" si="1"/>
        <v>354.57719020169571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153.59418465942997</v>
      </c>
      <c r="T52" s="62">
        <f t="shared" si="34"/>
        <v>313.61727210988198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67.818942026421837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0.36734327654218457</v>
      </c>
      <c r="AC52" s="24">
        <f t="shared" si="3"/>
        <v>68.186285302964023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19.8</v>
      </c>
      <c r="AI52" s="14">
        <f>IF('Données projet'!$A$62&gt;35,AI51+AH52-AQ51,IF(A52&lt;'Données projet'!$A$62,$AF$205^A52,IF(A52='Données projet'!$A$62,'Données projet'!$B$62,AI51+AH52-AQ51)))</f>
        <v>332.20000000000022</v>
      </c>
      <c r="AJ52" s="14">
        <f>AI52*VLOOKUP('Données projet'!$B$10,Paramètres!$A$1:$I$89,3,0)*VLOOKUP('Données projet'!$B$10,Paramètres!$A$1:$I$89,5,0)</f>
        <v>198.65560000000013</v>
      </c>
      <c r="AK52" s="14">
        <f t="shared" si="35"/>
        <v>49.448593416781563</v>
      </c>
      <c r="AL52" s="22">
        <f t="shared" si="4"/>
        <v>432.11480353422809</v>
      </c>
      <c r="AM52" s="62">
        <f t="shared" si="5"/>
        <v>725.4481368675614</v>
      </c>
      <c r="AN52" s="62">
        <f ca="1">AVERAGE(OFFSET($AM$3,0,0,'Données projet'!$E$10+1,1))-AVERAGE(OFFSET($H$3,0,0,'Données projet'!$E$10+1,1))</f>
        <v>288.15107951401188</v>
      </c>
      <c r="AO52" s="62">
        <f t="shared" si="36"/>
        <v>217.57508587672368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5.1087868340495337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1.8939150152629286E-2</v>
      </c>
      <c r="AX52" s="23">
        <f t="shared" si="6"/>
        <v>5.1277259842021632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>
        <f>VLOOKUP(A52,'Données projet'!$A$87:$I$107,2,0)</f>
        <v>361</v>
      </c>
      <c r="BB52" s="13">
        <f>VLOOKUP(A52,'Données projet'!$A$87:$I$107,9,0)</f>
        <v>17.5</v>
      </c>
      <c r="BC52" s="13">
        <f t="array" ref="BC52">INDEX(BB:BB,MIN(IF(ISNUMBER(BB52:BB248),ROW(BB52:BB248),"")))</f>
        <v>17.5</v>
      </c>
      <c r="BD52" s="13">
        <f>IF('Données projet'!$A$88&gt;35,BD51+BC52-BL51,IF(A52&lt;'Données projet'!$A$88,$BA$205^A52,IF(A52='Données projet'!$A$88,'Données projet'!$B$88,BD51+BC52-BL51)))</f>
        <v>360.99999999999989</v>
      </c>
      <c r="BE52" s="14">
        <f>BD52*VLOOKUP('Données projet'!$B$11,Paramètres!$A$1:$I$89,3,0)*VLOOKUP('Données projet'!$B$11,Paramètres!$A$1:$I$89,5,0)</f>
        <v>168.94799999999995</v>
      </c>
      <c r="BF52" s="14">
        <f t="shared" si="37"/>
        <v>42.854325527446242</v>
      </c>
      <c r="BG52" s="22">
        <f t="shared" si="7"/>
        <v>368.88905029363542</v>
      </c>
      <c r="BH52" s="62">
        <f t="shared" si="8"/>
        <v>662.22238362696874</v>
      </c>
      <c r="BI52" s="62">
        <f ca="1">AVERAGE(OFFSET($BH$3,0,0,'Données projet'!$E$11+1,1))-AVERAGE(OFFSET($H$3,0,0,'Données projet'!$E$11+1,1))</f>
        <v>221.07273841880755</v>
      </c>
      <c r="BJ52" s="62">
        <f t="shared" si="38"/>
        <v>164.23448598618114</v>
      </c>
      <c r="BK52" s="16">
        <f>IF(ISNA(VLOOKUP(A52,'Données projet'!$A$87:$I$107,3,0)),0,VLOOKUP(A52,'Données projet'!$A$87:$I$107,3,0))</f>
        <v>5</v>
      </c>
      <c r="BL52" s="16">
        <f>IF(ISNA(VLOOKUP(A52,'Données projet'!$A$87:$I$107,4,0)),0,VLOOKUP(A52,'Données projet'!$A$87:$I$107,4,0))</f>
        <v>100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7</v>
      </c>
      <c r="BY52" s="13">
        <f>IF('Données projet'!$A$114&gt;35,BY51+BX52-CG51,IF(A52&lt;'Données projet'!$A$114,$BV$205^A52,IF(A52='Données projet'!$A$114,'Données projet'!$B$114,BY51+BX52-CG51)))</f>
        <v>211</v>
      </c>
      <c r="BZ52" s="14">
        <f>BY52*VLOOKUP('Données projet'!$B$12,Paramètres!$A$1:$I$89,3,0)*VLOOKUP('Données projet'!$B$12,Paramètres!$A$1:$I$89,5,0)</f>
        <v>167.8716</v>
      </c>
      <c r="CA52" s="14">
        <f t="shared" si="39"/>
        <v>42.612983811358006</v>
      </c>
      <c r="CB52" s="22">
        <f t="shared" si="10"/>
        <v>366.59398347144844</v>
      </c>
      <c r="CC52" s="62">
        <f t="shared" si="11"/>
        <v>659.92731680478175</v>
      </c>
      <c r="CD52" s="62">
        <f ca="1">AVERAGE(OFFSET($CC$3,0,0,'Données projet'!$E$12+1,1))-AVERAGE(OFFSET($H$3,0,0,'Données projet'!$E$12+1,1))</f>
        <v>219.2279518699109</v>
      </c>
      <c r="CE52" s="62">
        <f t="shared" si="40"/>
        <v>219.59799863414099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5.2064752520395743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5.2064752520395743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2">
        <f t="shared" si="32"/>
        <v>8.5614116595512399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70">
        <f t="shared" si="1"/>
        <v>355.79195864038502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153.59418465942997</v>
      </c>
      <c r="T53" s="62">
        <f t="shared" si="34"/>
        <v>313.61727210988198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66.489053938753841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0.25975092186626392</v>
      </c>
      <c r="AC53" s="24">
        <f t="shared" si="3"/>
        <v>66.748804860620112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352</v>
      </c>
      <c r="AG53" s="13">
        <f>VLOOKUP(A53,'Données projet'!$A$61:$I$81,9,0)</f>
        <v>19.8</v>
      </c>
      <c r="AH53" s="13">
        <f t="array" ref="AH53">INDEX(AG:AG,MIN(IF(ISNUMBER(AG53:AG249),ROW(AG53:AG249),"")))</f>
        <v>19.8</v>
      </c>
      <c r="AI53" s="14">
        <f>IF('Données projet'!$A$62&gt;35,AI52+AH53-AQ52,IF(A53&lt;'Données projet'!$A$62,$AF$205^A53,IF(A53='Données projet'!$A$62,'Données projet'!$B$62,AI52+AH53-AQ52)))</f>
        <v>352.00000000000023</v>
      </c>
      <c r="AJ53" s="14">
        <f>AI53*VLOOKUP('Données projet'!$B$10,Paramètres!$A$1:$I$89,3,0)*VLOOKUP('Données projet'!$B$10,Paramètres!$A$1:$I$89,5,0)</f>
        <v>210.49600000000015</v>
      </c>
      <c r="AK53" s="14">
        <f t="shared" si="35"/>
        <v>52.043959291168512</v>
      </c>
      <c r="AL53" s="22">
        <f t="shared" si="4"/>
        <v>457.25709576545205</v>
      </c>
      <c r="AM53" s="62">
        <f t="shared" si="5"/>
        <v>750.59042909878531</v>
      </c>
      <c r="AN53" s="62">
        <f ca="1">AVERAGE(OFFSET($AM$3,0,0,'Données projet'!$E$10+1,1))-AVERAGE(OFFSET($H$3,0,0,'Données projet'!$E$10+1,1))</f>
        <v>288.15107951401188</v>
      </c>
      <c r="AO53" s="62">
        <f t="shared" si="36"/>
        <v>217.57508587672368</v>
      </c>
      <c r="AP53" s="16">
        <f>IF(ISNA(VLOOKUP(A53,'Données projet'!$A$61:$I$81,3,0)),0,VLOOKUP(A53,'Données projet'!$A$61:$I$81,3,0))</f>
        <v>7</v>
      </c>
      <c r="AQ53" s="16">
        <f>IF(ISNA(VLOOKUP(A53,'Données projet'!$A$61:$I$81,4,0)),0,VLOOKUP(A53,'Données projet'!$A$61:$I$81,4,0))</f>
        <v>53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5.0086066402861062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1.3392001502834405E-2</v>
      </c>
      <c r="AX53" s="23">
        <f t="shared" si="6"/>
        <v>5.0219986417889411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278</v>
      </c>
      <c r="BB53" s="13">
        <f>VLOOKUP(A53,'Données projet'!$A$87:$I$107,9,0)</f>
        <v>17</v>
      </c>
      <c r="BC53" s="13">
        <f t="array" ref="BC53">INDEX(BB:BB,MIN(IF(ISNUMBER(BB53:BB249),ROW(BB53:BB249),"")))</f>
        <v>17</v>
      </c>
      <c r="BD53" s="13">
        <f>IF('Données projet'!$A$88&gt;35,BD52+BC53-BL52,IF(A53&lt;'Données projet'!$A$88,$BA$205^A53,IF(A53='Données projet'!$A$88,'Données projet'!$B$88,BD52+BC53-BL52)))</f>
        <v>277.99999999999989</v>
      </c>
      <c r="BE53" s="14">
        <f>BD53*VLOOKUP('Données projet'!$B$11,Paramètres!$A$1:$I$89,3,0)*VLOOKUP('Données projet'!$B$11,Paramètres!$A$1:$I$89,5,0)</f>
        <v>130.10399999999996</v>
      </c>
      <c r="BF53" s="14">
        <f t="shared" si="37"/>
        <v>34.020389560268086</v>
      </c>
      <c r="BG53" s="22">
        <f t="shared" si="7"/>
        <v>285.84997848413349</v>
      </c>
      <c r="BH53" s="62">
        <f t="shared" si="8"/>
        <v>579.1833118174668</v>
      </c>
      <c r="BI53" s="62">
        <f ca="1">AVERAGE(OFFSET($BH$3,0,0,'Données projet'!$E$11+1,1))-AVERAGE(OFFSET($H$3,0,0,'Données projet'!$E$11+1,1))</f>
        <v>221.07273841880755</v>
      </c>
      <c r="BJ53" s="62">
        <f t="shared" si="38"/>
        <v>164.23448598618114</v>
      </c>
      <c r="BK53" s="16">
        <f>IF(ISNA(VLOOKUP(A53,'Données projet'!$A$87:$I$107,3,0)),0,VLOOKUP(A53,'Données projet'!$A$87:$I$107,3,0))</f>
        <v>6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218</v>
      </c>
      <c r="BW53" s="13">
        <f>VLOOKUP(A53,'Données projet'!$A$113:$I$133,9,0)</f>
        <v>7</v>
      </c>
      <c r="BX53" s="13">
        <f t="array" ref="BX53">INDEX(BW:BW,MIN(IF(ISNUMBER(BW53:BW249),ROW(BW53:BW249),"")))</f>
        <v>7</v>
      </c>
      <c r="BY53" s="13">
        <f>IF('Données projet'!$A$114&gt;35,BY52+BX53-CG52,IF(A53&lt;'Données projet'!$A$114,$BV$205^A53,IF(A53='Données projet'!$A$114,'Données projet'!$B$114,BY52+BX53-CG52)))</f>
        <v>218</v>
      </c>
      <c r="BZ53" s="14">
        <f>BY53*VLOOKUP('Données projet'!$B$12,Paramètres!$A$1:$I$89,3,0)*VLOOKUP('Données projet'!$B$12,Paramètres!$A$1:$I$89,5,0)</f>
        <v>173.44080000000002</v>
      </c>
      <c r="CA53" s="14">
        <f t="shared" si="39"/>
        <v>43.859747318594479</v>
      </c>
      <c r="CB53" s="22">
        <f t="shared" si="10"/>
        <v>378.46511991321876</v>
      </c>
      <c r="CC53" s="62">
        <f t="shared" si="11"/>
        <v>671.79845324655207</v>
      </c>
      <c r="CD53" s="62">
        <f ca="1">AVERAGE(OFFSET($CC$3,0,0,'Données projet'!$E$12+1,1))-AVERAGE(OFFSET($H$3,0,0,'Données projet'!$E$12+1,1))</f>
        <v>219.2279518699109</v>
      </c>
      <c r="CE53" s="62">
        <f t="shared" si="40"/>
        <v>219.59799863414099</v>
      </c>
      <c r="CF53" s="16">
        <f>IF(ISNA(VLOOKUP(A53,'Données projet'!$A$113:$I$133,3,0)),0,VLOOKUP(A53,'Données projet'!$A$113:$I$133,3,0))</f>
        <v>8</v>
      </c>
      <c r="CG53" s="16">
        <f>IF(ISNA(VLOOKUP(A53,'Données projet'!$A$113:$I$133,4,0)),0,VLOOKUP(A53,'Données projet'!$A$113:$I$133,4,0))</f>
        <v>17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5.1043794479834137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5.1043794479834137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2">
        <f t="shared" si="32"/>
        <v>8.7125341134088217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70">
        <f t="shared" si="1"/>
        <v>357.00611358085365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153.59418465942997</v>
      </c>
      <c r="T54" s="62">
        <f t="shared" si="34"/>
        <v>313.61727210988198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65.185244145333371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0.18367163827109229</v>
      </c>
      <c r="AC54" s="24">
        <f t="shared" si="3"/>
        <v>65.368915783604464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17.625</v>
      </c>
      <c r="AI54" s="14">
        <f>IF('Données projet'!$A$62&gt;35,AI53+AH54-AQ53,IF(A54&lt;'Données projet'!$A$62,$AF$205^A54,IF(A54='Données projet'!$A$62,'Données projet'!$B$62,AI53+AH54-AQ53)))</f>
        <v>316.62500000000023</v>
      </c>
      <c r="AJ54" s="14">
        <f>AI54*VLOOKUP('Données projet'!$B$10,Paramètres!$A$1:$I$89,3,0)*VLOOKUP('Données projet'!$B$10,Paramètres!$A$1:$I$89,5,0)</f>
        <v>189.34175000000016</v>
      </c>
      <c r="AK54" s="14">
        <f t="shared" si="35"/>
        <v>47.394393740797966</v>
      </c>
      <c r="AL54" s="22">
        <f t="shared" si="4"/>
        <v>412.31545034855668</v>
      </c>
      <c r="AM54" s="62">
        <f t="shared" si="5"/>
        <v>705.64878368189</v>
      </c>
      <c r="AN54" s="62">
        <f ca="1">AVERAGE(OFFSET($AM$3,0,0,'Données projet'!$E$10+1,1))-AVERAGE(OFFSET($H$3,0,0,'Données projet'!$E$10+1,1))</f>
        <v>288.15107951401188</v>
      </c>
      <c r="AO54" s="62">
        <f t="shared" si="36"/>
        <v>217.57508587672368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4.9103909190184956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9.469575076314643E-3</v>
      </c>
      <c r="AX54" s="23">
        <f t="shared" si="6"/>
        <v>4.9198604940948103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17</v>
      </c>
      <c r="BD54" s="13">
        <f>IF('Données projet'!$A$88&gt;35,BD53+BC54-BL53,IF(A54&lt;'Données projet'!$A$88,$BA$205^A54,IF(A54='Données projet'!$A$88,'Données projet'!$B$88,BD53+BC54-BL53)))</f>
        <v>294.99999999999989</v>
      </c>
      <c r="BE54" s="14">
        <f>BD54*VLOOKUP('Données projet'!$B$11,Paramètres!$A$1:$I$89,3,0)*VLOOKUP('Données projet'!$B$11,Paramètres!$A$1:$I$89,5,0)</f>
        <v>138.05999999999995</v>
      </c>
      <c r="BF54" s="14">
        <f t="shared" si="37"/>
        <v>35.85221845159689</v>
      </c>
      <c r="BG54" s="22">
        <f t="shared" si="7"/>
        <v>302.89711380319778</v>
      </c>
      <c r="BH54" s="62">
        <f t="shared" si="8"/>
        <v>596.2304471365311</v>
      </c>
      <c r="BI54" s="62">
        <f ca="1">AVERAGE(OFFSET($BH$3,0,0,'Données projet'!$E$11+1,1))-AVERAGE(OFFSET($H$3,0,0,'Données projet'!$E$11+1,1))</f>
        <v>221.07273841880755</v>
      </c>
      <c r="BJ54" s="62">
        <f t="shared" si="38"/>
        <v>164.23448598618114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6.2</v>
      </c>
      <c r="BY54" s="13">
        <f>IF('Données projet'!$A$114&gt;35,BY53+BX54-CG53,IF(A54&lt;'Données projet'!$A$114,$BV$205^A54,IF(A54='Données projet'!$A$114,'Données projet'!$B$114,BY53+BX54-CG53)))</f>
        <v>207.2</v>
      </c>
      <c r="BZ54" s="14">
        <f>BY54*VLOOKUP('Données projet'!$B$12,Paramètres!$A$1:$I$89,3,0)*VLOOKUP('Données projet'!$B$12,Paramètres!$A$1:$I$89,5,0)</f>
        <v>164.84832</v>
      </c>
      <c r="CA54" s="14">
        <f t="shared" si="39"/>
        <v>41.934160358278433</v>
      </c>
      <c r="CB54" s="22">
        <f t="shared" si="10"/>
        <v>360.14615329066828</v>
      </c>
      <c r="CC54" s="62">
        <f t="shared" si="11"/>
        <v>653.47948662400154</v>
      </c>
      <c r="CD54" s="62">
        <f ca="1">AVERAGE(OFFSET($CC$3,0,0,'Données projet'!$E$12+1,1))-AVERAGE(OFFSET($H$3,0,0,'Données projet'!$E$12+1,1))</f>
        <v>219.2279518699109</v>
      </c>
      <c r="CE54" s="62">
        <f t="shared" si="40"/>
        <v>219.59799863414099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5.0042856803725027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5.0042856803725027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2">
        <f t="shared" si="32"/>
        <v>8.8633120224605459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70">
        <f t="shared" si="1"/>
        <v>358.21966843911872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153.59418465942997</v>
      </c>
      <c r="T55" s="62">
        <f t="shared" si="34"/>
        <v>313.61727210988198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63.907001266716428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0.12987546093313196</v>
      </c>
      <c r="AC55" s="24">
        <f t="shared" si="3"/>
        <v>64.036876727649556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17.625</v>
      </c>
      <c r="AI55" s="14">
        <f>IF('Données projet'!$A$62&gt;35,AI54+AH55-AQ54,IF(A55&lt;'Données projet'!$A$62,$AF$205^A55,IF(A55='Données projet'!$A$62,'Données projet'!$B$62,AI54+AH55-AQ54)))</f>
        <v>334.25000000000023</v>
      </c>
      <c r="AJ55" s="14">
        <f>AI55*VLOOKUP('Données projet'!$B$10,Paramètres!$A$1:$I$89,3,0)*VLOOKUP('Données projet'!$B$10,Paramètres!$A$1:$I$89,5,0)</f>
        <v>199.88150000000016</v>
      </c>
      <c r="AK55" s="14">
        <f t="shared" si="35"/>
        <v>49.718124113779453</v>
      </c>
      <c r="AL55" s="22">
        <f t="shared" si="4"/>
        <v>434.71934533149943</v>
      </c>
      <c r="AM55" s="62">
        <f t="shared" si="5"/>
        <v>728.05267866483268</v>
      </c>
      <c r="AN55" s="62">
        <f ca="1">AVERAGE(OFFSET($AM$3,0,0,'Données projet'!$E$10+1,1))-AVERAGE(OFFSET($H$3,0,0,'Données projet'!$E$10+1,1))</f>
        <v>288.15107951401188</v>
      </c>
      <c r="AO55" s="62">
        <f t="shared" si="36"/>
        <v>217.57508587672368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4.8141011481392679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6.6960007514172025E-3</v>
      </c>
      <c r="AX55" s="23">
        <f t="shared" si="6"/>
        <v>4.8207971488906853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17</v>
      </c>
      <c r="BD55" s="13">
        <f>IF('Données projet'!$A$88&gt;35,BD54+BC55-BL54,IF(A55&lt;'Données projet'!$A$88,$BA$205^A55,IF(A55='Données projet'!$A$88,'Données projet'!$B$88,BD54+BC55-BL54)))</f>
        <v>311.99999999999989</v>
      </c>
      <c r="BE55" s="14">
        <f>BD55*VLOOKUP('Données projet'!$B$11,Paramètres!$A$1:$I$89,3,0)*VLOOKUP('Données projet'!$B$11,Paramètres!$A$1:$I$89,5,0)</f>
        <v>146.01599999999993</v>
      </c>
      <c r="BF55" s="14">
        <f t="shared" si="37"/>
        <v>37.671793767891103</v>
      </c>
      <c r="BG55" s="22">
        <f t="shared" si="7"/>
        <v>319.92290747907685</v>
      </c>
      <c r="BH55" s="62">
        <f t="shared" si="8"/>
        <v>613.25624081241017</v>
      </c>
      <c r="BI55" s="62">
        <f ca="1">AVERAGE(OFFSET($BH$3,0,0,'Données projet'!$E$11+1,1))-AVERAGE(OFFSET($H$3,0,0,'Données projet'!$E$11+1,1))</f>
        <v>221.07273841880755</v>
      </c>
      <c r="BJ55" s="62">
        <f t="shared" si="38"/>
        <v>164.23448598618114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6.2</v>
      </c>
      <c r="BY55" s="13">
        <f>IF('Données projet'!$A$114&gt;35,BY54+BX55-CG54,IF(A55&lt;'Données projet'!$A$114,$BV$205^A55,IF(A55='Données projet'!$A$114,'Données projet'!$B$114,BY54+BX55-CG54)))</f>
        <v>213.39999999999998</v>
      </c>
      <c r="BZ55" s="14">
        <f>BY55*VLOOKUP('Données projet'!$B$12,Paramètres!$A$1:$I$89,3,0)*VLOOKUP('Données projet'!$B$12,Paramètres!$A$1:$I$89,5,0)</f>
        <v>169.78103999999999</v>
      </c>
      <c r="CA55" s="14">
        <f t="shared" si="39"/>
        <v>43.040980151296445</v>
      </c>
      <c r="CB55" s="22">
        <f t="shared" si="10"/>
        <v>370.6650184301746</v>
      </c>
      <c r="CC55" s="62">
        <f t="shared" si="11"/>
        <v>663.99835176350791</v>
      </c>
      <c r="CD55" s="62">
        <f ca="1">AVERAGE(OFFSET($CC$3,0,0,'Données projet'!$E$12+1,1))-AVERAGE(OFFSET($H$3,0,0,'Données projet'!$E$12+1,1))</f>
        <v>219.2279518699109</v>
      </c>
      <c r="CE55" s="62">
        <f t="shared" si="40"/>
        <v>219.59799863414099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4.9061546904932722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4.9061546904932722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2">
        <f t="shared" si="32"/>
        <v>9.0137527764644076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70">
        <f t="shared" si="1"/>
        <v>359.43263608567548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153.59418465942997</v>
      </c>
      <c r="T56" s="62">
        <f t="shared" si="34"/>
        <v>313.61727210988198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62.653823951297994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9.1835819135546143E-2</v>
      </c>
      <c r="AC56" s="24">
        <f t="shared" si="3"/>
        <v>62.745659770433541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17.625</v>
      </c>
      <c r="AI56" s="14">
        <f>IF('Données projet'!$A$62&gt;35,AI55+AH56-AQ55,IF(A56&lt;'Données projet'!$A$62,$AF$205^A56,IF(A56='Données projet'!$A$62,'Données projet'!$B$62,AI55+AH56-AQ55)))</f>
        <v>351.87500000000023</v>
      </c>
      <c r="AJ56" s="14">
        <f>AI56*VLOOKUP('Données projet'!$B$10,Paramètres!$A$1:$I$89,3,0)*VLOOKUP('Données projet'!$B$10,Paramètres!$A$1:$I$89,5,0)</f>
        <v>210.42125000000016</v>
      </c>
      <c r="AK56" s="14">
        <f t="shared" si="35"/>
        <v>52.02762868286699</v>
      </c>
      <c r="AL56" s="22">
        <f t="shared" si="4"/>
        <v>457.09846370599354</v>
      </c>
      <c r="AM56" s="62">
        <f t="shared" si="5"/>
        <v>750.43179703932685</v>
      </c>
      <c r="AN56" s="62">
        <f ca="1">AVERAGE(OFFSET($AM$3,0,0,'Données projet'!$E$10+1,1))-AVERAGE(OFFSET($H$3,0,0,'Données projet'!$E$10+1,1))</f>
        <v>288.15107951401188</v>
      </c>
      <c r="AO56" s="62">
        <f t="shared" si="36"/>
        <v>217.57508587672368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4.7196995609360206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4.7347875381573215E-3</v>
      </c>
      <c r="AX56" s="23">
        <f t="shared" si="6"/>
        <v>4.724434348474178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17</v>
      </c>
      <c r="BD56" s="13">
        <f>IF('Données projet'!$A$88&gt;35,BD55+BC56-BL55,IF(A56&lt;'Données projet'!$A$88,$BA$205^A56,IF(A56='Données projet'!$A$88,'Données projet'!$B$88,BD55+BC56-BL55)))</f>
        <v>328.99999999999989</v>
      </c>
      <c r="BE56" s="14">
        <f>BD56*VLOOKUP('Données projet'!$B$11,Paramètres!$A$1:$I$89,3,0)*VLOOKUP('Données projet'!$B$11,Paramètres!$A$1:$I$89,5,0)</f>
        <v>153.97199999999995</v>
      </c>
      <c r="BF56" s="14">
        <f t="shared" si="37"/>
        <v>39.479859284656378</v>
      </c>
      <c r="BG56" s="22">
        <f t="shared" si="7"/>
        <v>336.92865492077641</v>
      </c>
      <c r="BH56" s="62">
        <f t="shared" si="8"/>
        <v>630.26198825410972</v>
      </c>
      <c r="BI56" s="62">
        <f ca="1">AVERAGE(OFFSET($BH$3,0,0,'Données projet'!$E$11+1,1))-AVERAGE(OFFSET($H$3,0,0,'Données projet'!$E$11+1,1))</f>
        <v>221.07273841880755</v>
      </c>
      <c r="BJ56" s="62">
        <f t="shared" si="38"/>
        <v>164.23448598618114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6.2</v>
      </c>
      <c r="BY56" s="13">
        <f>IF('Données projet'!$A$114&gt;35,BY55+BX56-CG55,IF(A56&lt;'Données projet'!$A$114,$BV$205^A56,IF(A56='Données projet'!$A$114,'Données projet'!$B$114,BY55+BX56-CG55)))</f>
        <v>219.59999999999997</v>
      </c>
      <c r="BZ56" s="14">
        <f>BY56*VLOOKUP('Données projet'!$B$12,Paramètres!$A$1:$I$89,3,0)*VLOOKUP('Données projet'!$B$12,Paramètres!$A$1:$I$89,5,0)</f>
        <v>174.71375999999998</v>
      </c>
      <c r="CA56" s="14">
        <f t="shared" si="39"/>
        <v>44.144062647515817</v>
      </c>
      <c r="CB56" s="22">
        <f t="shared" si="10"/>
        <v>381.17737444442332</v>
      </c>
      <c r="CC56" s="62">
        <f t="shared" si="11"/>
        <v>674.51070777775658</v>
      </c>
      <c r="CD56" s="62">
        <f ca="1">AVERAGE(OFFSET($CC$3,0,0,'Données projet'!$E$12+1,1))-AVERAGE(OFFSET($H$3,0,0,'Données projet'!$E$12+1,1))</f>
        <v>219.2279518699109</v>
      </c>
      <c r="CE56" s="62">
        <f t="shared" si="40"/>
        <v>219.59799863414099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4.8099479894715795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4.8099479894715795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2">
        <f t="shared" si="32"/>
        <v>9.163863470361429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70">
        <f t="shared" si="1"/>
        <v>360.64502887754611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153.59418465942997</v>
      </c>
      <c r="T57" s="62">
        <f t="shared" si="34"/>
        <v>313.61727210988198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61.425220678672225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6.4937730466565979E-2</v>
      </c>
      <c r="AC57" s="24">
        <f t="shared" si="3"/>
        <v>61.490158409138793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17.625</v>
      </c>
      <c r="AI57" s="14">
        <f>IF('Données projet'!$A$62&gt;35,AI56+AH57-AQ56,IF(A57&lt;'Données projet'!$A$62,$AF$205^A57,IF(A57='Données projet'!$A$62,'Données projet'!$B$62,AI56+AH57-AQ56)))</f>
        <v>369.50000000000023</v>
      </c>
      <c r="AJ57" s="14">
        <f>AI57*VLOOKUP('Données projet'!$B$10,Paramètres!$A$1:$I$89,3,0)*VLOOKUP('Données projet'!$B$10,Paramètres!$A$1:$I$89,5,0)</f>
        <v>220.96100000000015</v>
      </c>
      <c r="AK57" s="14">
        <f t="shared" si="35"/>
        <v>54.323701308314739</v>
      </c>
      <c r="AL57" s="22">
        <f t="shared" si="4"/>
        <v>479.45418811198175</v>
      </c>
      <c r="AM57" s="62">
        <f t="shared" si="5"/>
        <v>772.78752144531506</v>
      </c>
      <c r="AN57" s="62">
        <f ca="1">AVERAGE(OFFSET($AM$3,0,0,'Données projet'!$E$10+1,1))-AVERAGE(OFFSET($H$3,0,0,'Données projet'!$E$10+1,1))</f>
        <v>288.15107951401188</v>
      </c>
      <c r="AO57" s="62">
        <f t="shared" si="36"/>
        <v>217.57508587672368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4.6271491312785464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3.3480003757086012E-3</v>
      </c>
      <c r="AX57" s="23">
        <f t="shared" si="6"/>
        <v>4.6304971316542547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17</v>
      </c>
      <c r="BD57" s="13">
        <f>IF('Données projet'!$A$88&gt;35,BD56+BC57-BL56,IF(A57&lt;'Données projet'!$A$88,$BA$205^A57,IF(A57='Données projet'!$A$88,'Données projet'!$B$88,BD56+BC57-BL56)))</f>
        <v>345.99999999999989</v>
      </c>
      <c r="BE57" s="14">
        <f>BD57*VLOOKUP('Données projet'!$B$11,Paramètres!$A$1:$I$89,3,0)*VLOOKUP('Données projet'!$B$11,Paramètres!$A$1:$I$89,5,0)</f>
        <v>161.92799999999994</v>
      </c>
      <c r="BF57" s="14">
        <f t="shared" si="37"/>
        <v>41.277077571585316</v>
      </c>
      <c r="BG57" s="22">
        <f t="shared" si="7"/>
        <v>353.91551010384433</v>
      </c>
      <c r="BH57" s="62">
        <f t="shared" si="8"/>
        <v>647.24884343717758</v>
      </c>
      <c r="BI57" s="62">
        <f ca="1">AVERAGE(OFFSET($BH$3,0,0,'Données projet'!$E$11+1,1))-AVERAGE(OFFSET($H$3,0,0,'Données projet'!$E$11+1,1))</f>
        <v>221.07273841880755</v>
      </c>
      <c r="BJ57" s="62">
        <f t="shared" si="38"/>
        <v>164.23448598618114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6.2</v>
      </c>
      <c r="BY57" s="13">
        <f>IF('Données projet'!$A$114&gt;35,BY56+BX57-CG56,IF(A57&lt;'Données projet'!$A$114,$BV$205^A57,IF(A57='Données projet'!$A$114,'Données projet'!$B$114,BY56+BX57-CG56)))</f>
        <v>225.79999999999995</v>
      </c>
      <c r="BZ57" s="14">
        <f>BY57*VLOOKUP('Données projet'!$B$12,Paramètres!$A$1:$I$89,3,0)*VLOOKUP('Données projet'!$B$12,Paramètres!$A$1:$I$89,5,0)</f>
        <v>179.64647999999997</v>
      </c>
      <c r="CA57" s="14">
        <f t="shared" si="39"/>
        <v>45.24352548294069</v>
      </c>
      <c r="CB57" s="22">
        <f t="shared" si="10"/>
        <v>391.68342621612163</v>
      </c>
      <c r="CC57" s="62">
        <f t="shared" si="11"/>
        <v>685.01675954945495</v>
      </c>
      <c r="CD57" s="62">
        <f ca="1">AVERAGE(OFFSET($CC$3,0,0,'Données projet'!$E$12+1,1))-AVERAGE(OFFSET($H$3,0,0,'Données projet'!$E$12+1,1))</f>
        <v>219.2279518699109</v>
      </c>
      <c r="CE57" s="62">
        <f t="shared" si="40"/>
        <v>219.59799863414099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4.7156278431766285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4.7156278431766285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2">
        <f t="shared" si="32"/>
        <v>9.3136509212754071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70">
        <f t="shared" si="1"/>
        <v>361.85685868788795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153.59418465942997</v>
      </c>
      <c r="T58" s="62">
        <f t="shared" si="34"/>
        <v>313.61727210988198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60.220709566848647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4.5917909567773071E-2</v>
      </c>
      <c r="AC58" s="24">
        <f t="shared" si="3"/>
        <v>60.266627476416417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17.625</v>
      </c>
      <c r="AI58" s="14">
        <f>IF('Données projet'!$A$62&gt;35,AI57+AH58-AQ57,IF(A58&lt;'Données projet'!$A$62,$AF$205^A58,IF(A58='Données projet'!$A$62,'Données projet'!$B$62,AI57+AH58-AQ57)))</f>
        <v>387.12500000000023</v>
      </c>
      <c r="AJ58" s="14">
        <f>AI58*VLOOKUP('Données projet'!$B$10,Paramètres!$A$1:$I$89,3,0)*VLOOKUP('Données projet'!$B$10,Paramètres!$A$1:$I$89,5,0)</f>
        <v>231.50075000000012</v>
      </c>
      <c r="AK58" s="14">
        <f t="shared" si="35"/>
        <v>56.607055837426749</v>
      </c>
      <c r="AL58" s="22">
        <f t="shared" si="4"/>
        <v>501.78776183351852</v>
      </c>
      <c r="AM58" s="62">
        <f t="shared" si="5"/>
        <v>795.12109516685177</v>
      </c>
      <c r="AN58" s="62">
        <f ca="1">AVERAGE(OFFSET($AM$3,0,0,'Données projet'!$E$10+1,1))-AVERAGE(OFFSET($H$3,0,0,'Données projet'!$E$10+1,1))</f>
        <v>288.15107951401188</v>
      </c>
      <c r="AO58" s="62">
        <f t="shared" si="36"/>
        <v>217.57508587672368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4.5364135590964674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2.3673937690786608E-3</v>
      </c>
      <c r="AX58" s="23">
        <f t="shared" si="6"/>
        <v>4.5387809528655456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17</v>
      </c>
      <c r="BD58" s="13">
        <f>IF('Données projet'!$A$88&gt;35,BD57+BC58-BL57,IF(A58&lt;'Données projet'!$A$88,$BA$205^A58,IF(A58='Données projet'!$A$88,'Données projet'!$B$88,BD57+BC58-BL57)))</f>
        <v>362.99999999999989</v>
      </c>
      <c r="BE58" s="14">
        <f>BD58*VLOOKUP('Données projet'!$B$11,Paramètres!$A$1:$I$89,3,0)*VLOOKUP('Données projet'!$B$11,Paramètres!$A$1:$I$89,5,0)</f>
        <v>169.88399999999993</v>
      </c>
      <c r="BF58" s="14">
        <f t="shared" si="37"/>
        <v>43.064042412117296</v>
      </c>
      <c r="BG58" s="22">
        <f t="shared" si="7"/>
        <v>370.8845072011041</v>
      </c>
      <c r="BH58" s="62">
        <f t="shared" si="8"/>
        <v>664.21784053443741</v>
      </c>
      <c r="BI58" s="62">
        <f ca="1">AVERAGE(OFFSET($BH$3,0,0,'Données projet'!$E$11+1,1))-AVERAGE(OFFSET($H$3,0,0,'Données projet'!$E$11+1,1))</f>
        <v>221.07273841880755</v>
      </c>
      <c r="BJ58" s="62">
        <f t="shared" si="38"/>
        <v>164.23448598618114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232</v>
      </c>
      <c r="BW58" s="13">
        <f>VLOOKUP(A58,'Données projet'!$A$113:$I$133,9,0)</f>
        <v>6.2</v>
      </c>
      <c r="BX58" s="13">
        <f t="array" ref="BX58">INDEX(BW:BW,MIN(IF(ISNUMBER(BW58:BW254),ROW(BW58:BW254),"")))</f>
        <v>6.2</v>
      </c>
      <c r="BY58" s="13">
        <f>IF('Données projet'!$A$114&gt;35,BY57+BX58-CG57,IF(A58&lt;'Données projet'!$A$114,$BV$205^A58,IF(A58='Données projet'!$A$114,'Données projet'!$B$114,BY57+BX58-CG57)))</f>
        <v>231.99999999999994</v>
      </c>
      <c r="BZ58" s="14">
        <f>BY58*VLOOKUP('Données projet'!$B$12,Paramètres!$A$1:$I$89,3,0)*VLOOKUP('Données projet'!$B$12,Paramètres!$A$1:$I$89,5,0)</f>
        <v>184.57919999999999</v>
      </c>
      <c r="CA58" s="14">
        <f t="shared" si="39"/>
        <v>46.339479465836618</v>
      </c>
      <c r="CB58" s="22">
        <f t="shared" si="10"/>
        <v>402.18336673633206</v>
      </c>
      <c r="CC58" s="62">
        <f t="shared" si="11"/>
        <v>695.51670006966538</v>
      </c>
      <c r="CD58" s="62">
        <f ca="1">AVERAGE(OFFSET($CC$3,0,0,'Données projet'!$E$12+1,1))-AVERAGE(OFFSET($H$3,0,0,'Données projet'!$E$12+1,1))</f>
        <v>219.2279518699109</v>
      </c>
      <c r="CE58" s="62">
        <f t="shared" si="40"/>
        <v>219.59799863414099</v>
      </c>
      <c r="CF58" s="16">
        <f>IF(ISNA(VLOOKUP(A58,'Données projet'!$A$113:$I$133,3,0)),0,VLOOKUP(A58,'Données projet'!$A$113:$I$133,3,0))</f>
        <v>9</v>
      </c>
      <c r="CG58" s="16">
        <f>IF(ISNA(VLOOKUP(A58,'Données projet'!$A$113:$I$133,4,0)),0,VLOOKUP(A58,'Données projet'!$A$113:$I$133,4,0))</f>
        <v>13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4.623157257420913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4.623157257420913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2">
        <f t="shared" si="32"/>
        <v>9.4631216842413828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70">
        <f t="shared" si="1"/>
        <v>363.068136933387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153.59418465942997</v>
      </c>
      <c r="T59" s="62">
        <f t="shared" si="34"/>
        <v>313.61727210988198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59.039818183248698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3.246886523328299E-2</v>
      </c>
      <c r="AC59" s="24">
        <f t="shared" si="3"/>
        <v>59.072287048481982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17.625</v>
      </c>
      <c r="AI59" s="14">
        <f>IF('Données projet'!$A$62&gt;35,AI58+AH59-AQ58,IF(A59&lt;'Données projet'!$A$62,$AF$205^A59,IF(A59='Données projet'!$A$62,'Données projet'!$B$62,AI58+AH59-AQ58)))</f>
        <v>404.75000000000023</v>
      </c>
      <c r="AJ59" s="14">
        <f>AI59*VLOOKUP('Données projet'!$B$10,Paramètres!$A$1:$I$89,3,0)*VLOOKUP('Données projet'!$B$10,Paramètres!$A$1:$I$89,5,0)</f>
        <v>242.04050000000015</v>
      </c>
      <c r="AK59" s="14">
        <f t="shared" si="35"/>
        <v>58.878337443371592</v>
      </c>
      <c r="AL59" s="22">
        <f t="shared" si="4"/>
        <v>524.10030854720571</v>
      </c>
      <c r="AM59" s="62">
        <f t="shared" si="5"/>
        <v>817.43364188053897</v>
      </c>
      <c r="AN59" s="62">
        <f ca="1">AVERAGE(OFFSET($AM$3,0,0,'Données projet'!$E$10+1,1))-AVERAGE(OFFSET($H$3,0,0,'Données projet'!$E$10+1,1))</f>
        <v>288.15107951401188</v>
      </c>
      <c r="AO59" s="62">
        <f t="shared" si="36"/>
        <v>217.57508587672368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4.4474572561416439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1.6740001878543006E-3</v>
      </c>
      <c r="AX59" s="23">
        <f t="shared" si="6"/>
        <v>4.4491312563294985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>
        <f>VLOOKUP(A59,'Données projet'!$A$87:$I$107,2,0)</f>
        <v>380</v>
      </c>
      <c r="BB59" s="13">
        <f>VLOOKUP(A59,'Données projet'!$A$87:$I$107,9,0)</f>
        <v>17</v>
      </c>
      <c r="BC59" s="13">
        <f t="array" ref="BC59">INDEX(BB:BB,MIN(IF(ISNUMBER(BB59:BB255),ROW(BB59:BB255),"")))</f>
        <v>17</v>
      </c>
      <c r="BD59" s="13">
        <f>IF('Données projet'!$A$88&gt;35,BD58+BC59-BL58,IF(A59&lt;'Données projet'!$A$88,$BA$205^A59,IF(A59='Données projet'!$A$88,'Données projet'!$B$88,BD58+BC59-BL58)))</f>
        <v>379.99999999999989</v>
      </c>
      <c r="BE59" s="14">
        <f>BD59*VLOOKUP('Données projet'!$B$11,Paramètres!$A$1:$I$89,3,0)*VLOOKUP('Données projet'!$B$11,Paramètres!$A$1:$I$89,5,0)</f>
        <v>177.83999999999995</v>
      </c>
      <c r="BF59" s="14">
        <f t="shared" si="37"/>
        <v>44.841288830609102</v>
      </c>
      <c r="BG59" s="22">
        <f t="shared" si="7"/>
        <v>387.83657804664409</v>
      </c>
      <c r="BH59" s="62">
        <f t="shared" si="8"/>
        <v>681.16991137997741</v>
      </c>
      <c r="BI59" s="62">
        <f ca="1">AVERAGE(OFFSET($BH$3,0,0,'Données projet'!$E$11+1,1))-AVERAGE(OFFSET($H$3,0,0,'Données projet'!$E$11+1,1))</f>
        <v>221.07273841880755</v>
      </c>
      <c r="BJ59" s="62">
        <f t="shared" si="38"/>
        <v>164.23448598618114</v>
      </c>
      <c r="BK59" s="16">
        <f>IF(ISNA(VLOOKUP(A59,'Données projet'!$A$87:$I$107,3,0)),0,VLOOKUP(A59,'Données projet'!$A$87:$I$107,3,0))</f>
        <v>7</v>
      </c>
      <c r="BL59" s="16">
        <f>IF(ISNA(VLOOKUP(A59,'Données projet'!$A$87:$I$107,4,0)),0,VLOOKUP(A59,'Données projet'!$A$87:$I$107,4,0))</f>
        <v>79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5.2</v>
      </c>
      <c r="BY59" s="13">
        <f>IF('Données projet'!$A$114&gt;35,BY58+BX59-CG58,IF(A59&lt;'Données projet'!$A$114,$BV$205^A59,IF(A59='Données projet'!$A$114,'Données projet'!$B$114,BY58+BX59-CG58)))</f>
        <v>224.19999999999993</v>
      </c>
      <c r="BZ59" s="14">
        <f>BY59*VLOOKUP('Données projet'!$B$12,Paramètres!$A$1:$I$89,3,0)*VLOOKUP('Données projet'!$B$12,Paramètres!$A$1:$I$89,5,0)</f>
        <v>178.37351999999996</v>
      </c>
      <c r="CA59" s="14">
        <f t="shared" si="39"/>
        <v>44.960133388294842</v>
      </c>
      <c r="CB59" s="22">
        <f t="shared" si="10"/>
        <v>388.97277965128006</v>
      </c>
      <c r="CC59" s="62">
        <f t="shared" si="11"/>
        <v>682.30611298461338</v>
      </c>
      <c r="CD59" s="62">
        <f ca="1">AVERAGE(OFFSET($CC$3,0,0,'Données projet'!$E$12+1,1))-AVERAGE(OFFSET($H$3,0,0,'Données projet'!$E$12+1,1))</f>
        <v>219.2279518699109</v>
      </c>
      <c r="CE59" s="62">
        <f t="shared" si="40"/>
        <v>219.59799863414099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4.5324999634503795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4.5324999634503795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2">
        <f t="shared" si="32"/>
        <v>9.6122820667787945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70">
        <f t="shared" si="1"/>
        <v>364.27887459963966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153.59418465942997</v>
      </c>
      <c r="T60" s="62">
        <f t="shared" si="34"/>
        <v>313.61727210988198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57.882083359408519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2.2958954783886536E-2</v>
      </c>
      <c r="AC60" s="24">
        <f t="shared" si="3"/>
        <v>57.905042314192407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17.625</v>
      </c>
      <c r="AI60" s="14">
        <f>IF('Données projet'!$A$62&gt;35,AI59+AH60-AQ59,IF(A60&lt;'Données projet'!$A$62,$AF$205^A60,IF(A60='Données projet'!$A$62,'Données projet'!$B$62,AI59+AH60-AQ59)))</f>
        <v>422.37500000000023</v>
      </c>
      <c r="AJ60" s="14">
        <f>AI60*VLOOKUP('Données projet'!$B$10,Paramètres!$A$1:$I$89,3,0)*VLOOKUP('Données projet'!$B$10,Paramètres!$A$1:$I$89,5,0)</f>
        <v>252.58025000000015</v>
      </c>
      <c r="AK60" s="14">
        <f t="shared" si="35"/>
        <v>61.138131933251593</v>
      </c>
      <c r="AL60" s="22">
        <f t="shared" si="4"/>
        <v>546.39284853374681</v>
      </c>
      <c r="AM60" s="62">
        <f t="shared" si="5"/>
        <v>839.72618186708019</v>
      </c>
      <c r="AN60" s="62">
        <f ca="1">AVERAGE(OFFSET($AM$3,0,0,'Données projet'!$E$10+1,1))-AVERAGE(OFFSET($H$3,0,0,'Données projet'!$E$10+1,1))</f>
        <v>288.15107951401188</v>
      </c>
      <c r="AO60" s="62">
        <f t="shared" si="36"/>
        <v>217.57508587672368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4.3602453320297778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1.1836968845393304E-3</v>
      </c>
      <c r="AX60" s="23">
        <f t="shared" si="6"/>
        <v>4.3614290289143174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>
        <f>VLOOKUP(A60,'Données projet'!$A$87:$I$107,2,0)</f>
        <v>316</v>
      </c>
      <c r="BB60" s="13">
        <f>VLOOKUP(A60,'Données projet'!$A$87:$I$107,9,0)</f>
        <v>15</v>
      </c>
      <c r="BC60" s="13">
        <f t="array" ref="BC60">INDEX(BB:BB,MIN(IF(ISNUMBER(BB60:BB256),ROW(BB60:BB256),"")))</f>
        <v>15</v>
      </c>
      <c r="BD60" s="13">
        <f>IF('Données projet'!$A$88&gt;35,BD59+BC60-BL59,IF(A60&lt;'Données projet'!$A$88,$BA$205^A60,IF(A60='Données projet'!$A$88,'Données projet'!$B$88,BD59+BC60-BL59)))</f>
        <v>315.99999999999989</v>
      </c>
      <c r="BE60" s="14">
        <f>BD60*VLOOKUP('Données projet'!$B$11,Paramètres!$A$1:$I$89,3,0)*VLOOKUP('Données projet'!$B$11,Paramètres!$A$1:$I$89,5,0)</f>
        <v>147.88799999999995</v>
      </c>
      <c r="BF60" s="14">
        <f t="shared" si="37"/>
        <v>38.098230660204834</v>
      </c>
      <c r="BG60" s="22">
        <f t="shared" si="7"/>
        <v>323.92601839985667</v>
      </c>
      <c r="BH60" s="62">
        <f t="shared" si="8"/>
        <v>617.25935173318999</v>
      </c>
      <c r="BI60" s="62">
        <f ca="1">AVERAGE(OFFSET($BH$3,0,0,'Données projet'!$E$11+1,1))-AVERAGE(OFFSET($H$3,0,0,'Données projet'!$E$11+1,1))</f>
        <v>221.07273841880755</v>
      </c>
      <c r="BJ60" s="62">
        <f t="shared" si="38"/>
        <v>164.23448598618114</v>
      </c>
      <c r="BK60" s="16">
        <f>IF(ISNA(VLOOKUP(A60,'Données projet'!$A$87:$I$107,3,0)),0,VLOOKUP(A60,'Données projet'!$A$87:$I$107,3,0))</f>
        <v>8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5.2</v>
      </c>
      <c r="BY60" s="13">
        <f>IF('Données projet'!$A$114&gt;35,BY59+BX60-CG59,IF(A60&lt;'Données projet'!$A$114,$BV$205^A60,IF(A60='Données projet'!$A$114,'Données projet'!$B$114,BY59+BX60-CG59)))</f>
        <v>229.39999999999992</v>
      </c>
      <c r="BZ60" s="14">
        <f>BY60*VLOOKUP('Données projet'!$B$12,Paramètres!$A$1:$I$89,3,0)*VLOOKUP('Données projet'!$B$12,Paramètres!$A$1:$I$89,5,0)</f>
        <v>182.51063999999994</v>
      </c>
      <c r="CA60" s="14">
        <f t="shared" si="39"/>
        <v>45.880306213791414</v>
      </c>
      <c r="CB60" s="22">
        <f t="shared" si="10"/>
        <v>397.78089798901993</v>
      </c>
      <c r="CC60" s="62">
        <f t="shared" si="11"/>
        <v>691.11423132235325</v>
      </c>
      <c r="CD60" s="62">
        <f ca="1">AVERAGE(OFFSET($CC$3,0,0,'Données projet'!$E$12+1,1))-AVERAGE(OFFSET($H$3,0,0,'Données projet'!$E$12+1,1))</f>
        <v>219.2279518699109</v>
      </c>
      <c r="CE60" s="62">
        <f t="shared" si="40"/>
        <v>219.59799863414099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4.4436204037191187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4.4436204037191187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2">
        <f t="shared" si="32"/>
        <v>9.7611381424130617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70">
        <f t="shared" si="1"/>
        <v>365.48908226470269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153.59418465942997</v>
      </c>
      <c r="T61" s="62">
        <f t="shared" si="34"/>
        <v>313.61727210988198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56.747051009315328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1.6234432616641495E-2</v>
      </c>
      <c r="AC61" s="24">
        <f t="shared" si="3"/>
        <v>56.76328544193197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>
        <f>VLOOKUP(A61,'Données projet'!$A$61:$I$81,2,0)</f>
        <v>440</v>
      </c>
      <c r="AG61" s="13">
        <f>VLOOKUP(A61,'Données projet'!$A$61:$I$81,9,0)</f>
        <v>17.625</v>
      </c>
      <c r="AH61" s="13">
        <f t="array" ref="AH61">INDEX(AG:AG,MIN(IF(ISNUMBER(AG61:AG257),ROW(AG61:AG257),"")))</f>
        <v>17.625</v>
      </c>
      <c r="AI61" s="14">
        <f>IF('Données projet'!$A$62&gt;35,AI60+AH61-AQ60,IF(A61&lt;'Données projet'!$A$62,$AF$205^A61,IF(A61='Données projet'!$A$62,'Données projet'!$B$62,AI60+AH61-AQ60)))</f>
        <v>440.00000000000023</v>
      </c>
      <c r="AJ61" s="14">
        <f>AI61*VLOOKUP('Données projet'!$B$10,Paramètres!$A$1:$I$89,3,0)*VLOOKUP('Données projet'!$B$10,Paramètres!$A$1:$I$89,5,0)</f>
        <v>263.12000000000018</v>
      </c>
      <c r="AK61" s="14">
        <f t="shared" si="35"/>
        <v>63.386973458752003</v>
      </c>
      <c r="AL61" s="22">
        <f t="shared" si="4"/>
        <v>568.66631210732658</v>
      </c>
      <c r="AM61" s="62">
        <f t="shared" si="5"/>
        <v>861.99964544065983</v>
      </c>
      <c r="AN61" s="62">
        <f ca="1">AVERAGE(OFFSET($AM$3,0,0,'Données projet'!$E$10+1,1))-AVERAGE(OFFSET($H$3,0,0,'Données projet'!$E$10+1,1))</f>
        <v>288.15107951401188</v>
      </c>
      <c r="AO61" s="62">
        <f t="shared" si="36"/>
        <v>217.57508587672368</v>
      </c>
      <c r="AP61" s="16">
        <f>IF(ISNA(VLOOKUP(A61,'Données projet'!$A$61:$I$81,3,0)),0,VLOOKUP(A61,'Données projet'!$A$61:$I$81,3,0))</f>
        <v>8</v>
      </c>
      <c r="AQ61" s="16">
        <f>IF(ISNA(VLOOKUP(A61,'Données projet'!$A$61:$I$81,4,0)),0,VLOOKUP(A61,'Données projet'!$A$61:$I$81,4,0))</f>
        <v>78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4.2747435805557235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8.3700009392715031E-4</v>
      </c>
      <c r="AX61" s="23">
        <f t="shared" si="6"/>
        <v>4.2755805806496507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16.666666666666668</v>
      </c>
      <c r="BD61" s="13">
        <f>IF('Données projet'!$A$88&gt;35,BD60+BC61-BL60,IF(A61&lt;'Données projet'!$A$88,$BA$205^A61,IF(A61='Données projet'!$A$88,'Données projet'!$B$88,BD60+BC61-BL60)))</f>
        <v>332.66666666666657</v>
      </c>
      <c r="BE61" s="14">
        <f>BD61*VLOOKUP('Données projet'!$B$11,Paramètres!$A$1:$I$89,3,0)*VLOOKUP('Données projet'!$B$11,Paramètres!$A$1:$I$89,5,0)</f>
        <v>155.68799999999996</v>
      </c>
      <c r="BF61" s="14">
        <f t="shared" si="37"/>
        <v>39.868390761764985</v>
      </c>
      <c r="BG61" s="22">
        <f t="shared" si="7"/>
        <v>340.5940472434072</v>
      </c>
      <c r="BH61" s="62">
        <f t="shared" si="8"/>
        <v>633.92738057674046</v>
      </c>
      <c r="BI61" s="62">
        <f ca="1">AVERAGE(OFFSET($BH$3,0,0,'Données projet'!$E$11+1,1))-AVERAGE(OFFSET($H$3,0,0,'Données projet'!$E$11+1,1))</f>
        <v>221.07273841880755</v>
      </c>
      <c r="BJ61" s="62">
        <f t="shared" si="38"/>
        <v>164.23448598618114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5.2</v>
      </c>
      <c r="BY61" s="13">
        <f>IF('Données projet'!$A$114&gt;35,BY60+BX61-CG60,IF(A61&lt;'Données projet'!$A$114,$BV$205^A61,IF(A61='Données projet'!$A$114,'Données projet'!$B$114,BY60+BX61-CG60)))</f>
        <v>234.59999999999991</v>
      </c>
      <c r="BZ61" s="14">
        <f>BY61*VLOOKUP('Données projet'!$B$12,Paramètres!$A$1:$I$89,3,0)*VLOOKUP('Données projet'!$B$12,Paramètres!$A$1:$I$89,5,0)</f>
        <v>186.64775999999995</v>
      </c>
      <c r="CA61" s="14">
        <f t="shared" si="39"/>
        <v>46.79805411155214</v>
      </c>
      <c r="CB61" s="22">
        <f t="shared" si="10"/>
        <v>406.58479291095324</v>
      </c>
      <c r="CC61" s="62">
        <f t="shared" si="11"/>
        <v>699.91812624428655</v>
      </c>
      <c r="CD61" s="62">
        <f ca="1">AVERAGE(OFFSET($CC$3,0,0,'Données projet'!$E$12+1,1))-AVERAGE(OFFSET($H$3,0,0,'Données projet'!$E$12+1,1))</f>
        <v>219.2279518699109</v>
      </c>
      <c r="CE61" s="62">
        <f t="shared" si="40"/>
        <v>219.59799863414099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4.3564837179430089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4.3564837179430089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2">
        <f t="shared" si="32"/>
        <v>9.9096957632381564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70">
        <f t="shared" si="1"/>
        <v>366.69877012097305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153.59418465942997</v>
      </c>
      <c r="T62" s="62">
        <f t="shared" si="34"/>
        <v>313.61727210988198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55.634275951306094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1.1479477391943268E-2</v>
      </c>
      <c r="AC62" s="24">
        <f t="shared" si="3"/>
        <v>55.645755428698038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16.625</v>
      </c>
      <c r="AI62" s="14">
        <f>IF('Données projet'!$A$62&gt;35,AI61+AH62-AQ61,IF(A62&lt;'Données projet'!$A$62,$AF$205^A62,IF(A62='Données projet'!$A$62,'Données projet'!$B$62,AI61+AH62-AQ61)))</f>
        <v>378.62500000000023</v>
      </c>
      <c r="AJ62" s="14">
        <f>AI62*VLOOKUP('Données projet'!$B$10,Paramètres!$A$1:$I$89,3,0)*VLOOKUP('Données projet'!$B$10,Paramètres!$A$1:$I$89,5,0)</f>
        <v>226.41775000000015</v>
      </c>
      <c r="AK62" s="14">
        <f t="shared" si="35"/>
        <v>55.507409107649544</v>
      </c>
      <c r="AL62" s="22">
        <f t="shared" si="4"/>
        <v>491.01965211248984</v>
      </c>
      <c r="AM62" s="62">
        <f t="shared" si="5"/>
        <v>784.35298544582315</v>
      </c>
      <c r="AN62" s="62">
        <f ca="1">AVERAGE(OFFSET($AM$3,0,0,'Données projet'!$E$10+1,1))-AVERAGE(OFFSET($H$3,0,0,'Données projet'!$E$10+1,1))</f>
        <v>288.15107951401188</v>
      </c>
      <c r="AO62" s="62">
        <f t="shared" si="36"/>
        <v>217.57508587672368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4.1909184662771564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5.9184844226966519E-4</v>
      </c>
      <c r="AX62" s="23">
        <f t="shared" si="6"/>
        <v>4.1915103147194257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16.666666666666668</v>
      </c>
      <c r="BD62" s="13">
        <f>IF('Données projet'!$A$88&gt;35,BD61+BC62-BL61,IF(A62&lt;'Données projet'!$A$88,$BA$205^A62,IF(A62='Données projet'!$A$88,'Données projet'!$B$88,BD61+BC62-BL61)))</f>
        <v>349.33333333333326</v>
      </c>
      <c r="BE62" s="14">
        <f>BD62*VLOOKUP('Données projet'!$B$11,Paramètres!$A$1:$I$89,3,0)*VLOOKUP('Données projet'!$B$11,Paramètres!$A$1:$I$89,5,0)</f>
        <v>163.48799999999994</v>
      </c>
      <c r="BF62" s="14">
        <f t="shared" si="37"/>
        <v>41.628253379180116</v>
      </c>
      <c r="BG62" s="22">
        <f t="shared" si="7"/>
        <v>357.24414130207191</v>
      </c>
      <c r="BH62" s="62">
        <f t="shared" si="8"/>
        <v>650.57747463540522</v>
      </c>
      <c r="BI62" s="62">
        <f ca="1">AVERAGE(OFFSET($BH$3,0,0,'Données projet'!$E$11+1,1))-AVERAGE(OFFSET($H$3,0,0,'Données projet'!$E$11+1,1))</f>
        <v>221.07273841880755</v>
      </c>
      <c r="BJ62" s="62">
        <f t="shared" si="38"/>
        <v>164.23448598618114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5.2</v>
      </c>
      <c r="BY62" s="13">
        <f>IF('Données projet'!$A$114&gt;35,BY61+BX62-CG61,IF(A62&lt;'Données projet'!$A$114,$BV$205^A62,IF(A62='Données projet'!$A$114,'Données projet'!$B$114,BY61+BX62-CG61)))</f>
        <v>239.7999999999999</v>
      </c>
      <c r="BZ62" s="14">
        <f>BY62*VLOOKUP('Données projet'!$B$12,Paramètres!$A$1:$I$89,3,0)*VLOOKUP('Données projet'!$B$12,Paramètres!$A$1:$I$89,5,0)</f>
        <v>190.78487999999993</v>
      </c>
      <c r="CA62" s="14">
        <f t="shared" si="39"/>
        <v>47.713437020051622</v>
      </c>
      <c r="CB62" s="22">
        <f t="shared" si="10"/>
        <v>415.38456880992311</v>
      </c>
      <c r="CC62" s="62">
        <f t="shared" si="11"/>
        <v>708.71790214325642</v>
      </c>
      <c r="CD62" s="62">
        <f ca="1">AVERAGE(OFFSET($CC$3,0,0,'Données projet'!$E$12+1,1))-AVERAGE(OFFSET($H$3,0,0,'Données projet'!$E$12+1,1))</f>
        <v>219.2279518699109</v>
      </c>
      <c r="CE62" s="62">
        <f t="shared" si="40"/>
        <v>219.59799863414099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4.2710557294268385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4.2710557294268385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2">
        <f t="shared" si="32"/>
        <v>10.05796057160342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70">
        <f t="shared" si="1"/>
        <v>367.90794799554254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153.59418465942997</v>
      </c>
      <c r="T63" s="62">
        <f t="shared" si="34"/>
        <v>313.61727210988198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54.543321733458654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8.1172163083207474E-3</v>
      </c>
      <c r="AC63" s="24">
        <f t="shared" si="3"/>
        <v>54.551438949766975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16.625</v>
      </c>
      <c r="AI63" s="14">
        <f>IF('Données projet'!$A$62&gt;35,AI62+AH63-AQ62,IF(A63&lt;'Données projet'!$A$62,$AF$205^A63,IF(A63='Données projet'!$A$62,'Données projet'!$B$62,AI62+AH63-AQ62)))</f>
        <v>395.25000000000023</v>
      </c>
      <c r="AJ63" s="14">
        <f>AI63*VLOOKUP('Données projet'!$B$10,Paramètres!$A$1:$I$89,3,0)*VLOOKUP('Données projet'!$B$10,Paramètres!$A$1:$I$89,5,0)</f>
        <v>236.35950000000014</v>
      </c>
      <c r="AK63" s="14">
        <f t="shared" si="35"/>
        <v>57.655563749416224</v>
      </c>
      <c r="AL63" s="22">
        <f t="shared" si="4"/>
        <v>512.07623603023353</v>
      </c>
      <c r="AM63" s="62">
        <f t="shared" si="5"/>
        <v>805.40956936356679</v>
      </c>
      <c r="AN63" s="62">
        <f ca="1">AVERAGE(OFFSET($AM$3,0,0,'Données projet'!$E$10+1,1))-AVERAGE(OFFSET($H$3,0,0,'Données projet'!$E$10+1,1))</f>
        <v>288.15107951401188</v>
      </c>
      <c r="AO63" s="62">
        <f t="shared" si="36"/>
        <v>217.57508587672368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4.1087371113613216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4.1850004696357515E-4</v>
      </c>
      <c r="AX63" s="23">
        <f t="shared" si="6"/>
        <v>4.1091556114082852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16.666666666666668</v>
      </c>
      <c r="BD63" s="13">
        <f>IF('Données projet'!$A$88&gt;35,BD62+BC63-BL62,IF(A63&lt;'Données projet'!$A$88,$BA$205^A63,IF(A63='Données projet'!$A$88,'Données projet'!$B$88,BD62+BC63-BL62)))</f>
        <v>365.99999999999994</v>
      </c>
      <c r="BE63" s="14">
        <f>BD63*VLOOKUP('Données projet'!$B$11,Paramètres!$A$1:$I$89,3,0)*VLOOKUP('Données projet'!$B$11,Paramètres!$A$1:$I$89,5,0)</f>
        <v>171.28799999999995</v>
      </c>
      <c r="BF63" s="14">
        <f t="shared" si="37"/>
        <v>43.378365895721338</v>
      </c>
      <c r="BG63" s="22">
        <f t="shared" si="7"/>
        <v>373.87725393504792</v>
      </c>
      <c r="BH63" s="62">
        <f t="shared" si="8"/>
        <v>667.21058726838123</v>
      </c>
      <c r="BI63" s="62">
        <f ca="1">AVERAGE(OFFSET($BH$3,0,0,'Données projet'!$E$11+1,1))-AVERAGE(OFFSET($H$3,0,0,'Données projet'!$E$11+1,1))</f>
        <v>221.07273841880755</v>
      </c>
      <c r="BJ63" s="62">
        <f t="shared" si="38"/>
        <v>164.23448598618114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245</v>
      </c>
      <c r="BW63" s="13">
        <f>VLOOKUP(A63,'Données projet'!$A$113:$I$133,9,0)</f>
        <v>5.2</v>
      </c>
      <c r="BX63" s="13">
        <f t="array" ref="BX63">INDEX(BW:BW,MIN(IF(ISNUMBER(BW63:BW259),ROW(BW63:BW259),"")))</f>
        <v>5.2</v>
      </c>
      <c r="BY63" s="13">
        <f>IF('Données projet'!$A$114&gt;35,BY62+BX63-CG62,IF(A63&lt;'Données projet'!$A$114,$BV$205^A63,IF(A63='Données projet'!$A$114,'Données projet'!$B$114,BY62+BX63-CG62)))</f>
        <v>244.99999999999989</v>
      </c>
      <c r="BZ63" s="14">
        <f>BY63*VLOOKUP('Données projet'!$B$12,Paramètres!$A$1:$I$89,3,0)*VLOOKUP('Données projet'!$B$12,Paramètres!$A$1:$I$89,5,0)</f>
        <v>194.92199999999991</v>
      </c>
      <c r="CA63" s="14">
        <f t="shared" si="39"/>
        <v>48.626512129794925</v>
      </c>
      <c r="CB63" s="22">
        <f t="shared" si="10"/>
        <v>424.18032529272597</v>
      </c>
      <c r="CC63" s="62">
        <f t="shared" si="11"/>
        <v>717.51365862605928</v>
      </c>
      <c r="CD63" s="62">
        <f ca="1">AVERAGE(OFFSET($CC$3,0,0,'Données projet'!$E$12+1,1))-AVERAGE(OFFSET($H$3,0,0,'Données projet'!$E$12+1,1))</f>
        <v>219.2279518699109</v>
      </c>
      <c r="CE63" s="62">
        <f t="shared" si="40"/>
        <v>219.59799863414099</v>
      </c>
      <c r="CF63" s="16">
        <f>IF(ISNA(VLOOKUP(A63,'Données projet'!$A$113:$I$133,3,0)),0,VLOOKUP(A63,'Données projet'!$A$113:$I$133,3,0))</f>
        <v>10</v>
      </c>
      <c r="CG63" s="16">
        <f>IF(ISNA(VLOOKUP(A63,'Données projet'!$A$113:$I$133,4,0)),0,VLOOKUP(A63,'Données projet'!$A$113:$I$133,4,0))</f>
        <v>12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4.1873029316595423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4.1873029316595423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2">
        <f t="shared" si="32"/>
        <v>10.205938010999123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70">
        <f t="shared" si="1"/>
        <v>369.11662536915674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153.59418465942997</v>
      </c>
      <c r="T64" s="62">
        <f t="shared" si="34"/>
        <v>313.61727210988198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53.47376046240683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5.7397386959716339E-3</v>
      </c>
      <c r="AC64" s="24">
        <f t="shared" si="3"/>
        <v>53.479500201102802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16.625</v>
      </c>
      <c r="AI64" s="14">
        <f>IF('Données projet'!$A$62&gt;35,AI63+AH64-AQ63,IF(A64&lt;'Données projet'!$A$62,$AF$205^A64,IF(A64='Données projet'!$A$62,'Données projet'!$B$62,AI63+AH64-AQ63)))</f>
        <v>411.87500000000023</v>
      </c>
      <c r="AJ64" s="14">
        <f>AI64*VLOOKUP('Données projet'!$B$10,Paramètres!$A$1:$I$89,3,0)*VLOOKUP('Données projet'!$B$10,Paramètres!$A$1:$I$89,5,0)</f>
        <v>246.30125000000015</v>
      </c>
      <c r="AK64" s="14">
        <f t="shared" si="35"/>
        <v>59.793223430016909</v>
      </c>
      <c r="AL64" s="22">
        <f t="shared" si="4"/>
        <v>533.11454122394628</v>
      </c>
      <c r="AM64" s="62">
        <f t="shared" si="5"/>
        <v>826.44787455727965</v>
      </c>
      <c r="AN64" s="62">
        <f ca="1">AVERAGE(OFFSET($AM$3,0,0,'Données projet'!$E$10+1,1))-AVERAGE(OFFSET($H$3,0,0,'Données projet'!$E$10+1,1))</f>
        <v>288.15107951401188</v>
      </c>
      <c r="AO64" s="62">
        <f t="shared" si="36"/>
        <v>217.57508587672368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4.0281672826897088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2.9592422113483259E-4</v>
      </c>
      <c r="AX64" s="23">
        <f t="shared" si="6"/>
        <v>4.0284632069108435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16.666666666666668</v>
      </c>
      <c r="BD64" s="13">
        <f>IF('Données projet'!$A$88&gt;35,BD63+BC64-BL63,IF(A64&lt;'Données projet'!$A$88,$BA$205^A64,IF(A64='Données projet'!$A$88,'Données projet'!$B$88,BD63+BC64-BL63)))</f>
        <v>382.66666666666663</v>
      </c>
      <c r="BE64" s="14">
        <f>BD64*VLOOKUP('Données projet'!$B$11,Paramètres!$A$1:$I$89,3,0)*VLOOKUP('Données projet'!$B$11,Paramètres!$A$1:$I$89,5,0)</f>
        <v>179.08799999999999</v>
      </c>
      <c r="BF64" s="14">
        <f t="shared" si="37"/>
        <v>45.119223023956835</v>
      </c>
      <c r="BG64" s="22">
        <f t="shared" si="7"/>
        <v>390.49424676672476</v>
      </c>
      <c r="BH64" s="62">
        <f t="shared" si="8"/>
        <v>683.82758010005807</v>
      </c>
      <c r="BI64" s="62">
        <f ca="1">AVERAGE(OFFSET($BH$3,0,0,'Données projet'!$E$11+1,1))-AVERAGE(OFFSET($H$3,0,0,'Données projet'!$E$11+1,1))</f>
        <v>221.07273841880755</v>
      </c>
      <c r="BJ64" s="62">
        <f t="shared" si="38"/>
        <v>164.23448598618114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4.2</v>
      </c>
      <c r="BY64" s="13">
        <f>IF('Données projet'!$A$114&gt;35,BY63+BX64-CG63,IF(A64&lt;'Données projet'!$A$114,$BV$205^A64,IF(A64='Données projet'!$A$114,'Données projet'!$B$114,BY63+BX64-CG63)))</f>
        <v>237.19999999999987</v>
      </c>
      <c r="BZ64" s="14">
        <f>BY64*VLOOKUP('Données projet'!$B$12,Paramètres!$A$1:$I$89,3,0)*VLOOKUP('Données projet'!$B$12,Paramètres!$A$1:$I$89,5,0)</f>
        <v>188.71631999999991</v>
      </c>
      <c r="CA64" s="14">
        <f t="shared" si="39"/>
        <v>47.256037552855531</v>
      </c>
      <c r="CB64" s="22">
        <f t="shared" si="10"/>
        <v>410.98518940455659</v>
      </c>
      <c r="CC64" s="62">
        <f t="shared" si="11"/>
        <v>704.31852273788991</v>
      </c>
      <c r="CD64" s="62">
        <f ca="1">AVERAGE(OFFSET($CC$3,0,0,'Données projet'!$E$12+1,1))-AVERAGE(OFFSET($H$3,0,0,'Données projet'!$E$12+1,1))</f>
        <v>219.2279518699109</v>
      </c>
      <c r="CE64" s="62">
        <f t="shared" si="40"/>
        <v>219.59799863414099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4.1051924751723003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4.1051924751723003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2">
        <f t="shared" si="32"/>
        <v>10.353633336208009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70">
        <f t="shared" si="1"/>
        <v>370.32481139389552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153.59418465942997</v>
      </c>
      <c r="T65" s="62">
        <f t="shared" si="34"/>
        <v>313.61727210988198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52.425172635512375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4.0586081541603737E-3</v>
      </c>
      <c r="AC65" s="24">
        <f t="shared" si="3"/>
        <v>52.429231243666536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16.625</v>
      </c>
      <c r="AI65" s="14">
        <f>IF('Données projet'!$A$62&gt;35,AI64+AH65-AQ64,IF(A65&lt;'Données projet'!$A$62,$AF$205^A65,IF(A65='Données projet'!$A$62,'Données projet'!$B$62,AI64+AH65-AQ64)))</f>
        <v>428.50000000000023</v>
      </c>
      <c r="AJ65" s="14">
        <f>AI65*VLOOKUP('Données projet'!$B$10,Paramètres!$A$1:$I$89,3,0)*VLOOKUP('Données projet'!$B$10,Paramètres!$A$1:$I$89,5,0)</f>
        <v>256.24300000000017</v>
      </c>
      <c r="AK65" s="14">
        <f t="shared" si="35"/>
        <v>61.920860231490025</v>
      </c>
      <c r="AL65" s="22">
        <f t="shared" si="4"/>
        <v>554.13538990317875</v>
      </c>
      <c r="AM65" s="62">
        <f t="shared" si="5"/>
        <v>847.46872323651201</v>
      </c>
      <c r="AN65" s="62">
        <f ca="1">AVERAGE(OFFSET($AM$3,0,0,'Données projet'!$E$10+1,1))-AVERAGE(OFFSET($H$3,0,0,'Données projet'!$E$10+1,1))</f>
        <v>288.15107951401188</v>
      </c>
      <c r="AO65" s="62">
        <f t="shared" si="36"/>
        <v>217.57508587672368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3.9491773792156035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2.0925002348178758E-4</v>
      </c>
      <c r="AX65" s="23">
        <f t="shared" si="6"/>
        <v>3.9493866292390853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16.666666666666668</v>
      </c>
      <c r="BD65" s="13">
        <f>IF('Données projet'!$A$88&gt;35,BD64+BC65-BL64,IF(A65&lt;'Données projet'!$A$88,$BA$205^A65,IF(A65='Données projet'!$A$88,'Données projet'!$B$88,BD64+BC65-BL64)))</f>
        <v>399.33333333333331</v>
      </c>
      <c r="BE65" s="14">
        <f>BD65*VLOOKUP('Données projet'!$B$11,Paramètres!$A$1:$I$89,3,0)*VLOOKUP('Données projet'!$B$11,Paramètres!$A$1:$I$89,5,0)</f>
        <v>186.88800000000001</v>
      </c>
      <c r="BF65" s="14">
        <f t="shared" si="37"/>
        <v>46.851273946133198</v>
      </c>
      <c r="BG65" s="22">
        <f t="shared" si="7"/>
        <v>407.09590212284866</v>
      </c>
      <c r="BH65" s="62">
        <f t="shared" si="8"/>
        <v>700.42923545618191</v>
      </c>
      <c r="BI65" s="62">
        <f ca="1">AVERAGE(OFFSET($BH$3,0,0,'Données projet'!$E$11+1,1))-AVERAGE(OFFSET($H$3,0,0,'Données projet'!$E$11+1,1))</f>
        <v>221.07273841880755</v>
      </c>
      <c r="BJ65" s="62">
        <f t="shared" si="38"/>
        <v>164.23448598618114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4.2</v>
      </c>
      <c r="BY65" s="13">
        <f>IF('Données projet'!$A$114&gt;35,BY64+BX65-CG64,IF(A65&lt;'Données projet'!$A$114,$BV$205^A65,IF(A65='Données projet'!$A$114,'Données projet'!$B$114,BY64+BX65-CG64)))</f>
        <v>241.39999999999986</v>
      </c>
      <c r="BZ65" s="14">
        <f>BY65*VLOOKUP('Données projet'!$B$12,Paramètres!$A$1:$I$89,3,0)*VLOOKUP('Données projet'!$B$12,Paramètres!$A$1:$I$89,5,0)</f>
        <v>192.05783999999991</v>
      </c>
      <c r="CA65" s="14">
        <f t="shared" si="39"/>
        <v>47.994626423840657</v>
      </c>
      <c r="CB65" s="22">
        <f t="shared" si="10"/>
        <v>418.0913790215223</v>
      </c>
      <c r="CC65" s="62">
        <f t="shared" si="11"/>
        <v>711.42471235485561</v>
      </c>
      <c r="CD65" s="62">
        <f ca="1">AVERAGE(OFFSET($CC$3,0,0,'Données projet'!$E$12+1,1))-AVERAGE(OFFSET($H$3,0,0,'Données projet'!$E$12+1,1))</f>
        <v>219.2279518699109</v>
      </c>
      <c r="CE65" s="62">
        <f t="shared" si="40"/>
        <v>219.59799863414099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4.0246921546543399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4.0246921546543399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2">
        <f t="shared" si="32"/>
        <v>10.501051622783336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70">
        <f t="shared" si="1"/>
        <v>371.53251490968091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153.59418465942997</v>
      </c>
      <c r="T66" s="62">
        <f t="shared" si="34"/>
        <v>313.61727210988198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51.397146976327896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2.869869347985817E-3</v>
      </c>
      <c r="AC66" s="24">
        <f t="shared" si="3"/>
        <v>51.400016845675879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16.625</v>
      </c>
      <c r="AI66" s="14">
        <f>IF('Données projet'!$A$62&gt;35,AI65+AH66-AQ65,IF(A66&lt;'Données projet'!$A$62,$AF$205^A66,IF(A66='Données projet'!$A$62,'Données projet'!$B$62,AI65+AH66-AQ65)))</f>
        <v>445.12500000000023</v>
      </c>
      <c r="AJ66" s="14">
        <f>AI66*VLOOKUP('Données projet'!$B$10,Paramètres!$A$1:$I$89,3,0)*VLOOKUP('Données projet'!$B$10,Paramètres!$A$1:$I$89,5,0)</f>
        <v>266.18475000000012</v>
      </c>
      <c r="AK66" s="14">
        <f t="shared" si="35"/>
        <v>64.038907529798962</v>
      </c>
      <c r="AL66" s="22">
        <f t="shared" si="4"/>
        <v>575.13953686440004</v>
      </c>
      <c r="AM66" s="62">
        <f t="shared" si="5"/>
        <v>868.4728701977333</v>
      </c>
      <c r="AN66" s="62">
        <f ca="1">AVERAGE(OFFSET($AM$3,0,0,'Données projet'!$E$10+1,1))-AVERAGE(OFFSET($H$3,0,0,'Données projet'!$E$10+1,1))</f>
        <v>288.15107951401188</v>
      </c>
      <c r="AO66" s="62">
        <f t="shared" si="36"/>
        <v>217.57508587672368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3.8717364195695416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1.479621105674163E-4</v>
      </c>
      <c r="AX66" s="23">
        <f t="shared" si="6"/>
        <v>3.871884381680109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>
        <f>VLOOKUP(A66,'Données projet'!$A$87:$I$107,2,0)</f>
        <v>416</v>
      </c>
      <c r="BB66" s="13">
        <f>VLOOKUP(A66,'Données projet'!$A$87:$I$107,9,0)</f>
        <v>16.666666666666668</v>
      </c>
      <c r="BC66" s="13">
        <f t="array" ref="BC66">INDEX(BB:BB,MIN(IF(ISNUMBER(BB66:BB262),ROW(BB66:BB262),"")))</f>
        <v>16.666666666666668</v>
      </c>
      <c r="BD66" s="13">
        <f>IF('Données projet'!$A$88&gt;35,BD65+BC66-BL65,IF(A66&lt;'Données projet'!$A$88,$BA$205^A66,IF(A66='Données projet'!$A$88,'Données projet'!$B$88,BD65+BC66-BL65)))</f>
        <v>416</v>
      </c>
      <c r="BE66" s="14">
        <f>BD66*VLOOKUP('Données projet'!$B$11,Paramètres!$A$1:$I$89,3,0)*VLOOKUP('Données projet'!$B$11,Paramètres!$A$1:$I$89,5,0)</f>
        <v>194.68799999999999</v>
      </c>
      <c r="BF66" s="14">
        <f t="shared" si="37"/>
        <v>48.574928228914978</v>
      </c>
      <c r="BG66" s="22">
        <f t="shared" si="7"/>
        <v>423.68293333202695</v>
      </c>
      <c r="BH66" s="62">
        <f t="shared" si="8"/>
        <v>717.01626666536026</v>
      </c>
      <c r="BI66" s="62">
        <f ca="1">AVERAGE(OFFSET($BH$3,0,0,'Données projet'!$E$11+1,1))-AVERAGE(OFFSET($H$3,0,0,'Données projet'!$E$11+1,1))</f>
        <v>221.07273841880755</v>
      </c>
      <c r="BJ66" s="62">
        <f t="shared" si="38"/>
        <v>164.23448598618114</v>
      </c>
      <c r="BK66" s="16">
        <f>IF(ISNA(VLOOKUP(A66,'Données projet'!$A$87:$I$107,3,0)),0,VLOOKUP(A66,'Données projet'!$A$87:$I$107,3,0))</f>
        <v>9</v>
      </c>
      <c r="BL66" s="16">
        <f>IF(ISNA(VLOOKUP(A66,'Données projet'!$A$87:$I$107,4,0)),0,VLOOKUP(A66,'Données projet'!$A$87:$I$107,4,0))</f>
        <v>79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4.2</v>
      </c>
      <c r="BY66" s="13">
        <f>IF('Données projet'!$A$114&gt;35,BY65+BX66-CG65,IF(A66&lt;'Données projet'!$A$114,$BV$205^A66,IF(A66='Données projet'!$A$114,'Données projet'!$B$114,BY65+BX66-CG65)))</f>
        <v>245.59999999999985</v>
      </c>
      <c r="BZ66" s="14">
        <f>BY66*VLOOKUP('Données projet'!$B$12,Paramètres!$A$1:$I$89,3,0)*VLOOKUP('Données projet'!$B$12,Paramètres!$A$1:$I$89,5,0)</f>
        <v>195.39935999999989</v>
      </c>
      <c r="CA66" s="14">
        <f t="shared" si="39"/>
        <v>48.731720948569951</v>
      </c>
      <c r="CB66" s="22">
        <f t="shared" si="10"/>
        <v>425.19496598542577</v>
      </c>
      <c r="CC66" s="62">
        <f t="shared" si="11"/>
        <v>718.52829931875908</v>
      </c>
      <c r="CD66" s="62">
        <f ca="1">AVERAGE(OFFSET($CC$3,0,0,'Données projet'!$E$12+1,1))-AVERAGE(OFFSET($H$3,0,0,'Données projet'!$E$12+1,1))</f>
        <v>219.2279518699109</v>
      </c>
      <c r="CE66" s="62">
        <f t="shared" si="40"/>
        <v>219.59799863414099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3.9457703963213895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3.9457703963213895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2">
        <f t="shared" si="32"/>
        <v>10.648197775908036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70">
        <f t="shared" si="1"/>
        <v>372.73974445970646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153.59418465942997</v>
      </c>
      <c r="T67" s="62">
        <f t="shared" si="34"/>
        <v>313.61727210988198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50.389280273286289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2.0293040770801869E-3</v>
      </c>
      <c r="AC67" s="24">
        <f t="shared" si="3"/>
        <v>50.391309577363366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16.625</v>
      </c>
      <c r="AI67" s="14">
        <f>IF('Données projet'!$A$62&gt;35,AI66+AH67-AQ66,IF(A67&lt;'Données projet'!$A$62,$AF$205^A67,IF(A67='Données projet'!$A$62,'Données projet'!$B$62,AI66+AH67-AQ66)))</f>
        <v>461.75000000000023</v>
      </c>
      <c r="AJ67" s="14">
        <f>AI67*VLOOKUP('Données projet'!$B$10,Paramètres!$A$1:$I$89,3,0)*VLOOKUP('Données projet'!$B$10,Paramètres!$A$1:$I$89,5,0)</f>
        <v>276.12650000000014</v>
      </c>
      <c r="AK67" s="14">
        <f t="shared" si="35"/>
        <v>66.147764494536631</v>
      </c>
      <c r="AL67" s="22">
        <f t="shared" si="4"/>
        <v>596.12767732798477</v>
      </c>
      <c r="AM67" s="62">
        <f t="shared" si="5"/>
        <v>889.46101066131814</v>
      </c>
      <c r="AN67" s="62">
        <f ca="1">AVERAGE(OFFSET($AM$3,0,0,'Données projet'!$E$10+1,1))-AVERAGE(OFFSET($H$3,0,0,'Données projet'!$E$10+1,1))</f>
        <v>288.15107951401188</v>
      </c>
      <c r="AO67" s="62">
        <f t="shared" si="36"/>
        <v>217.57508587672368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3.7958140299078176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1.0462501174089379E-4</v>
      </c>
      <c r="AX67" s="23">
        <f t="shared" si="6"/>
        <v>3.7959186549195585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>
        <f>VLOOKUP(A67,'Données projet'!$A$87:$I$107,2,0)</f>
        <v>353</v>
      </c>
      <c r="BB67" s="13">
        <f>VLOOKUP(A67,'Données projet'!$A$87:$I$107,9,0)</f>
        <v>16</v>
      </c>
      <c r="BC67" s="13">
        <f t="array" ref="BC67">INDEX(BB:BB,MIN(IF(ISNUMBER(BB67:BB263),ROW(BB67:BB263),"")))</f>
        <v>16</v>
      </c>
      <c r="BD67" s="13">
        <f>IF('Données projet'!$A$88&gt;35,BD66+BC67-BL66,IF(A67&lt;'Données projet'!$A$88,$BA$205^A67,IF(A67='Données projet'!$A$88,'Données projet'!$B$88,BD66+BC67-BL66)))</f>
        <v>353</v>
      </c>
      <c r="BE67" s="14">
        <f>BD67*VLOOKUP('Données projet'!$B$11,Paramètres!$A$1:$I$89,3,0)*VLOOKUP('Données projet'!$B$11,Paramètres!$A$1:$I$89,5,0)</f>
        <v>165.20400000000001</v>
      </c>
      <c r="BF67" s="14">
        <f t="shared" si="37"/>
        <v>42.01409666579589</v>
      </c>
      <c r="BG67" s="22">
        <f t="shared" si="7"/>
        <v>360.90485169292782</v>
      </c>
      <c r="BH67" s="62">
        <f t="shared" si="8"/>
        <v>654.23818502626114</v>
      </c>
      <c r="BI67" s="62">
        <f ca="1">AVERAGE(OFFSET($BH$3,0,0,'Données projet'!$E$11+1,1))-AVERAGE(OFFSET($H$3,0,0,'Données projet'!$E$11+1,1))</f>
        <v>221.07273841880755</v>
      </c>
      <c r="BJ67" s="62">
        <f t="shared" si="38"/>
        <v>164.23448598618114</v>
      </c>
      <c r="BK67" s="16">
        <f>IF(ISNA(VLOOKUP(A67,'Données projet'!$A$87:$I$107,3,0)),0,VLOOKUP(A67,'Données projet'!$A$87:$I$107,3,0))</f>
        <v>10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4.2</v>
      </c>
      <c r="BY67" s="13">
        <f>IF('Données projet'!$A$114&gt;35,BY66+BX67-CG66,IF(A67&lt;'Données projet'!$A$114,$BV$205^A67,IF(A67='Données projet'!$A$114,'Données projet'!$B$114,BY66+BX67-CG66)))</f>
        <v>249.79999999999984</v>
      </c>
      <c r="BZ67" s="14">
        <f>BY67*VLOOKUP('Données projet'!$B$12,Paramètres!$A$1:$I$89,3,0)*VLOOKUP('Données projet'!$B$12,Paramètres!$A$1:$I$89,5,0)</f>
        <v>198.74087999999989</v>
      </c>
      <c r="CA67" s="14">
        <f t="shared" si="39"/>
        <v>49.467349630825595</v>
      </c>
      <c r="CB67" s="22">
        <f t="shared" si="10"/>
        <v>432.29599994035442</v>
      </c>
      <c r="CC67" s="62">
        <f t="shared" si="11"/>
        <v>725.62933327368773</v>
      </c>
      <c r="CD67" s="62">
        <f ca="1">AVERAGE(OFFSET($CC$3,0,0,'Données projet'!$E$12+1,1))-AVERAGE(OFFSET($H$3,0,0,'Données projet'!$E$12+1,1))</f>
        <v>219.2279518699109</v>
      </c>
      <c r="CE67" s="62">
        <f t="shared" si="40"/>
        <v>219.59799863414099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3.8683962455318288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3.8683962455318288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2">
        <f t="shared" si="32"/>
        <v>10.795076538684501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70">
        <f t="shared" ref="H68:H131" si="56">(B68+E68+F68)*44/12+(C68+D68)*0.475*44/12</f>
        <v>373.94650830487547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153.59418465942997</v>
      </c>
      <c r="T68" s="62">
        <f t="shared" si="34"/>
        <v>313.61727210988198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49.40117722155334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1.4349346739929085E-3</v>
      </c>
      <c r="AC68" s="24">
        <f t="shared" ref="AC68:AC131" si="57">SUM(Z68:AB68)</f>
        <v>49.402612156227335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16.625</v>
      </c>
      <c r="AI68" s="14">
        <f>IF('Données projet'!$A$62&gt;35,AI67+AH68-AQ67,IF(A68&lt;'Données projet'!$A$62,$AF$205^A68,IF(A68='Données projet'!$A$62,'Données projet'!$B$62,AI67+AH68-AQ67)))</f>
        <v>478.37500000000023</v>
      </c>
      <c r="AJ68" s="14">
        <f>AI68*VLOOKUP('Données projet'!$B$10,Paramètres!$A$1:$I$89,3,0)*VLOOKUP('Données projet'!$B$10,Paramètres!$A$1:$I$89,5,0)</f>
        <v>286.06825000000015</v>
      </c>
      <c r="AK68" s="14">
        <f t="shared" si="35"/>
        <v>68.247799922382882</v>
      </c>
      <c r="AL68" s="22">
        <f t="shared" ref="AL68:AL131" si="58">(AJ68+AK68)*0.475*44/12</f>
        <v>617.10045361481707</v>
      </c>
      <c r="AM68" s="62">
        <f t="shared" ref="AM68:AM131" si="59">AL68+(AD68+AE68)*44/12</f>
        <v>910.43378694815033</v>
      </c>
      <c r="AN68" s="62">
        <f ca="1">AVERAGE(OFFSET($AM$3,0,0,'Données projet'!$E$10+1,1))-AVERAGE(OFFSET($H$3,0,0,'Données projet'!$E$10+1,1))</f>
        <v>288.15107951401188</v>
      </c>
      <c r="AO68" s="62">
        <f t="shared" si="36"/>
        <v>217.57508587672368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3.7213804319992749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7.3981055283708149E-5</v>
      </c>
      <c r="AX68" s="23">
        <f t="shared" ref="AX68:AX131" si="60">SUM(AU68:AW68)</f>
        <v>3.7214544130545586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16.142857142857142</v>
      </c>
      <c r="BD68" s="13">
        <f>IF('Données projet'!$A$88&gt;35,BD67+BC68-BL67,IF(A68&lt;'Données projet'!$A$88,$BA$205^A68,IF(A68='Données projet'!$A$88,'Données projet'!$B$88,BD67+BC68-BL67)))</f>
        <v>369.14285714285717</v>
      </c>
      <c r="BE68" s="14">
        <f>BD68*VLOOKUP('Données projet'!$B$11,Paramètres!$A$1:$I$89,3,0)*VLOOKUP('Données projet'!$B$11,Paramètres!$A$1:$I$89,5,0)</f>
        <v>172.75885714285715</v>
      </c>
      <c r="BF68" s="14">
        <f t="shared" si="37"/>
        <v>43.707335703690283</v>
      </c>
      <c r="BG68" s="22">
        <f t="shared" ref="BG68:BG131" si="61">(BE68+BF68)*0.475*44/12</f>
        <v>377.01195254107012</v>
      </c>
      <c r="BH68" s="62">
        <f t="shared" ref="BH68:BH131" si="62">BG68+(AY68+AZ68)*44/12</f>
        <v>670.34528587440343</v>
      </c>
      <c r="BI68" s="62">
        <f ca="1">AVERAGE(OFFSET($BH$3,0,0,'Données projet'!$E$11+1,1))-AVERAGE(OFFSET($H$3,0,0,'Données projet'!$E$11+1,1))</f>
        <v>221.07273841880755</v>
      </c>
      <c r="BJ68" s="62">
        <f t="shared" si="38"/>
        <v>164.23448598618114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254</v>
      </c>
      <c r="BW68" s="13">
        <f>VLOOKUP(A68,'Données projet'!$A$113:$I$133,9,0)</f>
        <v>4.2</v>
      </c>
      <c r="BX68" s="13">
        <f t="array" ref="BX68">INDEX(BW:BW,MIN(IF(ISNUMBER(BW68:BW264),ROW(BW68:BW264),"")))</f>
        <v>4.2</v>
      </c>
      <c r="BY68" s="13">
        <f>IF('Données projet'!$A$114&gt;35,BY67+BX68-CG67,IF(A68&lt;'Données projet'!$A$114,$BV$205^A68,IF(A68='Données projet'!$A$114,'Données projet'!$B$114,BY67+BX68-CG67)))</f>
        <v>253.99999999999983</v>
      </c>
      <c r="BZ68" s="14">
        <f>BY68*VLOOKUP('Données projet'!$B$12,Paramètres!$A$1:$I$89,3,0)*VLOOKUP('Données projet'!$B$12,Paramètres!$A$1:$I$89,5,0)</f>
        <v>202.08239999999986</v>
      </c>
      <c r="CA68" s="14">
        <f t="shared" si="39"/>
        <v>50.201539960960616</v>
      </c>
      <c r="CB68" s="22">
        <f t="shared" ref="CB68:CB131" si="64">(BZ68+CA68)*0.475*44/12</f>
        <v>439.39452876533943</v>
      </c>
      <c r="CC68" s="62">
        <f t="shared" ref="CC68:CC131" si="65">CB68+(BT68+BU68)*44/12</f>
        <v>732.72786209867274</v>
      </c>
      <c r="CD68" s="62">
        <f ca="1">AVERAGE(OFFSET($CC$3,0,0,'Données projet'!$E$12+1,1))-AVERAGE(OFFSET($H$3,0,0,'Données projet'!$E$12+1,1))</f>
        <v>219.2279518699109</v>
      </c>
      <c r="CE68" s="62">
        <f t="shared" si="40"/>
        <v>219.59799863414099</v>
      </c>
      <c r="CF68" s="16">
        <f>IF(ISNA(VLOOKUP(A68,'Données projet'!$A$113:$I$133,3,0)),0,VLOOKUP(A68,'Données projet'!$A$113:$I$133,3,0))</f>
        <v>11</v>
      </c>
      <c r="CG68" s="16">
        <f>IF(ISNA(VLOOKUP(A68,'Données projet'!$A$113:$I$133,4,0)),0,VLOOKUP(A68,'Données projet'!$A$113:$I$133,4,0))</f>
        <v>11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3.7925393546456792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3.7925393546456792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2">
        <f t="shared" ref="D69:D132" si="86">IFERROR(EXP(-1.0587+0.8836*LN(C69)+0.284),0)</f>
        <v>10.941692499899732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70">
        <f t="shared" si="56"/>
        <v>375.15281443732528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153.59418465942997</v>
      </c>
      <c r="T69" s="62">
        <f t="shared" ref="T69:T132" si="88">$T$3</f>
        <v>313.61727210988198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48.432450267981523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1.0146520385400934E-3</v>
      </c>
      <c r="AC69" s="24">
        <f t="shared" si="57"/>
        <v>48.433464920020064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>
        <f>VLOOKUP(A69,'Données projet'!$A$61:$I$81,2,0)</f>
        <v>495</v>
      </c>
      <c r="AG69" s="13">
        <f>VLOOKUP(A69,'Données projet'!$A$61:$I$81,9,0)</f>
        <v>16.625</v>
      </c>
      <c r="AH69" s="13">
        <f t="array" ref="AH69">INDEX(AG:AG,MIN(IF(ISNUMBER(AG69:AG265),ROW(AG69:AG265),"")))</f>
        <v>16.625</v>
      </c>
      <c r="AI69" s="14">
        <f>IF('Données projet'!$A$62&gt;35,AI68+AH69-AQ68,IF(A69&lt;'Données projet'!$A$62,$AF$205^A69,IF(A69='Données projet'!$A$62,'Données projet'!$B$62,AI68+AH69-AQ68)))</f>
        <v>495.00000000000023</v>
      </c>
      <c r="AJ69" s="14">
        <f>AI69*VLOOKUP('Données projet'!$B$10,Paramètres!$A$1:$I$89,3,0)*VLOOKUP('Données projet'!$B$10,Paramètres!$A$1:$I$89,5,0)</f>
        <v>296.01000000000016</v>
      </c>
      <c r="AK69" s="14">
        <f t="shared" ref="AK69:AK132" si="89">EXP(-1.0587+0.8836*LN(AJ69)+0.284)</f>
        <v>70.339355522692216</v>
      </c>
      <c r="AL69" s="22">
        <f t="shared" si="58"/>
        <v>638.05846086868917</v>
      </c>
      <c r="AM69" s="62">
        <f t="shared" si="59"/>
        <v>931.39179420202254</v>
      </c>
      <c r="AN69" s="62">
        <f ca="1">AVERAGE(OFFSET($AM$3,0,0,'Données projet'!$E$10+1,1))-AVERAGE(OFFSET($H$3,0,0,'Données projet'!$E$10+1,1))</f>
        <v>288.15107951401188</v>
      </c>
      <c r="AO69" s="62">
        <f t="shared" ref="AO69:AO132" si="90">$AO$3</f>
        <v>217.57508587672368</v>
      </c>
      <c r="AP69" s="16">
        <f>IF(ISNA(VLOOKUP(A69,'Données projet'!$A$61:$I$81,3,0)),0,VLOOKUP(A69,'Données projet'!$A$61:$I$81,3,0))</f>
        <v>9</v>
      </c>
      <c r="AQ69" s="16">
        <f>IF(ISNA(VLOOKUP(A69,'Données projet'!$A$61:$I$81,4,0)),0,VLOOKUP(A69,'Données projet'!$A$61:$I$81,4,0))</f>
        <v>65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3.6484064315457068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5.2312505870446894E-5</v>
      </c>
      <c r="AX69" s="23">
        <f t="shared" si="60"/>
        <v>3.648458744051577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16.142857142857142</v>
      </c>
      <c r="BD69" s="13">
        <f>IF('Données projet'!$A$88&gt;35,BD68+BC69-BL68,IF(A69&lt;'Données projet'!$A$88,$BA$205^A69,IF(A69='Données projet'!$A$88,'Données projet'!$B$88,BD68+BC69-BL68)))</f>
        <v>385.28571428571433</v>
      </c>
      <c r="BE69" s="14">
        <f>BD69*VLOOKUP('Données projet'!$B$11,Paramètres!$A$1:$I$89,3,0)*VLOOKUP('Données projet'!$B$11,Paramètres!$A$1:$I$89,5,0)</f>
        <v>180.3137142857143</v>
      </c>
      <c r="BF69" s="14">
        <f t="shared" ref="BF69:BF132" si="91">EXP(-1.0587+0.8836*LN(BE69)+0.284)</f>
        <v>45.391974740208404</v>
      </c>
      <c r="BG69" s="22">
        <f t="shared" si="61"/>
        <v>393.10407505348206</v>
      </c>
      <c r="BH69" s="62">
        <f t="shared" si="62"/>
        <v>686.43740838681538</v>
      </c>
      <c r="BI69" s="62">
        <f ca="1">AVERAGE(OFFSET($BH$3,0,0,'Données projet'!$E$11+1,1))-AVERAGE(OFFSET($H$3,0,0,'Données projet'!$E$11+1,1))</f>
        <v>221.07273841880755</v>
      </c>
      <c r="BJ69" s="62">
        <f t="shared" ref="BJ69:BJ132" si="92">$BJ$3</f>
        <v>164.23448598618114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3.8</v>
      </c>
      <c r="BY69" s="13">
        <f>IF('Données projet'!$A$114&gt;35,BY68+BX69-CG68,IF(A69&lt;'Données projet'!$A$114,$BV$205^A69,IF(A69='Données projet'!$A$114,'Données projet'!$B$114,BY68+BX69-CG68)))</f>
        <v>246.79999999999984</v>
      </c>
      <c r="BZ69" s="14">
        <f>BY69*VLOOKUP('Données projet'!$B$12,Paramètres!$A$1:$I$89,3,0)*VLOOKUP('Données projet'!$B$12,Paramètres!$A$1:$I$89,5,0)</f>
        <v>196.3540799999999</v>
      </c>
      <c r="CA69" s="14">
        <f t="shared" ref="CA69:CA132" si="93">EXP(-1.0587+0.8836*LN(BZ69)+0.284)</f>
        <v>48.942048927099528</v>
      </c>
      <c r="CB69" s="22">
        <f t="shared" si="64"/>
        <v>427.22409121469815</v>
      </c>
      <c r="CC69" s="62">
        <f t="shared" si="65"/>
        <v>720.55742454803146</v>
      </c>
      <c r="CD69" s="62">
        <f ca="1">AVERAGE(OFFSET($CC$3,0,0,'Données projet'!$E$12+1,1))-AVERAGE(OFFSET($H$3,0,0,'Données projet'!$E$12+1,1))</f>
        <v>219.2279518699109</v>
      </c>
      <c r="CE69" s="62">
        <f t="shared" ref="CE69:CE132" si="94">$CE$3</f>
        <v>219.59799863414099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3.718169971121672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3.718169971121672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2">
        <f t="shared" si="86"/>
        <v>11.088050101306514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70">
        <f t="shared" si="56"/>
        <v>376.3586705931088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153.59418465942997</v>
      </c>
      <c r="T70" s="62">
        <f t="shared" si="88"/>
        <v>313.61727210988198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47.482719459104146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7.1746733699645424E-4</v>
      </c>
      <c r="AC70" s="24">
        <f t="shared" si="57"/>
        <v>47.483436926441144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12.875</v>
      </c>
      <c r="AI70" s="14">
        <f>IF('Données projet'!$A$62&gt;35,AI69+AH70-AQ69,IF(A70&lt;'Données projet'!$A$62,$AF$205^A70,IF(A70='Données projet'!$A$62,'Données projet'!$B$62,AI69+AH70-AQ69)))</f>
        <v>442.87500000000023</v>
      </c>
      <c r="AJ70" s="14">
        <f>AI70*VLOOKUP('Données projet'!$B$10,Paramètres!$A$1:$I$89,3,0)*VLOOKUP('Données projet'!$B$10,Paramètres!$A$1:$I$89,5,0)</f>
        <v>264.83925000000016</v>
      </c>
      <c r="AK70" s="14">
        <f t="shared" si="89"/>
        <v>63.752800756768153</v>
      </c>
      <c r="AL70" s="22">
        <f t="shared" si="58"/>
        <v>572.29782173470483</v>
      </c>
      <c r="AM70" s="62">
        <f t="shared" si="59"/>
        <v>865.6311550680382</v>
      </c>
      <c r="AN70" s="62">
        <f ca="1">AVERAGE(OFFSET($AM$3,0,0,'Données projet'!$E$10+1,1))-AVERAGE(OFFSET($H$3,0,0,'Données projet'!$E$10+1,1))</f>
        <v>288.15107951401188</v>
      </c>
      <c r="AO70" s="62">
        <f t="shared" si="90"/>
        <v>217.57508587672368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3.5768634067312877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3.6990527641854074E-5</v>
      </c>
      <c r="AX70" s="23">
        <f t="shared" si="60"/>
        <v>3.5769003972589295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16.142857142857142</v>
      </c>
      <c r="BD70" s="13">
        <f>IF('Données projet'!$A$88&gt;35,BD69+BC70-BL69,IF(A70&lt;'Données projet'!$A$88,$BA$205^A70,IF(A70='Données projet'!$A$88,'Données projet'!$B$88,BD69+BC70-BL69)))</f>
        <v>401.4285714285715</v>
      </c>
      <c r="BE70" s="14">
        <f>BD70*VLOOKUP('Données projet'!$B$11,Paramètres!$A$1:$I$89,3,0)*VLOOKUP('Données projet'!$B$11,Paramètres!$A$1:$I$89,5,0)</f>
        <v>187.86857142857147</v>
      </c>
      <c r="BF70" s="14">
        <f t="shared" si="91"/>
        <v>47.068415303981318</v>
      </c>
      <c r="BG70" s="22">
        <f t="shared" si="61"/>
        <v>409.18191855919605</v>
      </c>
      <c r="BH70" s="62">
        <f t="shared" si="62"/>
        <v>702.51525189252936</v>
      </c>
      <c r="BI70" s="62">
        <f ca="1">AVERAGE(OFFSET($BH$3,0,0,'Données projet'!$E$11+1,1))-AVERAGE(OFFSET($H$3,0,0,'Données projet'!$E$11+1,1))</f>
        <v>221.07273841880755</v>
      </c>
      <c r="BJ70" s="62">
        <f t="shared" si="92"/>
        <v>164.23448598618114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3.8</v>
      </c>
      <c r="BY70" s="13">
        <f>IF('Données projet'!$A$114&gt;35,BY69+BX70-CG69,IF(A70&lt;'Données projet'!$A$114,$BV$205^A70,IF(A70='Données projet'!$A$114,'Données projet'!$B$114,BY69+BX70-CG69)))</f>
        <v>250.59999999999985</v>
      </c>
      <c r="BZ70" s="14">
        <f>BY70*VLOOKUP('Données projet'!$B$12,Paramètres!$A$1:$I$89,3,0)*VLOOKUP('Données projet'!$B$12,Paramètres!$A$1:$I$89,5,0)</f>
        <v>199.3773599999999</v>
      </c>
      <c r="CA70" s="14">
        <f t="shared" si="93"/>
        <v>49.607305476717762</v>
      </c>
      <c r="CB70" s="22">
        <f t="shared" si="64"/>
        <v>433.64829237194994</v>
      </c>
      <c r="CC70" s="62">
        <f t="shared" si="65"/>
        <v>726.98162570528325</v>
      </c>
      <c r="CD70" s="62">
        <f ca="1">AVERAGE(OFFSET($CC$3,0,0,'Données projet'!$E$12+1,1))-AVERAGE(OFFSET($H$3,0,0,'Données projet'!$E$12+1,1))</f>
        <v>219.2279518699109</v>
      </c>
      <c r="CE70" s="62">
        <f t="shared" si="94"/>
        <v>219.59799863414099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3.6452589258477257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3.6452589258477257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2">
        <f t="shared" si="86"/>
        <v>11.234153644457548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70">
        <f t="shared" si="56"/>
        <v>377.56408426409683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153.59418465942997</v>
      </c>
      <c r="T71" s="62">
        <f t="shared" si="88"/>
        <v>313.61727210988198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46.551612292110264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5.0732601927004671E-4</v>
      </c>
      <c r="AC71" s="24">
        <f t="shared" si="57"/>
        <v>46.552119618129531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12.875</v>
      </c>
      <c r="AI71" s="14">
        <f>IF('Données projet'!$A$62&gt;35,AI70+AH71-AQ70,IF(A71&lt;'Données projet'!$A$62,$AF$205^A71,IF(A71='Données projet'!$A$62,'Données projet'!$B$62,AI70+AH71-AQ70)))</f>
        <v>455.75000000000023</v>
      </c>
      <c r="AJ71" s="14">
        <f>AI71*VLOOKUP('Données projet'!$B$10,Paramètres!$A$1:$I$89,3,0)*VLOOKUP('Données projet'!$B$10,Paramètres!$A$1:$I$89,5,0)</f>
        <v>272.53850000000017</v>
      </c>
      <c r="AK71" s="14">
        <f t="shared" si="89"/>
        <v>65.387709293034959</v>
      </c>
      <c r="AL71" s="22">
        <f t="shared" si="58"/>
        <v>588.55481451870276</v>
      </c>
      <c r="AM71" s="62">
        <f t="shared" si="59"/>
        <v>881.88814785203613</v>
      </c>
      <c r="AN71" s="62">
        <f ca="1">AVERAGE(OFFSET($AM$3,0,0,'Données projet'!$E$10+1,1))-AVERAGE(OFFSET($H$3,0,0,'Données projet'!$E$10+1,1))</f>
        <v>288.15107951401188</v>
      </c>
      <c r="AO71" s="62">
        <f t="shared" si="90"/>
        <v>217.57508587672368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3.5067232969965429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2.6156252935223447E-5</v>
      </c>
      <c r="AX71" s="23">
        <f t="shared" si="60"/>
        <v>3.5067494532494781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16.142857142857142</v>
      </c>
      <c r="BD71" s="13">
        <f>IF('Données projet'!$A$88&gt;35,BD70+BC71-BL70,IF(A71&lt;'Données projet'!$A$88,$BA$205^A71,IF(A71='Données projet'!$A$88,'Données projet'!$B$88,BD70+BC71-BL70)))</f>
        <v>417.57142857142867</v>
      </c>
      <c r="BE71" s="14">
        <f>BD71*VLOOKUP('Données projet'!$B$11,Paramètres!$A$1:$I$89,3,0)*VLOOKUP('Données projet'!$B$11,Paramètres!$A$1:$I$89,5,0)</f>
        <v>195.42342857142864</v>
      </c>
      <c r="BF71" s="14">
        <f t="shared" si="91"/>
        <v>48.737024802067147</v>
      </c>
      <c r="BG71" s="22">
        <f t="shared" si="61"/>
        <v>425.24612295883844</v>
      </c>
      <c r="BH71" s="62">
        <f t="shared" si="62"/>
        <v>718.5794562921717</v>
      </c>
      <c r="BI71" s="62">
        <f ca="1">AVERAGE(OFFSET($BH$3,0,0,'Données projet'!$E$11+1,1))-AVERAGE(OFFSET($H$3,0,0,'Données projet'!$E$11+1,1))</f>
        <v>221.07273841880755</v>
      </c>
      <c r="BJ71" s="62">
        <f t="shared" si="92"/>
        <v>164.23448598618114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3.8</v>
      </c>
      <c r="BY71" s="13">
        <f>IF('Données projet'!$A$114&gt;35,BY70+BX71-CG70,IF(A71&lt;'Données projet'!$A$114,$BV$205^A71,IF(A71='Données projet'!$A$114,'Données projet'!$B$114,BY70+BX71-CG70)))</f>
        <v>254.39999999999986</v>
      </c>
      <c r="BZ71" s="14">
        <f>BY71*VLOOKUP('Données projet'!$B$12,Paramètres!$A$1:$I$89,3,0)*VLOOKUP('Données projet'!$B$12,Paramètres!$A$1:$I$89,5,0)</f>
        <v>202.40063999999992</v>
      </c>
      <c r="CA71" s="14">
        <f t="shared" si="93"/>
        <v>50.271388807440687</v>
      </c>
      <c r="CB71" s="22">
        <f t="shared" si="64"/>
        <v>440.070450172959</v>
      </c>
      <c r="CC71" s="62">
        <f t="shared" si="65"/>
        <v>733.40378350629226</v>
      </c>
      <c r="CD71" s="62">
        <f ca="1">AVERAGE(OFFSET($CC$3,0,0,'Données projet'!$E$12+1,1))-AVERAGE(OFFSET($H$3,0,0,'Données projet'!$E$12+1,1))</f>
        <v>219.2279518699109</v>
      </c>
      <c r="CE71" s="62">
        <f t="shared" si="94"/>
        <v>219.59799863414099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3.573777621700255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3.573777621700255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2">
        <f t="shared" si="86"/>
        <v>11.380007297126165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70">
        <f t="shared" si="56"/>
        <v>378.76906270916135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153.59418465942997</v>
      </c>
      <c r="T72" s="62">
        <f t="shared" si="88"/>
        <v>313.61727210988198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45.638763568741837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3.5873366849822712E-4</v>
      </c>
      <c r="AC72" s="24">
        <f t="shared" si="57"/>
        <v>45.639122302410335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12.875</v>
      </c>
      <c r="AI72" s="14">
        <f>IF('Données projet'!$A$62&gt;35,AI71+AH72-AQ71,IF(A72&lt;'Données projet'!$A$62,$AF$205^A72,IF(A72='Données projet'!$A$62,'Données projet'!$B$62,AI71+AH72-AQ71)))</f>
        <v>468.62500000000023</v>
      </c>
      <c r="AJ72" s="14">
        <f>AI72*VLOOKUP('Données projet'!$B$10,Paramètres!$A$1:$I$89,3,0)*VLOOKUP('Données projet'!$B$10,Paramètres!$A$1:$I$89,5,0)</f>
        <v>280.23775000000018</v>
      </c>
      <c r="AK72" s="14">
        <f t="shared" si="89"/>
        <v>67.017249808465209</v>
      </c>
      <c r="AL72" s="22">
        <f t="shared" si="58"/>
        <v>604.80245799974387</v>
      </c>
      <c r="AM72" s="62">
        <f t="shared" si="59"/>
        <v>898.13579133307712</v>
      </c>
      <c r="AN72" s="62">
        <f ca="1">AVERAGE(OFFSET($AM$3,0,0,'Données projet'!$E$10+1,1))-AVERAGE(OFFSET($H$3,0,0,'Données projet'!$E$10+1,1))</f>
        <v>288.15107951401188</v>
      </c>
      <c r="AO72" s="62">
        <f t="shared" si="90"/>
        <v>217.57508587672368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3.4379585920324542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1.8495263820927037E-5</v>
      </c>
      <c r="AX72" s="23">
        <f t="shared" si="60"/>
        <v>3.4379770872962752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16.142857142857142</v>
      </c>
      <c r="BD72" s="13">
        <f>IF('Données projet'!$A$88&gt;35,BD71+BC72-BL71,IF(A72&lt;'Données projet'!$A$88,$BA$205^A72,IF(A72='Données projet'!$A$88,'Données projet'!$B$88,BD71+BC72-BL71)))</f>
        <v>433.71428571428584</v>
      </c>
      <c r="BE72" s="14">
        <f>BD72*VLOOKUP('Données projet'!$B$11,Paramètres!$A$1:$I$89,3,0)*VLOOKUP('Données projet'!$B$11,Paramètres!$A$1:$I$89,5,0)</f>
        <v>202.97828571428576</v>
      </c>
      <c r="BF72" s="14">
        <f t="shared" si="91"/>
        <v>50.398140625785402</v>
      </c>
      <c r="BG72" s="22">
        <f t="shared" si="61"/>
        <v>441.29727587562394</v>
      </c>
      <c r="BH72" s="62">
        <f t="shared" si="62"/>
        <v>734.63060920895725</v>
      </c>
      <c r="BI72" s="62">
        <f ca="1">AVERAGE(OFFSET($BH$3,0,0,'Données projet'!$E$11+1,1))-AVERAGE(OFFSET($H$3,0,0,'Données projet'!$E$11+1,1))</f>
        <v>221.07273841880755</v>
      </c>
      <c r="BJ72" s="62">
        <f t="shared" si="92"/>
        <v>164.23448598618114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3.8</v>
      </c>
      <c r="BY72" s="13">
        <f>IF('Données projet'!$A$114&gt;35,BY71+BX72-CG71,IF(A72&lt;'Données projet'!$A$114,$BV$205^A72,IF(A72='Données projet'!$A$114,'Données projet'!$B$114,BY71+BX72-CG71)))</f>
        <v>258.19999999999987</v>
      </c>
      <c r="BZ72" s="14">
        <f>BY72*VLOOKUP('Données projet'!$B$12,Paramètres!$A$1:$I$89,3,0)*VLOOKUP('Données projet'!$B$12,Paramètres!$A$1:$I$89,5,0)</f>
        <v>205.4239199999999</v>
      </c>
      <c r="CA72" s="14">
        <f t="shared" si="93"/>
        <v>50.934318468081216</v>
      </c>
      <c r="CB72" s="22">
        <f t="shared" si="64"/>
        <v>446.49059866524129</v>
      </c>
      <c r="CC72" s="62">
        <f t="shared" si="65"/>
        <v>739.82393199857461</v>
      </c>
      <c r="CD72" s="62">
        <f ca="1">AVERAGE(OFFSET($CC$3,0,0,'Données projet'!$E$12+1,1))-AVERAGE(OFFSET($H$3,0,0,'Données projet'!$E$12+1,1))</f>
        <v>219.2279518699109</v>
      </c>
      <c r="CE72" s="62">
        <f t="shared" si="94"/>
        <v>219.59799863414099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3.5036980223278258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3.5036980223278258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2">
        <f t="shared" si="86"/>
        <v>11.525615099344252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70">
        <f t="shared" si="56"/>
        <v>379.97361296469114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153.59418465942997</v>
      </c>
      <c r="T73" s="62">
        <f t="shared" si="88"/>
        <v>313.61727210988198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44.743815252055924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2.5366300963502336E-4</v>
      </c>
      <c r="AC73" s="24">
        <f t="shared" si="57"/>
        <v>44.744068915065561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12.875</v>
      </c>
      <c r="AI73" s="14">
        <f>IF('Données projet'!$A$62&gt;35,AI72+AH73-AQ72,IF(A73&lt;'Données projet'!$A$62,$AF$205^A73,IF(A73='Données projet'!$A$62,'Données projet'!$B$62,AI72+AH73-AQ72)))</f>
        <v>481.50000000000023</v>
      </c>
      <c r="AJ73" s="14">
        <f>AI73*VLOOKUP('Données projet'!$B$10,Paramètres!$A$1:$I$89,3,0)*VLOOKUP('Données projet'!$B$10,Paramètres!$A$1:$I$89,5,0)</f>
        <v>287.93700000000018</v>
      </c>
      <c r="AK73" s="14">
        <f t="shared" si="89"/>
        <v>68.641586729718213</v>
      </c>
      <c r="AL73" s="22">
        <f t="shared" si="58"/>
        <v>621.04103855425944</v>
      </c>
      <c r="AM73" s="62">
        <f t="shared" si="59"/>
        <v>914.37437188759282</v>
      </c>
      <c r="AN73" s="62">
        <f ca="1">AVERAGE(OFFSET($AM$3,0,0,'Données projet'!$E$10+1,1))-AVERAGE(OFFSET($H$3,0,0,'Données projet'!$E$10+1,1))</f>
        <v>288.15107951401188</v>
      </c>
      <c r="AO73" s="62">
        <f t="shared" si="90"/>
        <v>217.57508587672368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3.3705423209903826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1.3078126467611724E-5</v>
      </c>
      <c r="AX73" s="23">
        <f t="shared" si="60"/>
        <v>3.3705553991168502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16.142857142857142</v>
      </c>
      <c r="BD73" s="13">
        <f>IF('Données projet'!$A$88&gt;35,BD72+BC73-BL72,IF(A73&lt;'Données projet'!$A$88,$BA$205^A73,IF(A73='Données projet'!$A$88,'Données projet'!$B$88,BD72+BC73-BL72)))</f>
        <v>449.857142857143</v>
      </c>
      <c r="BE73" s="14">
        <f>BD73*VLOOKUP('Données projet'!$B$11,Paramètres!$A$1:$I$89,3,0)*VLOOKUP('Données projet'!$B$11,Paramètres!$A$1:$I$89,5,0)</f>
        <v>210.53314285714293</v>
      </c>
      <c r="BF73" s="14">
        <f t="shared" si="91"/>
        <v>52.052073628089957</v>
      </c>
      <c r="BG73" s="22">
        <f t="shared" si="61"/>
        <v>457.33591871178055</v>
      </c>
      <c r="BH73" s="62">
        <f t="shared" si="62"/>
        <v>750.66925204511381</v>
      </c>
      <c r="BI73" s="62">
        <f ca="1">AVERAGE(OFFSET($BH$3,0,0,'Données projet'!$E$11+1,1))-AVERAGE(OFFSET($H$3,0,0,'Données projet'!$E$11+1,1))</f>
        <v>221.07273841880755</v>
      </c>
      <c r="BJ73" s="62">
        <f t="shared" si="92"/>
        <v>164.23448598618114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262</v>
      </c>
      <c r="BW73" s="13">
        <f>VLOOKUP(A73,'Données projet'!$A$113:$I$133,9,0)</f>
        <v>3.8</v>
      </c>
      <c r="BX73" s="13">
        <f t="array" ref="BX73">INDEX(BW:BW,MIN(IF(ISNUMBER(BW73:BW269),ROW(BW73:BW269),"")))</f>
        <v>3.8</v>
      </c>
      <c r="BY73" s="13">
        <f>IF('Données projet'!$A$114&gt;35,BY72+BX73-CG72,IF(A73&lt;'Données projet'!$A$114,$BV$205^A73,IF(A73='Données projet'!$A$114,'Données projet'!$B$114,BY72+BX73-CG72)))</f>
        <v>261.99999999999989</v>
      </c>
      <c r="BZ73" s="14">
        <f>BY73*VLOOKUP('Données projet'!$B$12,Paramètres!$A$1:$I$89,3,0)*VLOOKUP('Données projet'!$B$12,Paramètres!$A$1:$I$89,5,0)</f>
        <v>208.44719999999992</v>
      </c>
      <c r="CA73" s="14">
        <f t="shared" si="93"/>
        <v>51.596113399008644</v>
      </c>
      <c r="CB73" s="22">
        <f t="shared" si="64"/>
        <v>452.90877083660661</v>
      </c>
      <c r="CC73" s="62">
        <f t="shared" si="65"/>
        <v>746.24210416993992</v>
      </c>
      <c r="CD73" s="62">
        <f ca="1">AVERAGE(OFFSET($CC$3,0,0,'Données projet'!$E$12+1,1))-AVERAGE(OFFSET($H$3,0,0,'Données projet'!$E$12+1,1))</f>
        <v>219.2279518699109</v>
      </c>
      <c r="CE73" s="62">
        <f t="shared" si="94"/>
        <v>219.59799863414099</v>
      </c>
      <c r="CF73" s="16">
        <f>IF(ISNA(VLOOKUP(A73,'Données projet'!$A$113:$I$133,3,0)),0,VLOOKUP(A73,'Données projet'!$A$113:$I$133,3,0))</f>
        <v>12</v>
      </c>
      <c r="CG73" s="16">
        <f>IF(ISNA(VLOOKUP(A73,'Données projet'!$A$113:$I$133,4,0)),0,VLOOKUP(A73,'Données projet'!$A$113:$I$133,4,0))</f>
        <v>10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3.4349926411547549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3.4349926411547549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2">
        <f t="shared" si="86"/>
        <v>11.670980969085333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70">
        <f t="shared" si="56"/>
        <v>381.17774185449025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153.59418465942997</v>
      </c>
      <c r="T74" s="62">
        <f t="shared" si="88"/>
        <v>313.61727210988198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43.866416325995644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1.7936683424911356E-4</v>
      </c>
      <c r="AC74" s="24">
        <f t="shared" si="57"/>
        <v>43.86659569282989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12.875</v>
      </c>
      <c r="AI74" s="14">
        <f>IF('Données projet'!$A$62&gt;35,AI73+AH74-AQ73,IF(A74&lt;'Données projet'!$A$62,$AF$205^A74,IF(A74='Données projet'!$A$62,'Données projet'!$B$62,AI73+AH74-AQ73)))</f>
        <v>494.37500000000023</v>
      </c>
      <c r="AJ74" s="14">
        <f>AI74*VLOOKUP('Données projet'!$B$10,Paramètres!$A$1:$I$89,3,0)*VLOOKUP('Données projet'!$B$10,Paramètres!$A$1:$I$89,5,0)</f>
        <v>295.63625000000013</v>
      </c>
      <c r="AK74" s="14">
        <f t="shared" si="89"/>
        <v>70.260875189476423</v>
      </c>
      <c r="AL74" s="22">
        <f t="shared" si="58"/>
        <v>637.27082637167177</v>
      </c>
      <c r="AM74" s="62">
        <f t="shared" si="59"/>
        <v>930.60415970500503</v>
      </c>
      <c r="AN74" s="62">
        <f ca="1">AVERAGE(OFFSET($AM$3,0,0,'Données projet'!$E$10+1,1))-AVERAGE(OFFSET($H$3,0,0,'Données projet'!$E$10+1,1))</f>
        <v>288.15107951401188</v>
      </c>
      <c r="AO74" s="62">
        <f t="shared" si="90"/>
        <v>217.57508587672368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3.3044480419035809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9.2476319104635186E-6</v>
      </c>
      <c r="AX74" s="23">
        <f t="shared" si="60"/>
        <v>3.3044572895354913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>
        <f>VLOOKUP(A74,'Données projet'!$A$87:$I$107,2,0)</f>
        <v>466</v>
      </c>
      <c r="BB74" s="13">
        <f>VLOOKUP(A74,'Données projet'!$A$87:$I$107,9,0)</f>
        <v>16.142857142857142</v>
      </c>
      <c r="BC74" s="13">
        <f t="array" ref="BC74">INDEX(BB:BB,MIN(IF(ISNUMBER(BB74:BB270),ROW(BB74:BB270),"")))</f>
        <v>16.142857142857142</v>
      </c>
      <c r="BD74" s="13">
        <f>IF('Données projet'!$A$88&gt;35,BD73+BC74-BL73,IF(A74&lt;'Données projet'!$A$88,$BA$205^A74,IF(A74='Données projet'!$A$88,'Données projet'!$B$88,BD73+BC74-BL73)))</f>
        <v>466.00000000000017</v>
      </c>
      <c r="BE74" s="14">
        <f>BD74*VLOOKUP('Données projet'!$B$11,Paramètres!$A$1:$I$89,3,0)*VLOOKUP('Données projet'!$B$11,Paramètres!$A$1:$I$89,5,0)</f>
        <v>218.08800000000008</v>
      </c>
      <c r="BF74" s="14">
        <f t="shared" si="91"/>
        <v>53.699111087780629</v>
      </c>
      <c r="BG74" s="22">
        <f t="shared" si="61"/>
        <v>473.36255181121805</v>
      </c>
      <c r="BH74" s="62">
        <f t="shared" si="62"/>
        <v>766.69588514455131</v>
      </c>
      <c r="BI74" s="62">
        <f ca="1">AVERAGE(OFFSET($BH$3,0,0,'Données projet'!$E$11+1,1))-AVERAGE(OFFSET($H$3,0,0,'Données projet'!$E$11+1,1))</f>
        <v>221.07273841880755</v>
      </c>
      <c r="BJ74" s="62">
        <f t="shared" si="92"/>
        <v>164.23448598618114</v>
      </c>
      <c r="BK74" s="16">
        <f>IF(ISNA(VLOOKUP(A74,'Données projet'!$A$87:$I$107,3,0)),0,VLOOKUP(A74,'Données projet'!$A$87:$I$107,3,0))</f>
        <v>11</v>
      </c>
      <c r="BL74" s="16">
        <f>IF(ISNA(VLOOKUP(A74,'Données projet'!$A$87:$I$107,4,0)),0,VLOOKUP(A74,'Données projet'!$A$87:$I$107,4,0))</f>
        <v>91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3.4</v>
      </c>
      <c r="BY74" s="13">
        <f>IF('Données projet'!$A$114&gt;35,BY73+BX74-CG73,IF(A74&lt;'Données projet'!$A$114,$BV$205^A74,IF(A74='Données projet'!$A$114,'Données projet'!$B$114,BY73+BX74-CG73)))</f>
        <v>255.39999999999986</v>
      </c>
      <c r="BZ74" s="14">
        <f>BY74*VLOOKUP('Données projet'!$B$12,Paramètres!$A$1:$I$89,3,0)*VLOOKUP('Données projet'!$B$12,Paramètres!$A$1:$I$89,5,0)</f>
        <v>203.1962399999999</v>
      </c>
      <c r="CA74" s="14">
        <f t="shared" si="93"/>
        <v>50.445955049216174</v>
      </c>
      <c r="CB74" s="22">
        <f t="shared" si="64"/>
        <v>441.76015637738465</v>
      </c>
      <c r="CC74" s="62">
        <f t="shared" si="65"/>
        <v>735.0934897107179</v>
      </c>
      <c r="CD74" s="62">
        <f ca="1">AVERAGE(OFFSET($CC$3,0,0,'Données projet'!$E$12+1,1))-AVERAGE(OFFSET($H$3,0,0,'Données projet'!$E$12+1,1))</f>
        <v>219.2279518699109</v>
      </c>
      <c r="CE74" s="62">
        <f t="shared" si="94"/>
        <v>219.59799863414099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3.3676345306003435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3.3676345306003435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2">
        <f t="shared" si="86"/>
        <v>11.816108707618389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70">
        <f t="shared" si="56"/>
        <v>382.38145599910195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153.59418465942997</v>
      </c>
      <c r="T75" s="62">
        <f t="shared" si="88"/>
        <v>313.61727210988198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43.006222657714908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1.2683150481751168E-4</v>
      </c>
      <c r="AC75" s="24">
        <f t="shared" si="57"/>
        <v>43.006349489219723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12.875</v>
      </c>
      <c r="AI75" s="14">
        <f>IF('Données projet'!$A$62&gt;35,AI74+AH75-AQ74,IF(A75&lt;'Données projet'!$A$62,$AF$205^A75,IF(A75='Données projet'!$A$62,'Données projet'!$B$62,AI74+AH75-AQ74)))</f>
        <v>507.25000000000023</v>
      </c>
      <c r="AJ75" s="14">
        <f>AI75*VLOOKUP('Données projet'!$B$10,Paramètres!$A$1:$I$89,3,0)*VLOOKUP('Données projet'!$B$10,Paramètres!$A$1:$I$89,5,0)</f>
        <v>303.3355000000002</v>
      </c>
      <c r="AK75" s="14">
        <f t="shared" si="89"/>
        <v>71.875261779950662</v>
      </c>
      <c r="AL75" s="22">
        <f t="shared" si="58"/>
        <v>653.49207676674769</v>
      </c>
      <c r="AM75" s="62">
        <f t="shared" si="59"/>
        <v>946.82541010008094</v>
      </c>
      <c r="AN75" s="62">
        <f ca="1">AVERAGE(OFFSET($AM$3,0,0,'Données projet'!$E$10+1,1))-AVERAGE(OFFSET($H$3,0,0,'Données projet'!$E$10+1,1))</f>
        <v>288.15107951401188</v>
      </c>
      <c r="AO75" s="62">
        <f t="shared" si="90"/>
        <v>217.57508587672368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3.2396498313161417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6.5390632338058618E-6</v>
      </c>
      <c r="AX75" s="23">
        <f t="shared" si="60"/>
        <v>3.2396563703793757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>
        <f>VLOOKUP(A75,'Données projet'!$A$87:$I$107,2,0)</f>
        <v>390</v>
      </c>
      <c r="BB75" s="13">
        <f>VLOOKUP(A75,'Données projet'!$A$87:$I$107,9,0)</f>
        <v>15</v>
      </c>
      <c r="BC75" s="13">
        <f t="array" ref="BC75">INDEX(BB:BB,MIN(IF(ISNUMBER(BB75:BB271),ROW(BB75:BB271),"")))</f>
        <v>15</v>
      </c>
      <c r="BD75" s="13">
        <f>IF('Données projet'!$A$88&gt;35,BD74+BC75-BL74,IF(A75&lt;'Données projet'!$A$88,$BA$205^A75,IF(A75='Données projet'!$A$88,'Données projet'!$B$88,BD74+BC75-BL74)))</f>
        <v>390.00000000000017</v>
      </c>
      <c r="BE75" s="14">
        <f>BD75*VLOOKUP('Données projet'!$B$11,Paramètres!$A$1:$I$89,3,0)*VLOOKUP('Données projet'!$B$11,Paramètres!$A$1:$I$89,5,0)</f>
        <v>182.5200000000001</v>
      </c>
      <c r="BF75" s="14">
        <f t="shared" si="91"/>
        <v>45.882385280285632</v>
      </c>
      <c r="BG75" s="22">
        <f t="shared" si="61"/>
        <v>397.80082102983096</v>
      </c>
      <c r="BH75" s="62">
        <f t="shared" si="62"/>
        <v>691.13415436316427</v>
      </c>
      <c r="BI75" s="62">
        <f ca="1">AVERAGE(OFFSET($BH$3,0,0,'Données projet'!$E$11+1,1))-AVERAGE(OFFSET($H$3,0,0,'Données projet'!$E$11+1,1))</f>
        <v>221.07273841880755</v>
      </c>
      <c r="BJ75" s="62">
        <f t="shared" si="92"/>
        <v>164.23448598618114</v>
      </c>
      <c r="BK75" s="16">
        <f>IF(ISNA(VLOOKUP(A75,'Données projet'!$A$87:$I$107,3,0)),0,VLOOKUP(A75,'Données projet'!$A$87:$I$107,3,0))</f>
        <v>12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3.4</v>
      </c>
      <c r="BY75" s="13">
        <f>IF('Données projet'!$A$114&gt;35,BY74+BX75-CG74,IF(A75&lt;'Données projet'!$A$114,$BV$205^A75,IF(A75='Données projet'!$A$114,'Données projet'!$B$114,BY74+BX75-CG74)))</f>
        <v>258.79999999999984</v>
      </c>
      <c r="BZ75" s="14">
        <f>BY75*VLOOKUP('Données projet'!$B$12,Paramètres!$A$1:$I$89,3,0)*VLOOKUP('Données projet'!$B$12,Paramètres!$A$1:$I$89,5,0)</f>
        <v>205.90127999999987</v>
      </c>
      <c r="CA75" s="14">
        <f t="shared" si="93"/>
        <v>51.038887365811171</v>
      </c>
      <c r="CB75" s="22">
        <f t="shared" si="64"/>
        <v>447.5041248287875</v>
      </c>
      <c r="CC75" s="62">
        <f t="shared" si="65"/>
        <v>740.83745816212081</v>
      </c>
      <c r="CD75" s="62">
        <f ca="1">AVERAGE(OFFSET($CC$3,0,0,'Données projet'!$E$12+1,1))-AVERAGE(OFFSET($H$3,0,0,'Données projet'!$E$12+1,1))</f>
        <v>219.2279518699109</v>
      </c>
      <c r="CE75" s="62">
        <f t="shared" si="94"/>
        <v>219.59799863414099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3.3015972715095132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3.3015972715095132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2">
        <f t="shared" si="86"/>
        <v>11.961002004555786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70">
        <f t="shared" si="56"/>
        <v>383.58476182460123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153.59418465942997</v>
      </c>
      <c r="T76" s="62">
        <f t="shared" si="88"/>
        <v>313.61727210988198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42.162896862602821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8.968341712455678E-5</v>
      </c>
      <c r="AC76" s="24">
        <f t="shared" si="57"/>
        <v>42.162986546019944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12.875</v>
      </c>
      <c r="AI76" s="14">
        <f>IF('Données projet'!$A$62&gt;35,AI75+AH76-AQ75,IF(A76&lt;'Données projet'!$A$62,$AF$205^A76,IF(A76='Données projet'!$A$62,'Données projet'!$B$62,AI75+AH76-AQ75)))</f>
        <v>520.12500000000023</v>
      </c>
      <c r="AJ76" s="14">
        <f>AI76*VLOOKUP('Données projet'!$B$10,Paramètres!$A$1:$I$89,3,0)*VLOOKUP('Données projet'!$B$10,Paramètres!$A$1:$I$89,5,0)</f>
        <v>311.03475000000014</v>
      </c>
      <c r="AK76" s="14">
        <f t="shared" si="89"/>
        <v>73.484885227728896</v>
      </c>
      <c r="AL76" s="22">
        <f t="shared" si="58"/>
        <v>669.70503135496131</v>
      </c>
      <c r="AM76" s="62">
        <f t="shared" si="59"/>
        <v>963.03836468829468</v>
      </c>
      <c r="AN76" s="62">
        <f ca="1">AVERAGE(OFFSET($AM$3,0,0,'Données projet'!$E$10+1,1))-AVERAGE(OFFSET($H$3,0,0,'Données projet'!$E$10+1,1))</f>
        <v>288.15107951401188</v>
      </c>
      <c r="AO76" s="62">
        <f t="shared" si="90"/>
        <v>217.57508587672368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3.1761222741153161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4.6238159552317593E-6</v>
      </c>
      <c r="AX76" s="23">
        <f t="shared" si="60"/>
        <v>3.1761268979312716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15.142857142857142</v>
      </c>
      <c r="BD76" s="13">
        <f>IF('Données projet'!$A$88&gt;35,BD75+BC76-BL75,IF(A76&lt;'Données projet'!$A$88,$BA$205^A76,IF(A76='Données projet'!$A$88,'Données projet'!$B$88,BD75+BC76-BL75)))</f>
        <v>405.14285714285734</v>
      </c>
      <c r="BE76" s="14">
        <f>BD76*VLOOKUP('Données projet'!$B$11,Paramètres!$A$1:$I$89,3,0)*VLOOKUP('Données projet'!$B$11,Paramètres!$A$1:$I$89,5,0)</f>
        <v>189.60685714285725</v>
      </c>
      <c r="BF76" s="14">
        <f t="shared" si="91"/>
        <v>47.453024072159629</v>
      </c>
      <c r="BG76" s="22">
        <f t="shared" si="61"/>
        <v>412.87929311615432</v>
      </c>
      <c r="BH76" s="62">
        <f t="shared" si="62"/>
        <v>706.21262644948763</v>
      </c>
      <c r="BI76" s="62">
        <f ca="1">AVERAGE(OFFSET($BH$3,0,0,'Données projet'!$E$11+1,1))-AVERAGE(OFFSET($H$3,0,0,'Données projet'!$E$11+1,1))</f>
        <v>221.07273841880755</v>
      </c>
      <c r="BJ76" s="62">
        <f t="shared" si="92"/>
        <v>164.23448598618114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3.4</v>
      </c>
      <c r="BY76" s="13">
        <f>IF('Données projet'!$A$114&gt;35,BY75+BX76-CG75,IF(A76&lt;'Données projet'!$A$114,$BV$205^A76,IF(A76='Données projet'!$A$114,'Données projet'!$B$114,BY75+BX76-CG75)))</f>
        <v>262.19999999999982</v>
      </c>
      <c r="BZ76" s="14">
        <f>BY76*VLOOKUP('Données projet'!$B$12,Paramètres!$A$1:$I$89,3,0)*VLOOKUP('Données projet'!$B$12,Paramètres!$A$1:$I$89,5,0)</f>
        <v>208.6063199999999</v>
      </c>
      <c r="CA76" s="14">
        <f t="shared" si="93"/>
        <v>51.630913628711831</v>
      </c>
      <c r="CB76" s="22">
        <f t="shared" si="64"/>
        <v>453.24651523667291</v>
      </c>
      <c r="CC76" s="62">
        <f t="shared" si="65"/>
        <v>746.57984857000622</v>
      </c>
      <c r="CD76" s="62">
        <f ca="1">AVERAGE(OFFSET($CC$3,0,0,'Données projet'!$E$12+1,1))-AVERAGE(OFFSET($H$3,0,0,'Données projet'!$E$12+1,1))</f>
        <v>219.2279518699109</v>
      </c>
      <c r="CE76" s="62">
        <f t="shared" si="94"/>
        <v>219.59799863414099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3.2368549627907033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3.2368549627907033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2">
        <f t="shared" si="86"/>
        <v>12.105664442616701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70">
        <f t="shared" si="56"/>
        <v>384.78766557089068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153.59418465942997</v>
      </c>
      <c r="T77" s="62">
        <f t="shared" si="88"/>
        <v>313.61727210988198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41.33610817195494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6.3415752408755839E-5</v>
      </c>
      <c r="AC77" s="24">
        <f t="shared" si="57"/>
        <v>41.336171587707348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>
        <f>VLOOKUP(A77,'Données projet'!$A$61:$I$81,2,0)</f>
        <v>533</v>
      </c>
      <c r="AG77" s="13">
        <f>VLOOKUP(A77,'Données projet'!$A$61:$I$81,9,0)</f>
        <v>12.875</v>
      </c>
      <c r="AH77" s="13">
        <f t="array" ref="AH77">INDEX(AG:AG,MIN(IF(ISNUMBER(AG77:AG273),ROW(AG77:AG273),"")))</f>
        <v>12.875</v>
      </c>
      <c r="AI77" s="14">
        <f>IF('Données projet'!$A$62&gt;35,AI76+AH77-AQ76,IF(A77&lt;'Données projet'!$A$62,$AF$205^A77,IF(A77='Données projet'!$A$62,'Données projet'!$B$62,AI76+AH77-AQ76)))</f>
        <v>533.00000000000023</v>
      </c>
      <c r="AJ77" s="14">
        <f>AI77*VLOOKUP('Données projet'!$B$10,Paramètres!$A$1:$I$89,3,0)*VLOOKUP('Données projet'!$B$10,Paramètres!$A$1:$I$89,5,0)</f>
        <v>318.73400000000015</v>
      </c>
      <c r="AK77" s="14">
        <f t="shared" si="89"/>
        <v>75.089876999925679</v>
      </c>
      <c r="AL77" s="22">
        <f t="shared" si="58"/>
        <v>685.90991910820412</v>
      </c>
      <c r="AM77" s="62">
        <f t="shared" si="59"/>
        <v>979.24325244153738</v>
      </c>
      <c r="AN77" s="62">
        <f ca="1">AVERAGE(OFFSET($AM$3,0,0,'Données projet'!$E$10+1,1))-AVERAGE(OFFSET($H$3,0,0,'Données projet'!$E$10+1,1))</f>
        <v>288.15107951401188</v>
      </c>
      <c r="AO77" s="62">
        <f t="shared" si="90"/>
        <v>217.57508587672368</v>
      </c>
      <c r="AP77" s="16">
        <f>IF(ISNA(VLOOKUP(A77,'Données projet'!$A$61:$I$81,3,0)),0,VLOOKUP(A77,'Données projet'!$A$61:$I$81,3,0))</f>
        <v>10</v>
      </c>
      <c r="AQ77" s="16">
        <f>IF(ISNA(VLOOKUP(A77,'Données projet'!$A$61:$I$81,4,0)),0,VLOOKUP(A77,'Données projet'!$A$61:$I$81,4,0))</f>
        <v>37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3.1138404535632151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3.2695316169029309E-6</v>
      </c>
      <c r="AX77" s="23">
        <f t="shared" si="60"/>
        <v>3.1138437230948321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15.142857142857142</v>
      </c>
      <c r="BD77" s="13">
        <f>IF('Données projet'!$A$88&gt;35,BD76+BC77-BL76,IF(A77&lt;'Données projet'!$A$88,$BA$205^A77,IF(A77='Données projet'!$A$88,'Données projet'!$B$88,BD76+BC77-BL76)))</f>
        <v>420.2857142857145</v>
      </c>
      <c r="BE77" s="14">
        <f>BD77*VLOOKUP('Données projet'!$B$11,Paramètres!$A$1:$I$89,3,0)*VLOOKUP('Données projet'!$B$11,Paramètres!$A$1:$I$89,5,0)</f>
        <v>196.69371428571441</v>
      </c>
      <c r="BF77" s="14">
        <f t="shared" si="91"/>
        <v>49.016842754125221</v>
      </c>
      <c r="BG77" s="22">
        <f t="shared" si="61"/>
        <v>427.9458868443873</v>
      </c>
      <c r="BH77" s="62">
        <f t="shared" si="62"/>
        <v>721.27922017772062</v>
      </c>
      <c r="BI77" s="62">
        <f ca="1">AVERAGE(OFFSET($BH$3,0,0,'Données projet'!$E$11+1,1))-AVERAGE(OFFSET($H$3,0,0,'Données projet'!$E$11+1,1))</f>
        <v>221.07273841880755</v>
      </c>
      <c r="BJ77" s="62">
        <f t="shared" si="92"/>
        <v>164.23448598618114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3.4</v>
      </c>
      <c r="BY77" s="13">
        <f>IF('Données projet'!$A$114&gt;35,BY76+BX77-CG76,IF(A77&lt;'Données projet'!$A$114,$BV$205^A77,IF(A77='Données projet'!$A$114,'Données projet'!$B$114,BY76+BX77-CG76)))</f>
        <v>265.5999999999998</v>
      </c>
      <c r="BZ77" s="14">
        <f>BY77*VLOOKUP('Données projet'!$B$12,Paramètres!$A$1:$I$89,3,0)*VLOOKUP('Données projet'!$B$12,Paramètres!$A$1:$I$89,5,0)</f>
        <v>211.31135999999987</v>
      </c>
      <c r="CA77" s="14">
        <f t="shared" si="93"/>
        <v>52.222046945324379</v>
      </c>
      <c r="CB77" s="22">
        <f t="shared" si="64"/>
        <v>458.98735042977302</v>
      </c>
      <c r="CC77" s="62">
        <f t="shared" si="65"/>
        <v>752.32068376310633</v>
      </c>
      <c r="CD77" s="62">
        <f ca="1">AVERAGE(OFFSET($CC$3,0,0,'Données projet'!$E$12+1,1))-AVERAGE(OFFSET($H$3,0,0,'Données projet'!$E$12+1,1))</f>
        <v>219.2279518699109</v>
      </c>
      <c r="CE77" s="62">
        <f t="shared" si="94"/>
        <v>219.59799863414099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3.1733822112569601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3.1733822112569601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2">
        <f t="shared" si="86"/>
        <v>12.250099502125838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70">
        <f t="shared" si="56"/>
        <v>385.99017329953574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153.59418465942997</v>
      </c>
      <c r="T78" s="62">
        <f t="shared" si="88"/>
        <v>313.61727210988198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40.525532303239359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4.484170856227839E-5</v>
      </c>
      <c r="AC78" s="24">
        <f t="shared" si="57"/>
        <v>40.525577144947924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8.875</v>
      </c>
      <c r="AI78" s="14">
        <f>IF('Données projet'!$A$62&gt;35,AI77+AH78-AQ77,IF(A78&lt;'Données projet'!$A$62,$AF$205^A78,IF(A78='Données projet'!$A$62,'Données projet'!$B$62,AI77+AH78-AQ77)))</f>
        <v>504.87500000000023</v>
      </c>
      <c r="AJ78" s="14">
        <f>AI78*VLOOKUP('Données projet'!$B$10,Paramètres!$A$1:$I$89,3,0)*VLOOKUP('Données projet'!$B$10,Paramètres!$A$1:$I$89,5,0)</f>
        <v>301.91525000000019</v>
      </c>
      <c r="AK78" s="14">
        <f t="shared" si="89"/>
        <v>71.577824610046022</v>
      </c>
      <c r="AL78" s="22">
        <f t="shared" si="58"/>
        <v>650.50043827916386</v>
      </c>
      <c r="AM78" s="62">
        <f t="shared" si="59"/>
        <v>943.83377161249723</v>
      </c>
      <c r="AN78" s="62">
        <f ca="1">AVERAGE(OFFSET($AM$3,0,0,'Données projet'!$E$10+1,1))-AVERAGE(OFFSET($H$3,0,0,'Données projet'!$E$10+1,1))</f>
        <v>288.15107951401188</v>
      </c>
      <c r="AO78" s="62">
        <f t="shared" si="90"/>
        <v>217.57508587672368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3.0527799415239811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2.3119079776158796E-6</v>
      </c>
      <c r="AX78" s="23">
        <f t="shared" si="60"/>
        <v>3.0527822534319586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15.142857142857142</v>
      </c>
      <c r="BD78" s="13">
        <f>IF('Données projet'!$A$88&gt;35,BD77+BC78-BL77,IF(A78&lt;'Données projet'!$A$88,$BA$205^A78,IF(A78='Données projet'!$A$88,'Données projet'!$B$88,BD77+BC78-BL77)))</f>
        <v>435.42857142857167</v>
      </c>
      <c r="BE78" s="14">
        <f>BD78*VLOOKUP('Données projet'!$B$11,Paramètres!$A$1:$I$89,3,0)*VLOOKUP('Données projet'!$B$11,Paramètres!$A$1:$I$89,5,0)</f>
        <v>203.78057142857153</v>
      </c>
      <c r="BF78" s="14">
        <f t="shared" si="91"/>
        <v>50.574115202939069</v>
      </c>
      <c r="BG78" s="22">
        <f t="shared" si="61"/>
        <v>443.00107921654762</v>
      </c>
      <c r="BH78" s="62">
        <f t="shared" si="62"/>
        <v>736.33441254988088</v>
      </c>
      <c r="BI78" s="62">
        <f ca="1">AVERAGE(OFFSET($BH$3,0,0,'Données projet'!$E$11+1,1))-AVERAGE(OFFSET($H$3,0,0,'Données projet'!$E$11+1,1))</f>
        <v>221.07273841880755</v>
      </c>
      <c r="BJ78" s="62">
        <f t="shared" si="92"/>
        <v>164.23448598618114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269</v>
      </c>
      <c r="BW78" s="13">
        <f>VLOOKUP(A78,'Données projet'!$A$113:$I$133,9,0)</f>
        <v>3.4</v>
      </c>
      <c r="BX78" s="13">
        <f t="array" ref="BX78">INDEX(BW:BW,MIN(IF(ISNUMBER(BW78:BW274),ROW(BW78:BW274),"")))</f>
        <v>3.4</v>
      </c>
      <c r="BY78" s="13">
        <f>IF('Données projet'!$A$114&gt;35,BY77+BX78-CG77,IF(A78&lt;'Données projet'!$A$114,$BV$205^A78,IF(A78='Données projet'!$A$114,'Données projet'!$B$114,BY77+BX78-CG77)))</f>
        <v>268.99999999999977</v>
      </c>
      <c r="BZ78" s="14">
        <f>BY78*VLOOKUP('Données projet'!$B$12,Paramètres!$A$1:$I$89,3,0)*VLOOKUP('Données projet'!$B$12,Paramètres!$A$1:$I$89,5,0)</f>
        <v>214.01639999999983</v>
      </c>
      <c r="CA78" s="14">
        <f t="shared" si="93"/>
        <v>52.812300068178622</v>
      </c>
      <c r="CB78" s="22">
        <f t="shared" si="64"/>
        <v>464.72665261874414</v>
      </c>
      <c r="CC78" s="62">
        <f t="shared" si="65"/>
        <v>758.05998595207745</v>
      </c>
      <c r="CD78" s="62">
        <f ca="1">AVERAGE(OFFSET($CC$3,0,0,'Données projet'!$E$12+1,1))-AVERAGE(OFFSET($H$3,0,0,'Données projet'!$E$12+1,1))</f>
        <v>219.2279518699109</v>
      </c>
      <c r="CE78" s="62">
        <f t="shared" si="94"/>
        <v>219.59799863414099</v>
      </c>
      <c r="CF78" s="16">
        <f>IF(ISNA(VLOOKUP(A78,'Données projet'!$A$113:$I$133,3,0)),0,VLOOKUP(A78,'Données projet'!$A$113:$I$133,3,0))</f>
        <v>13</v>
      </c>
      <c r="CG78" s="16">
        <f>IF(ISNA(VLOOKUP(A78,'Données projet'!$A$113:$I$133,4,0)),0,VLOOKUP(A78,'Données projet'!$A$113:$I$133,4,0))</f>
        <v>9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3.1111541216662379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3.1111541216662379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2">
        <f t="shared" si="86"/>
        <v>12.394310565265254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70">
        <f t="shared" si="56"/>
        <v>387.19229090117022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153.59418465942997</v>
      </c>
      <c r="T79" s="62">
        <f t="shared" si="88"/>
        <v>313.61727210988198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39.73085133290683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3.170787620437792E-5</v>
      </c>
      <c r="AC79" s="24">
        <f t="shared" si="57"/>
        <v>39.730883040783034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8.875</v>
      </c>
      <c r="AI79" s="14">
        <f>IF('Données projet'!$A$62&gt;35,AI78+AH79-AQ78,IF(A79&lt;'Données projet'!$A$62,$AF$205^A79,IF(A79='Données projet'!$A$62,'Données projet'!$B$62,AI78+AH79-AQ78)))</f>
        <v>513.75000000000023</v>
      </c>
      <c r="AJ79" s="14">
        <f>AI79*VLOOKUP('Données projet'!$B$10,Paramètres!$A$1:$I$89,3,0)*VLOOKUP('Données projet'!$B$10,Paramètres!$A$1:$I$89,5,0)</f>
        <v>307.22250000000014</v>
      </c>
      <c r="AK79" s="14">
        <f t="shared" si="89"/>
        <v>72.68847414066191</v>
      </c>
      <c r="AL79" s="22">
        <f t="shared" si="58"/>
        <v>661.67827996165317</v>
      </c>
      <c r="AM79" s="62">
        <f t="shared" si="59"/>
        <v>955.01161329498655</v>
      </c>
      <c r="AN79" s="62">
        <f ca="1">AVERAGE(OFFSET($AM$3,0,0,'Données projet'!$E$10+1,1))-AVERAGE(OFFSET($H$3,0,0,'Données projet'!$E$10+1,1))</f>
        <v>288.15107951401188</v>
      </c>
      <c r="AO79" s="62">
        <f t="shared" si="90"/>
        <v>217.57508587672368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2.9929167888826016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1.6347658084514654E-6</v>
      </c>
      <c r="AX79" s="23">
        <f t="shared" si="60"/>
        <v>2.9929184236484101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15.142857142857142</v>
      </c>
      <c r="BD79" s="13">
        <f>IF('Données projet'!$A$88&gt;35,BD78+BC79-BL78,IF(A79&lt;'Données projet'!$A$88,$BA$205^A79,IF(A79='Données projet'!$A$88,'Données projet'!$B$88,BD78+BC79-BL78)))</f>
        <v>450.57142857142884</v>
      </c>
      <c r="BE79" s="14">
        <f>BD79*VLOOKUP('Données projet'!$B$11,Paramètres!$A$1:$I$89,3,0)*VLOOKUP('Données projet'!$B$11,Paramètres!$A$1:$I$89,5,0)</f>
        <v>210.86742857142869</v>
      </c>
      <c r="BF79" s="14">
        <f t="shared" si="91"/>
        <v>52.125095165913116</v>
      </c>
      <c r="BG79" s="22">
        <f t="shared" si="61"/>
        <v>458.04531217587032</v>
      </c>
      <c r="BH79" s="62">
        <f t="shared" si="62"/>
        <v>751.37864550920358</v>
      </c>
      <c r="BI79" s="62">
        <f ca="1">AVERAGE(OFFSET($BH$3,0,0,'Données projet'!$E$11+1,1))-AVERAGE(OFFSET($H$3,0,0,'Données projet'!$E$11+1,1))</f>
        <v>221.07273841880755</v>
      </c>
      <c r="BJ79" s="62">
        <f t="shared" si="92"/>
        <v>164.23448598618114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3</v>
      </c>
      <c r="BY79" s="13">
        <f>IF('Données projet'!$A$114&gt;35,BY78+BX79-CG78,IF(A79&lt;'Données projet'!$A$114,$BV$205^A79,IF(A79='Données projet'!$A$114,'Données projet'!$B$114,BY78+BX79-CG78)))</f>
        <v>262.99999999999977</v>
      </c>
      <c r="BZ79" s="14">
        <f>BY79*VLOOKUP('Données projet'!$B$12,Paramètres!$A$1:$I$89,3,0)*VLOOKUP('Données projet'!$B$12,Paramètres!$A$1:$I$89,5,0)</f>
        <v>209.24279999999982</v>
      </c>
      <c r="CA79" s="14">
        <f t="shared" si="93"/>
        <v>51.770083677016764</v>
      </c>
      <c r="CB79" s="22">
        <f t="shared" si="64"/>
        <v>454.59743907080389</v>
      </c>
      <c r="CC79" s="62">
        <f t="shared" si="65"/>
        <v>747.9307724041372</v>
      </c>
      <c r="CD79" s="62">
        <f ca="1">AVERAGE(OFFSET($CC$3,0,0,'Données projet'!$E$12+1,1))-AVERAGE(OFFSET($H$3,0,0,'Données projet'!$E$12+1,1))</f>
        <v>219.2279518699109</v>
      </c>
      <c r="CE79" s="62">
        <f t="shared" si="94"/>
        <v>219.59799863414099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3.0501462869570033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3.0501462869570033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2">
        <f t="shared" si="86"/>
        <v>12.538300920096166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70">
        <f t="shared" si="56"/>
        <v>388.39402410250074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153.59418465942997</v>
      </c>
      <c r="T80" s="62">
        <f t="shared" si="88"/>
        <v>313.61727210988198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38.951753571694987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2.2420854281139195E-5</v>
      </c>
      <c r="AC80" s="24">
        <f t="shared" si="57"/>
        <v>38.951775992549265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8.875</v>
      </c>
      <c r="AI80" s="14">
        <f>IF('Données projet'!$A$62&gt;35,AI79+AH80-AQ79,IF(A80&lt;'Données projet'!$A$62,$AF$205^A80,IF(A80='Données projet'!$A$62,'Données projet'!$B$62,AI79+AH80-AQ79)))</f>
        <v>522.62500000000023</v>
      </c>
      <c r="AJ80" s="14">
        <f>AI80*VLOOKUP('Données projet'!$B$10,Paramètres!$A$1:$I$89,3,0)*VLOOKUP('Données projet'!$B$10,Paramètres!$A$1:$I$89,5,0)</f>
        <v>312.52975000000015</v>
      </c>
      <c r="AK80" s="14">
        <f t="shared" si="89"/>
        <v>73.796892500493684</v>
      </c>
      <c r="AL80" s="22">
        <f t="shared" si="58"/>
        <v>672.85223568836011</v>
      </c>
      <c r="AM80" s="62">
        <f t="shared" si="59"/>
        <v>966.18556902169348</v>
      </c>
      <c r="AN80" s="62">
        <f ca="1">AVERAGE(OFFSET($AM$3,0,0,'Données projet'!$E$10+1,1))-AVERAGE(OFFSET($H$3,0,0,'Données projet'!$E$10+1,1))</f>
        <v>288.15107951401188</v>
      </c>
      <c r="AO80" s="62">
        <f t="shared" si="90"/>
        <v>217.57508587672368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2.9342275161516018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1.1559539888079398E-6</v>
      </c>
      <c r="AX80" s="23">
        <f t="shared" si="60"/>
        <v>2.9342286721055908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15.142857142857142</v>
      </c>
      <c r="BD80" s="13">
        <f>IF('Données projet'!$A$88&gt;35,BD79+BC80-BL79,IF(A80&lt;'Données projet'!$A$88,$BA$205^A80,IF(A80='Données projet'!$A$88,'Données projet'!$B$88,BD79+BC80-BL79)))</f>
        <v>465.71428571428601</v>
      </c>
      <c r="BE80" s="14">
        <f>BD80*VLOOKUP('Données projet'!$B$11,Paramètres!$A$1:$I$89,3,0)*VLOOKUP('Données projet'!$B$11,Paramètres!$A$1:$I$89,5,0)</f>
        <v>217.95428571428585</v>
      </c>
      <c r="BF80" s="14">
        <f t="shared" si="91"/>
        <v>53.670018366701875</v>
      </c>
      <c r="BG80" s="22">
        <f t="shared" si="61"/>
        <v>473.07899627438695</v>
      </c>
      <c r="BH80" s="62">
        <f t="shared" si="62"/>
        <v>766.41232960772027</v>
      </c>
      <c r="BI80" s="62">
        <f ca="1">AVERAGE(OFFSET($BH$3,0,0,'Données projet'!$E$11+1,1))-AVERAGE(OFFSET($H$3,0,0,'Données projet'!$E$11+1,1))</f>
        <v>221.07273841880755</v>
      </c>
      <c r="BJ80" s="62">
        <f t="shared" si="92"/>
        <v>164.23448598618114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3</v>
      </c>
      <c r="BY80" s="13">
        <f>IF('Données projet'!$A$114&gt;35,BY79+BX80-CG79,IF(A80&lt;'Données projet'!$A$114,$BV$205^A80,IF(A80='Données projet'!$A$114,'Données projet'!$B$114,BY79+BX80-CG79)))</f>
        <v>265.99999999999977</v>
      </c>
      <c r="BZ80" s="14">
        <f>BY80*VLOOKUP('Données projet'!$B$12,Paramètres!$A$1:$I$89,3,0)*VLOOKUP('Données projet'!$B$12,Paramètres!$A$1:$I$89,5,0)</f>
        <v>211.62959999999981</v>
      </c>
      <c r="CA80" s="14">
        <f t="shared" si="93"/>
        <v>52.291533930940183</v>
      </c>
      <c r="CB80" s="22">
        <f t="shared" si="64"/>
        <v>459.66264159638718</v>
      </c>
      <c r="CC80" s="62">
        <f t="shared" si="65"/>
        <v>752.99597492972043</v>
      </c>
      <c r="CD80" s="62">
        <f ca="1">AVERAGE(OFFSET($CC$3,0,0,'Données projet'!$E$12+1,1))-AVERAGE(OFFSET($H$3,0,0,'Données projet'!$E$12+1,1))</f>
        <v>219.2279518699109</v>
      </c>
      <c r="CE80" s="62">
        <f t="shared" si="94"/>
        <v>219.59799863414099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2.9903347786753116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2.9903347786753116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2">
        <f t="shared" si="86"/>
        <v>12.682073764365757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70">
        <f t="shared" si="56"/>
        <v>389.59537847293694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153.59418465942997</v>
      </c>
      <c r="T81" s="62">
        <f t="shared" si="88"/>
        <v>313.61727210988198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38.187933442377798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1.585393810218896E-5</v>
      </c>
      <c r="AC81" s="24">
        <f t="shared" si="57"/>
        <v>38.1879492963159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8.875</v>
      </c>
      <c r="AI81" s="14">
        <f>IF('Données projet'!$A$62&gt;35,AI80+AH81-AQ80,IF(A81&lt;'Données projet'!$A$62,$AF$205^A81,IF(A81='Données projet'!$A$62,'Données projet'!$B$62,AI80+AH81-AQ80)))</f>
        <v>531.50000000000023</v>
      </c>
      <c r="AJ81" s="14">
        <f>AI81*VLOOKUP('Données projet'!$B$10,Paramètres!$A$1:$I$89,3,0)*VLOOKUP('Données projet'!$B$10,Paramètres!$A$1:$I$89,5,0)</f>
        <v>317.83700000000016</v>
      </c>
      <c r="AK81" s="14">
        <f t="shared" si="89"/>
        <v>74.903121950927684</v>
      </c>
      <c r="AL81" s="22">
        <f t="shared" si="58"/>
        <v>684.02237906453263</v>
      </c>
      <c r="AM81" s="62">
        <f t="shared" si="59"/>
        <v>977.355712397866</v>
      </c>
      <c r="AN81" s="62">
        <f ca="1">AVERAGE(OFFSET($AM$3,0,0,'Données projet'!$E$10+1,1))-AVERAGE(OFFSET($H$3,0,0,'Données projet'!$E$10+1,1))</f>
        <v>288.15107951401188</v>
      </c>
      <c r="AO81" s="62">
        <f t="shared" si="90"/>
        <v>217.57508587672368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2.8766891042619354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8.1738290422573272E-7</v>
      </c>
      <c r="AX81" s="23">
        <f t="shared" si="60"/>
        <v>2.8766899216448394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15.142857142857142</v>
      </c>
      <c r="BD81" s="13">
        <f>IF('Données projet'!$A$88&gt;35,BD80+BC81-BL80,IF(A81&lt;'Données projet'!$A$88,$BA$205^A81,IF(A81='Données projet'!$A$88,'Données projet'!$B$88,BD80+BC81-BL80)))</f>
        <v>480.85714285714317</v>
      </c>
      <c r="BE81" s="14">
        <f>BD81*VLOOKUP('Données projet'!$B$11,Paramètres!$A$1:$I$89,3,0)*VLOOKUP('Données projet'!$B$11,Paramètres!$A$1:$I$89,5,0)</f>
        <v>225.041142857143</v>
      </c>
      <c r="BF81" s="14">
        <f t="shared" si="91"/>
        <v>55.209104329514197</v>
      </c>
      <c r="BG81" s="22">
        <f t="shared" si="61"/>
        <v>488.10251385009468</v>
      </c>
      <c r="BH81" s="62">
        <f t="shared" si="62"/>
        <v>781.435847183428</v>
      </c>
      <c r="BI81" s="62">
        <f ca="1">AVERAGE(OFFSET($BH$3,0,0,'Données projet'!$E$11+1,1))-AVERAGE(OFFSET($H$3,0,0,'Données projet'!$E$11+1,1))</f>
        <v>221.07273841880755</v>
      </c>
      <c r="BJ81" s="62">
        <f t="shared" si="92"/>
        <v>164.23448598618114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3</v>
      </c>
      <c r="BY81" s="13">
        <f>IF('Données projet'!$A$114&gt;35,BY80+BX81-CG80,IF(A81&lt;'Données projet'!$A$114,$BV$205^A81,IF(A81='Données projet'!$A$114,'Données projet'!$B$114,BY80+BX81-CG80)))</f>
        <v>268.99999999999977</v>
      </c>
      <c r="BZ81" s="14">
        <f>BY81*VLOOKUP('Données projet'!$B$12,Paramètres!$A$1:$I$89,3,0)*VLOOKUP('Données projet'!$B$12,Paramètres!$A$1:$I$89,5,0)</f>
        <v>214.01639999999983</v>
      </c>
      <c r="CA81" s="14">
        <f t="shared" si="93"/>
        <v>52.812300068178622</v>
      </c>
      <c r="CB81" s="22">
        <f t="shared" si="64"/>
        <v>464.72665261874414</v>
      </c>
      <c r="CC81" s="62">
        <f t="shared" si="65"/>
        <v>758.05998595207745</v>
      </c>
      <c r="CD81" s="62">
        <f ca="1">AVERAGE(OFFSET($CC$3,0,0,'Données projet'!$E$12+1,1))-AVERAGE(OFFSET($H$3,0,0,'Données projet'!$E$12+1,1))</f>
        <v>219.2279518699109</v>
      </c>
      <c r="CE81" s="62">
        <f t="shared" si="94"/>
        <v>219.59799863414099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2.931696137589606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2.931696137589606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2">
        <f t="shared" si="86"/>
        <v>12.82563220911333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70">
        <f t="shared" si="56"/>
        <v>390.79635943087231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153.59418465942997</v>
      </c>
      <c r="T82" s="62">
        <f t="shared" si="88"/>
        <v>313.61727210988198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37.43909135991224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1.1210427140569598E-5</v>
      </c>
      <c r="AC82" s="24">
        <f t="shared" si="57"/>
        <v>37.439102570339379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8.875</v>
      </c>
      <c r="AI82" s="14">
        <f>IF('Données projet'!$A$62&gt;35,AI81+AH82-AQ81,IF(A82&lt;'Données projet'!$A$62,$AF$205^A82,IF(A82='Données projet'!$A$62,'Données projet'!$B$62,AI81+AH82-AQ81)))</f>
        <v>540.37500000000023</v>
      </c>
      <c r="AJ82" s="14">
        <f>AI82*VLOOKUP('Données projet'!$B$10,Paramètres!$A$1:$I$89,3,0)*VLOOKUP('Données projet'!$B$10,Paramètres!$A$1:$I$89,5,0)</f>
        <v>323.14425000000017</v>
      </c>
      <c r="AK82" s="14">
        <f t="shared" si="89"/>
        <v>76.007203261088534</v>
      </c>
      <c r="AL82" s="22">
        <f t="shared" si="58"/>
        <v>695.18878109639616</v>
      </c>
      <c r="AM82" s="62">
        <f t="shared" si="59"/>
        <v>988.52211442972953</v>
      </c>
      <c r="AN82" s="62">
        <f ca="1">AVERAGE(OFFSET($AM$3,0,0,'Données projet'!$E$10+1,1))-AVERAGE(OFFSET($H$3,0,0,'Données projet'!$E$10+1,1))</f>
        <v>288.15107951401188</v>
      </c>
      <c r="AO82" s="62">
        <f t="shared" si="90"/>
        <v>217.57508587672368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2.8202789855344594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5.7797699440396991E-7</v>
      </c>
      <c r="AX82" s="23">
        <f t="shared" si="60"/>
        <v>2.8202795635114537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>
        <f>VLOOKUP(A82,'Données projet'!$A$87:$I$107,2,0)</f>
        <v>496</v>
      </c>
      <c r="BB82" s="13">
        <f>VLOOKUP(A82,'Données projet'!$A$87:$I$107,9,0)</f>
        <v>15.142857142857142</v>
      </c>
      <c r="BC82" s="13">
        <f t="array" ref="BC82">INDEX(BB:BB,MIN(IF(ISNUMBER(BB82:BB278),ROW(BB82:BB278),"")))</f>
        <v>15.142857142857142</v>
      </c>
      <c r="BD82" s="13">
        <f>IF('Données projet'!$A$88&gt;35,BD81+BC82-BL81,IF(A82&lt;'Données projet'!$A$88,$BA$205^A82,IF(A82='Données projet'!$A$88,'Données projet'!$B$88,BD81+BC82-BL81)))</f>
        <v>496.00000000000034</v>
      </c>
      <c r="BE82" s="14">
        <f>BD82*VLOOKUP('Données projet'!$B$11,Paramètres!$A$1:$I$89,3,0)*VLOOKUP('Données projet'!$B$11,Paramètres!$A$1:$I$89,5,0)</f>
        <v>232.12800000000016</v>
      </c>
      <c r="BF82" s="14">
        <f t="shared" si="91"/>
        <v>56.742557967082448</v>
      </c>
      <c r="BG82" s="22">
        <f t="shared" si="61"/>
        <v>503.11622179266891</v>
      </c>
      <c r="BH82" s="62">
        <f t="shared" si="62"/>
        <v>796.44955512600222</v>
      </c>
      <c r="BI82" s="62">
        <f ca="1">AVERAGE(OFFSET($BH$3,0,0,'Données projet'!$E$11+1,1))-AVERAGE(OFFSET($H$3,0,0,'Données projet'!$E$11+1,1))</f>
        <v>221.07273841880755</v>
      </c>
      <c r="BJ82" s="62">
        <f t="shared" si="92"/>
        <v>164.23448598618114</v>
      </c>
      <c r="BK82" s="16">
        <f>IF(ISNA(VLOOKUP(A82,'Données projet'!$A$87:$I$107,3,0)),0,VLOOKUP(A82,'Données projet'!$A$87:$I$107,3,0))</f>
        <v>13</v>
      </c>
      <c r="BL82" s="16">
        <f>IF(ISNA(VLOOKUP(A82,'Données projet'!$A$87:$I$107,4,0)),0,VLOOKUP(A82,'Données projet'!$A$87:$I$107,4,0))</f>
        <v>88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3</v>
      </c>
      <c r="BY82" s="13">
        <f>IF('Données projet'!$A$114&gt;35,BY81+BX82-CG81,IF(A82&lt;'Données projet'!$A$114,$BV$205^A82,IF(A82='Données projet'!$A$114,'Données projet'!$B$114,BY81+BX82-CG81)))</f>
        <v>271.99999999999977</v>
      </c>
      <c r="BZ82" s="14">
        <f>BY82*VLOOKUP('Données projet'!$B$12,Paramètres!$A$1:$I$89,3,0)*VLOOKUP('Données projet'!$B$12,Paramètres!$A$1:$I$89,5,0)</f>
        <v>216.40319999999983</v>
      </c>
      <c r="CA82" s="14">
        <f t="shared" si="93"/>
        <v>53.332390601194746</v>
      </c>
      <c r="CB82" s="22">
        <f t="shared" si="64"/>
        <v>469.78948696374727</v>
      </c>
      <c r="CC82" s="62">
        <f t="shared" si="65"/>
        <v>763.12282029708058</v>
      </c>
      <c r="CD82" s="62">
        <f ca="1">AVERAGE(OFFSET($CC$3,0,0,'Données projet'!$E$12+1,1))-AVERAGE(OFFSET($H$3,0,0,'Données projet'!$E$12+1,1))</f>
        <v>219.2279518699109</v>
      </c>
      <c r="CE82" s="62">
        <f t="shared" si="94"/>
        <v>219.59799863414099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2.8742073644895516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2.8742073644895516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2">
        <f t="shared" si="86"/>
        <v>12.968979282088567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70">
        <f t="shared" si="56"/>
        <v>391.99697224963751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153.59418465942997</v>
      </c>
      <c r="T83" s="62">
        <f t="shared" si="88"/>
        <v>313.61727210988198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36.70493361393526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7.9269690510944799E-6</v>
      </c>
      <c r="AC83" s="24">
        <f t="shared" si="57"/>
        <v>36.704941540904315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8.875</v>
      </c>
      <c r="AI83" s="14">
        <f>IF('Données projet'!$A$62&gt;35,AI82+AH83-AQ82,IF(A83&lt;'Données projet'!$A$62,$AF$205^A83,IF(A83='Données projet'!$A$62,'Données projet'!$B$62,AI82+AH83-AQ82)))</f>
        <v>549.25000000000023</v>
      </c>
      <c r="AJ83" s="14">
        <f>AI83*VLOOKUP('Données projet'!$B$10,Paramètres!$A$1:$I$89,3,0)*VLOOKUP('Données projet'!$B$10,Paramètres!$A$1:$I$89,5,0)</f>
        <v>328.45150000000018</v>
      </c>
      <c r="AK83" s="14">
        <f t="shared" si="89"/>
        <v>77.109175784158708</v>
      </c>
      <c r="AL83" s="22">
        <f t="shared" si="58"/>
        <v>706.35151032407668</v>
      </c>
      <c r="AM83" s="62">
        <f t="shared" si="59"/>
        <v>999.68484365741006</v>
      </c>
      <c r="AN83" s="62">
        <f ca="1">AVERAGE(OFFSET($AM$3,0,0,'Données projet'!$E$10+1,1))-AVERAGE(OFFSET($H$3,0,0,'Données projet'!$E$10+1,1))</f>
        <v>288.15107951401188</v>
      </c>
      <c r="AO83" s="62">
        <f t="shared" si="90"/>
        <v>217.57508587672368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2.7649750348284541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4.0869145211286636E-7</v>
      </c>
      <c r="AX83" s="23">
        <f t="shared" si="60"/>
        <v>2.7649754435199063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423</v>
      </c>
      <c r="BB83" s="13">
        <f>VLOOKUP(A83,'Données projet'!$A$87:$I$107,9,0)</f>
        <v>15</v>
      </c>
      <c r="BC83" s="13">
        <f t="array" ref="BC83">INDEX(BB:BB,MIN(IF(ISNUMBER(BB83:BB279),ROW(BB83:BB279),"")))</f>
        <v>15</v>
      </c>
      <c r="BD83" s="13">
        <f>IF('Données projet'!$A$88&gt;35,BD82+BC83-BL82,IF(A83&lt;'Données projet'!$A$88,$BA$205^A83,IF(A83='Données projet'!$A$88,'Données projet'!$B$88,BD82+BC83-BL82)))</f>
        <v>423.00000000000034</v>
      </c>
      <c r="BE83" s="14">
        <f>BD83*VLOOKUP('Données projet'!$B$11,Paramètres!$A$1:$I$89,3,0)*VLOOKUP('Données projet'!$B$11,Paramètres!$A$1:$I$89,5,0)</f>
        <v>197.96400000000017</v>
      </c>
      <c r="BF83" s="14">
        <f t="shared" si="91"/>
        <v>49.296450435147804</v>
      </c>
      <c r="BG83" s="22">
        <f t="shared" si="61"/>
        <v>430.64528450788265</v>
      </c>
      <c r="BH83" s="62">
        <f t="shared" si="62"/>
        <v>723.97861784121596</v>
      </c>
      <c r="BI83" s="62">
        <f ca="1">AVERAGE(OFFSET($BH$3,0,0,'Données projet'!$E$11+1,1))-AVERAGE(OFFSET($H$3,0,0,'Données projet'!$E$11+1,1))</f>
        <v>221.07273841880755</v>
      </c>
      <c r="BJ83" s="62">
        <f t="shared" si="92"/>
        <v>164.23448598618114</v>
      </c>
      <c r="BK83" s="16">
        <f>IF(ISNA(VLOOKUP(A83,'Données projet'!$A$87:$I$107,3,0)),0,VLOOKUP(A83,'Données projet'!$A$87:$I$107,3,0))</f>
        <v>14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275</v>
      </c>
      <c r="BW83" s="13">
        <f>VLOOKUP(A83,'Données projet'!$A$113:$I$133,9,0)</f>
        <v>3</v>
      </c>
      <c r="BX83" s="13">
        <f t="array" ref="BX83">INDEX(BW:BW,MIN(IF(ISNUMBER(BW83:BW279),ROW(BW83:BW279),"")))</f>
        <v>3</v>
      </c>
      <c r="BY83" s="13">
        <f>IF('Données projet'!$A$114&gt;35,BY82+BX83-CG82,IF(A83&lt;'Données projet'!$A$114,$BV$205^A83,IF(A83='Données projet'!$A$114,'Données projet'!$B$114,BY82+BX83-CG82)))</f>
        <v>274.99999999999977</v>
      </c>
      <c r="BZ83" s="14">
        <f>BY83*VLOOKUP('Données projet'!$B$12,Paramètres!$A$1:$I$89,3,0)*VLOOKUP('Données projet'!$B$12,Paramètres!$A$1:$I$89,5,0)</f>
        <v>218.78999999999982</v>
      </c>
      <c r="CA83" s="14">
        <f t="shared" si="93"/>
        <v>53.851813843863468</v>
      </c>
      <c r="CB83" s="22">
        <f t="shared" si="64"/>
        <v>474.85115911139525</v>
      </c>
      <c r="CC83" s="62">
        <f t="shared" si="65"/>
        <v>768.18449244472856</v>
      </c>
      <c r="CD83" s="62">
        <f ca="1">AVERAGE(OFFSET($CC$3,0,0,'Données projet'!$E$12+1,1))-AVERAGE(OFFSET($H$3,0,0,'Données projet'!$E$12+1,1))</f>
        <v>219.2279518699109</v>
      </c>
      <c r="CE83" s="62">
        <f t="shared" si="94"/>
        <v>219.59799863414099</v>
      </c>
      <c r="CF83" s="16">
        <f>IF(ISNA(VLOOKUP(A83,'Données projet'!$A$113:$I$133,3,0)),0,VLOOKUP(A83,'Données projet'!$A$113:$I$133,3,0))</f>
        <v>14</v>
      </c>
      <c r="CG83" s="16">
        <f>IF(ISNA(VLOOKUP(A83,'Données projet'!$A$113:$I$133,4,0)),0,VLOOKUP(A83,'Données projet'!$A$113:$I$133,4,0))</f>
        <v>275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2.8178459111653003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2.8178459111653003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2">
        <f t="shared" si="86"/>
        <v>13.112117930994097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70">
        <f t="shared" si="56"/>
        <v>393.19722206314799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153.59418465942997</v>
      </c>
      <c r="T84" s="62">
        <f t="shared" si="88"/>
        <v>313.61727210988198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35.985172253564883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5.6052135702847988E-6</v>
      </c>
      <c r="AC84" s="24">
        <f t="shared" si="57"/>
        <v>35.985177858778457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8.875</v>
      </c>
      <c r="AI84" s="14">
        <f>IF('Données projet'!$A$62&gt;35,AI83+AH84-AQ83,IF(A84&lt;'Données projet'!$A$62,$AF$205^A84,IF(A84='Données projet'!$A$62,'Données projet'!$B$62,AI83+AH84-AQ83)))</f>
        <v>558.12500000000023</v>
      </c>
      <c r="AJ84" s="14">
        <f>AI84*VLOOKUP('Données projet'!$B$10,Paramètres!$A$1:$I$89,3,0)*VLOOKUP('Données projet'!$B$10,Paramètres!$A$1:$I$89,5,0)</f>
        <v>333.75875000000019</v>
      </c>
      <c r="AK84" s="14">
        <f t="shared" si="89"/>
        <v>78.209077528625059</v>
      </c>
      <c r="AL84" s="22">
        <f t="shared" si="58"/>
        <v>717.51063294568894</v>
      </c>
      <c r="AM84" s="62">
        <f t="shared" si="59"/>
        <v>1010.8439662790222</v>
      </c>
      <c r="AN84" s="62">
        <f ca="1">AVERAGE(OFFSET($AM$3,0,0,'Données projet'!$E$10+1,1))-AVERAGE(OFFSET($H$3,0,0,'Données projet'!$E$10+1,1))</f>
        <v>288.15107951401188</v>
      </c>
      <c r="AO84" s="62">
        <f t="shared" si="90"/>
        <v>217.57508587672368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2.7107555608637144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2.8898849720198496E-7</v>
      </c>
      <c r="AX84" s="23">
        <f t="shared" si="60"/>
        <v>2.7107558498522115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14.142857142857142</v>
      </c>
      <c r="BD84" s="13">
        <f>IF('Données projet'!$A$88&gt;35,BD83+BC84-BL83,IF(A84&lt;'Données projet'!$A$88,$BA$205^A84,IF(A84='Données projet'!$A$88,'Données projet'!$B$88,BD83+BC84-BL83)))</f>
        <v>437.14285714285751</v>
      </c>
      <c r="BE84" s="14">
        <f>BD84*VLOOKUP('Données projet'!$B$11,Paramètres!$A$1:$I$89,3,0)*VLOOKUP('Données projet'!$B$11,Paramètres!$A$1:$I$89,5,0)</f>
        <v>204.58285714285734</v>
      </c>
      <c r="BF84" s="14">
        <f t="shared" si="91"/>
        <v>50.750009154879976</v>
      </c>
      <c r="BG84" s="22">
        <f t="shared" si="61"/>
        <v>444.70474213522584</v>
      </c>
      <c r="BH84" s="62">
        <f t="shared" si="62"/>
        <v>738.0380754685591</v>
      </c>
      <c r="BI84" s="62">
        <f ca="1">AVERAGE(OFFSET($BH$3,0,0,'Données projet'!$E$11+1,1))-AVERAGE(OFFSET($H$3,0,0,'Données projet'!$E$11+1,1))</f>
        <v>221.07273841880755</v>
      </c>
      <c r="BJ84" s="62">
        <f t="shared" si="92"/>
        <v>164.23448598618114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-2.2737367544323206E-13</v>
      </c>
      <c r="BZ84" s="14">
        <f>BY84*VLOOKUP('Données projet'!$B$12,Paramètres!$A$1:$I$89,3,0)*VLOOKUP('Données projet'!$B$12,Paramètres!$A$1:$I$89,5,0)</f>
        <v>-1.8089849618263545E-13</v>
      </c>
      <c r="CA84" s="14" t="e">
        <f t="shared" si="93"/>
        <v>#NUM!</v>
      </c>
      <c r="CB84" s="22" t="e">
        <f t="shared" si="64"/>
        <v>#NUM!</v>
      </c>
      <c r="CC84" s="62" t="e">
        <f t="shared" si="65"/>
        <v>#NUM!</v>
      </c>
      <c r="CD84" s="62">
        <f ca="1">AVERAGE(OFFSET($CC$3,0,0,'Données projet'!$E$12+1,1))-AVERAGE(OFFSET($H$3,0,0,'Données projet'!$E$12+1,1))</f>
        <v>219.2279518699109</v>
      </c>
      <c r="CE84" s="62">
        <f t="shared" si="94"/>
        <v>219.59799863414099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2.7625896715636453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2.7625896715636453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2">
        <f t="shared" si="86"/>
        <v>13.255051026563269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70">
        <f t="shared" si="56"/>
        <v>394.39711387126425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153.59418465942997</v>
      </c>
      <c r="T85" s="62">
        <f t="shared" si="88"/>
        <v>313.61727210988198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35.279524974460287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3.96348452554724E-6</v>
      </c>
      <c r="AC85" s="24">
        <f t="shared" si="57"/>
        <v>35.279528937944811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>
        <f>VLOOKUP(A85,'Données projet'!$A$61:$I$81,2,0)</f>
        <v>567</v>
      </c>
      <c r="AG85" s="13">
        <f>VLOOKUP(A85,'Données projet'!$A$61:$I$81,9,0)</f>
        <v>8.875</v>
      </c>
      <c r="AH85" s="13">
        <f t="array" ref="AH85">INDEX(AG:AG,MIN(IF(ISNUMBER(AG85:AG281),ROW(AG85:AG281),"")))</f>
        <v>8.875</v>
      </c>
      <c r="AI85" s="14">
        <f>IF('Données projet'!$A$62&gt;35,AI84+AH85-AQ84,IF(A85&lt;'Données projet'!$A$62,$AF$205^A85,IF(A85='Données projet'!$A$62,'Données projet'!$B$62,AI84+AH85-AQ84)))</f>
        <v>567.00000000000023</v>
      </c>
      <c r="AJ85" s="14">
        <f>AI85*VLOOKUP('Données projet'!$B$10,Paramètres!$A$1:$I$89,3,0)*VLOOKUP('Données projet'!$B$10,Paramètres!$A$1:$I$89,5,0)</f>
        <v>339.06600000000014</v>
      </c>
      <c r="AK85" s="14">
        <f t="shared" si="89"/>
        <v>79.30694522486489</v>
      </c>
      <c r="AL85" s="22">
        <f t="shared" si="58"/>
        <v>728.66621293330661</v>
      </c>
      <c r="AM85" s="62">
        <f t="shared" si="59"/>
        <v>1021.99954626664</v>
      </c>
      <c r="AN85" s="62">
        <f ca="1">AVERAGE(OFFSET($AM$3,0,0,'Données projet'!$E$10+1,1))-AVERAGE(OFFSET($H$3,0,0,'Données projet'!$E$10+1,1))</f>
        <v>288.15107951401188</v>
      </c>
      <c r="AO85" s="62">
        <f t="shared" si="90"/>
        <v>217.57508587672368</v>
      </c>
      <c r="AP85" s="16">
        <f>IF(ISNA(VLOOKUP(A85,'Données projet'!$A$61:$I$81,3,0)),0,VLOOKUP(A85,'Données projet'!$A$61:$I$81,3,0))</f>
        <v>11</v>
      </c>
      <c r="AQ85" s="16">
        <f>IF(ISNA(VLOOKUP(A85,'Données projet'!$A$61:$I$81,4,0)),0,VLOOKUP(A85,'Données projet'!$A$61:$I$81,4,0))</f>
        <v>567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2.6575992977128098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2.0434572605643318E-7</v>
      </c>
      <c r="AX85" s="23">
        <f t="shared" si="60"/>
        <v>2.6575995020585359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14.142857142857142</v>
      </c>
      <c r="BD85" s="13">
        <f>IF('Données projet'!$A$88&gt;35,BD84+BC85-BL84,IF(A85&lt;'Données projet'!$A$88,$BA$205^A85,IF(A85='Données projet'!$A$88,'Données projet'!$B$88,BD84+BC85-BL84)))</f>
        <v>451.28571428571468</v>
      </c>
      <c r="BE85" s="14">
        <f>BD85*VLOOKUP('Données projet'!$B$11,Paramètres!$A$1:$I$89,3,0)*VLOOKUP('Données projet'!$B$11,Paramètres!$A$1:$I$89,5,0)</f>
        <v>211.20171428571447</v>
      </c>
      <c r="BF85" s="14">
        <f t="shared" si="91"/>
        <v>52.198103230485451</v>
      </c>
      <c r="BG85" s="22">
        <f t="shared" si="61"/>
        <v>458.75468217404813</v>
      </c>
      <c r="BH85" s="62">
        <f t="shared" si="62"/>
        <v>752.08801550738144</v>
      </c>
      <c r="BI85" s="62">
        <f ca="1">AVERAGE(OFFSET($BH$3,0,0,'Données projet'!$E$11+1,1))-AVERAGE(OFFSET($H$3,0,0,'Données projet'!$E$11+1,1))</f>
        <v>221.07273841880755</v>
      </c>
      <c r="BJ85" s="62">
        <f t="shared" si="92"/>
        <v>164.23448598618114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-2.2737367544323206E-13</v>
      </c>
      <c r="BZ85" s="14">
        <f>BY85*VLOOKUP('Données projet'!$B$12,Paramètres!$A$1:$I$89,3,0)*VLOOKUP('Données projet'!$B$12,Paramètres!$A$1:$I$89,5,0)</f>
        <v>-1.8089849618263545E-13</v>
      </c>
      <c r="CA85" s="14" t="e">
        <f t="shared" si="93"/>
        <v>#NUM!</v>
      </c>
      <c r="CB85" s="22" t="e">
        <f t="shared" si="64"/>
        <v>#NUM!</v>
      </c>
      <c r="CC85" s="62" t="e">
        <f t="shared" si="65"/>
        <v>#NUM!</v>
      </c>
      <c r="CD85" s="62">
        <f ca="1">AVERAGE(OFFSET($CC$3,0,0,'Données projet'!$E$12+1,1))-AVERAGE(OFFSET($H$3,0,0,'Données projet'!$E$12+1,1))</f>
        <v>219.2279518699109</v>
      </c>
      <c r="CE85" s="62">
        <f t="shared" si="94"/>
        <v>219.59799863414099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2.7084169731176004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2.7084169731176004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2">
        <f t="shared" si="86"/>
        <v>13.397781365483624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70">
        <f t="shared" si="56"/>
        <v>395.59665254488391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153.59418465942997</v>
      </c>
      <c r="T86" s="62">
        <f t="shared" si="88"/>
        <v>313.61727210988198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34.587715008096588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2.8026067851423994E-6</v>
      </c>
      <c r="AC86" s="24">
        <f t="shared" si="57"/>
        <v>34.587717810703374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2.2737367544323206E-13</v>
      </c>
      <c r="AJ86" s="14">
        <f>AI86*VLOOKUP('Données projet'!$B$10,Paramètres!$A$1:$I$89,3,0)*VLOOKUP('Données projet'!$B$10,Paramètres!$A$1:$I$89,5,0)</f>
        <v>1.3596945791505279E-13</v>
      </c>
      <c r="AK86" s="14">
        <f t="shared" si="89"/>
        <v>1.9708830566360721E-12</v>
      </c>
      <c r="AL86" s="22">
        <f t="shared" si="58"/>
        <v>3.669434796176543E-12</v>
      </c>
      <c r="AM86" s="62">
        <f t="shared" si="59"/>
        <v>293.33333333333701</v>
      </c>
      <c r="AN86" s="62">
        <f ca="1">AVERAGE(OFFSET($AM$3,0,0,'Données projet'!$E$10+1,1))-AVERAGE(OFFSET($H$3,0,0,'Données projet'!$E$10+1,1))</f>
        <v>288.15107951401188</v>
      </c>
      <c r="AO86" s="62">
        <f t="shared" si="90"/>
        <v>217.57508587672368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2.6054853964601752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1.4449424860099248E-7</v>
      </c>
      <c r="AX86" s="23">
        <f t="shared" si="60"/>
        <v>2.6054855409544238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14.142857142857142</v>
      </c>
      <c r="BD86" s="13">
        <f>IF('Données projet'!$A$88&gt;35,BD85+BC86-BL85,IF(A86&lt;'Données projet'!$A$88,$BA$205^A86,IF(A86='Données projet'!$A$88,'Données projet'!$B$88,BD85+BC86-BL85)))</f>
        <v>465.42857142857184</v>
      </c>
      <c r="BE86" s="14">
        <f>BD86*VLOOKUP('Données projet'!$B$11,Paramètres!$A$1:$I$89,3,0)*VLOOKUP('Données projet'!$B$11,Paramètres!$A$1:$I$89,5,0)</f>
        <v>217.82057142857164</v>
      </c>
      <c r="BF86" s="14">
        <f t="shared" si="91"/>
        <v>53.640923568007189</v>
      </c>
      <c r="BG86" s="22">
        <f t="shared" si="61"/>
        <v>472.79543711904148</v>
      </c>
      <c r="BH86" s="62">
        <f t="shared" si="62"/>
        <v>766.12877045237474</v>
      </c>
      <c r="BI86" s="62">
        <f ca="1">AVERAGE(OFFSET($BH$3,0,0,'Données projet'!$E$11+1,1))-AVERAGE(OFFSET($H$3,0,0,'Données projet'!$E$11+1,1))</f>
        <v>221.07273841880755</v>
      </c>
      <c r="BJ86" s="62">
        <f t="shared" si="92"/>
        <v>164.23448598618114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-2.2737367544323206E-13</v>
      </c>
      <c r="BZ86" s="14">
        <f>BY86*VLOOKUP('Données projet'!$B$12,Paramètres!$A$1:$I$89,3,0)*VLOOKUP('Données projet'!$B$12,Paramètres!$A$1:$I$89,5,0)</f>
        <v>-1.8089849618263545E-13</v>
      </c>
      <c r="CA86" s="14" t="e">
        <f t="shared" si="93"/>
        <v>#NUM!</v>
      </c>
      <c r="CB86" s="22" t="e">
        <f t="shared" si="64"/>
        <v>#NUM!</v>
      </c>
      <c r="CC86" s="62" t="e">
        <f t="shared" si="65"/>
        <v>#NUM!</v>
      </c>
      <c r="CD86" s="62">
        <f ca="1">AVERAGE(OFFSET($CC$3,0,0,'Données projet'!$E$12+1,1))-AVERAGE(OFFSET($H$3,0,0,'Données projet'!$E$12+1,1))</f>
        <v>219.2279518699109</v>
      </c>
      <c r="CE86" s="62">
        <f t="shared" si="94"/>
        <v>219.59799863414099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2.6553065682459991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2.6553065682459991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2">
        <f t="shared" si="86"/>
        <v>13.540311673175388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70">
        <f t="shared" si="56"/>
        <v>396.79584283078037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153.59418465942997</v>
      </c>
      <c r="T87" s="62">
        <f t="shared" si="88"/>
        <v>313.61727210988198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33.909471013210869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1.98174226277362E-6</v>
      </c>
      <c r="AC87" s="24">
        <f t="shared" si="57"/>
        <v>33.909472994953134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2.2737367544323206E-13</v>
      </c>
      <c r="AJ87" s="14">
        <f>AI87*VLOOKUP('Données projet'!$B$10,Paramètres!$A$1:$I$89,3,0)*VLOOKUP('Données projet'!$B$10,Paramètres!$A$1:$I$89,5,0)</f>
        <v>1.3596945791505279E-13</v>
      </c>
      <c r="AK87" s="14">
        <f t="shared" si="89"/>
        <v>1.9708830566360721E-12</v>
      </c>
      <c r="AL87" s="22">
        <f t="shared" si="58"/>
        <v>3.669434796176543E-12</v>
      </c>
      <c r="AM87" s="62">
        <f t="shared" si="59"/>
        <v>293.33333333333701</v>
      </c>
      <c r="AN87" s="62">
        <f ca="1">AVERAGE(OFFSET($AM$3,0,0,'Données projet'!$E$10+1,1))-AVERAGE(OFFSET($H$3,0,0,'Données projet'!$E$10+1,1))</f>
        <v>288.15107951401188</v>
      </c>
      <c r="AO87" s="62">
        <f t="shared" si="90"/>
        <v>217.57508587672368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2.5543934170247637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1.0217286302821659E-7</v>
      </c>
      <c r="AX87" s="23">
        <f t="shared" si="60"/>
        <v>2.5543935191976268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14.142857142857142</v>
      </c>
      <c r="BD87" s="13">
        <f>IF('Données projet'!$A$88&gt;35,BD86+BC87-BL86,IF(A87&lt;'Données projet'!$A$88,$BA$205^A87,IF(A87='Données projet'!$A$88,'Données projet'!$B$88,BD86+BC87-BL86)))</f>
        <v>479.57142857142901</v>
      </c>
      <c r="BE87" s="14">
        <f>BD87*VLOOKUP('Données projet'!$B$11,Paramètres!$A$1:$I$89,3,0)*VLOOKUP('Données projet'!$B$11,Paramètres!$A$1:$I$89,5,0)</f>
        <v>224.43942857142878</v>
      </c>
      <c r="BF87" s="14">
        <f t="shared" si="91"/>
        <v>55.078648812192505</v>
      </c>
      <c r="BG87" s="22">
        <f t="shared" si="61"/>
        <v>486.82731810980704</v>
      </c>
      <c r="BH87" s="62">
        <f t="shared" si="62"/>
        <v>780.1606514431403</v>
      </c>
      <c r="BI87" s="62">
        <f ca="1">AVERAGE(OFFSET($BH$3,0,0,'Données projet'!$E$11+1,1))-AVERAGE(OFFSET($H$3,0,0,'Données projet'!$E$11+1,1))</f>
        <v>221.07273841880755</v>
      </c>
      <c r="BJ87" s="62">
        <f t="shared" si="92"/>
        <v>164.23448598618114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-2.2737367544323206E-13</v>
      </c>
      <c r="BZ87" s="14">
        <f>BY87*VLOOKUP('Données projet'!$B$12,Paramètres!$A$1:$I$89,3,0)*VLOOKUP('Données projet'!$B$12,Paramètres!$A$1:$I$89,5,0)</f>
        <v>-1.8089849618263545E-13</v>
      </c>
      <c r="CA87" s="14" t="e">
        <f t="shared" si="93"/>
        <v>#NUM!</v>
      </c>
      <c r="CB87" s="22" t="e">
        <f t="shared" si="64"/>
        <v>#NUM!</v>
      </c>
      <c r="CC87" s="62" t="e">
        <f t="shared" si="65"/>
        <v>#NUM!</v>
      </c>
      <c r="CD87" s="62">
        <f ca="1">AVERAGE(OFFSET($CC$3,0,0,'Données projet'!$E$12+1,1))-AVERAGE(OFFSET($H$3,0,0,'Données projet'!$E$12+1,1))</f>
        <v>219.2279518699109</v>
      </c>
      <c r="CE87" s="62">
        <f t="shared" si="94"/>
        <v>219.59799863414099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2.6032376260197818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2.6032376260197818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2">
        <f t="shared" si="86"/>
        <v>13.68264460643392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70">
        <f t="shared" si="56"/>
        <v>397.99468935620564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153.59418465942997</v>
      </c>
      <c r="T88" s="62">
        <f t="shared" si="88"/>
        <v>313.61727210988198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33.244526969376871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1.4013033925711997E-6</v>
      </c>
      <c r="AC88" s="24">
        <f t="shared" si="57"/>
        <v>33.244528370680264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2.2737367544323206E-13</v>
      </c>
      <c r="AJ88" s="14">
        <f>AI88*VLOOKUP('Données projet'!$B$10,Paramètres!$A$1:$I$89,3,0)*VLOOKUP('Données projet'!$B$10,Paramètres!$A$1:$I$89,5,0)</f>
        <v>1.3596945791505279E-13</v>
      </c>
      <c r="AK88" s="14">
        <f t="shared" si="89"/>
        <v>1.9708830566360721E-12</v>
      </c>
      <c r="AL88" s="22">
        <f t="shared" si="58"/>
        <v>3.669434796176543E-12</v>
      </c>
      <c r="AM88" s="62">
        <f t="shared" si="59"/>
        <v>293.33333333333701</v>
      </c>
      <c r="AN88" s="62">
        <f ca="1">AVERAGE(OFFSET($AM$3,0,0,'Données projet'!$E$10+1,1))-AVERAGE(OFFSET($H$3,0,0,'Données projet'!$E$10+1,1))</f>
        <v>288.15107951401188</v>
      </c>
      <c r="AO88" s="62">
        <f t="shared" si="90"/>
        <v>217.57508587672368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2.50430332014305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7.2247124300496239E-8</v>
      </c>
      <c r="AX88" s="23">
        <f t="shared" si="60"/>
        <v>2.5043033923901743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14.142857142857142</v>
      </c>
      <c r="BD88" s="13">
        <f>IF('Données projet'!$A$88&gt;35,BD87+BC88-BL87,IF(A88&lt;'Données projet'!$A$88,$BA$205^A88,IF(A88='Données projet'!$A$88,'Données projet'!$B$88,BD87+BC88-BL87)))</f>
        <v>493.71428571428618</v>
      </c>
      <c r="BE88" s="14">
        <f>BD88*VLOOKUP('Données projet'!$B$11,Paramètres!$A$1:$I$89,3,0)*VLOOKUP('Données projet'!$B$11,Paramètres!$A$1:$I$89,5,0)</f>
        <v>231.05828571428594</v>
      </c>
      <c r="BF88" s="14">
        <f t="shared" si="91"/>
        <v>56.511446472092771</v>
      </c>
      <c r="BG88" s="22">
        <f t="shared" si="61"/>
        <v>500.85061689127627</v>
      </c>
      <c r="BH88" s="62">
        <f t="shared" si="62"/>
        <v>794.18395022460959</v>
      </c>
      <c r="BI88" s="62">
        <f ca="1">AVERAGE(OFFSET($BH$3,0,0,'Données projet'!$E$11+1,1))-AVERAGE(OFFSET($H$3,0,0,'Données projet'!$E$11+1,1))</f>
        <v>221.07273841880755</v>
      </c>
      <c r="BJ88" s="62">
        <f t="shared" si="92"/>
        <v>164.23448598618114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-2.2737367544323206E-13</v>
      </c>
      <c r="BZ88" s="14">
        <f>BY88*VLOOKUP('Données projet'!$B$12,Paramètres!$A$1:$I$89,3,0)*VLOOKUP('Données projet'!$B$12,Paramètres!$A$1:$I$89,5,0)</f>
        <v>-1.8089849618263545E-13</v>
      </c>
      <c r="CA88" s="14" t="e">
        <f t="shared" si="93"/>
        <v>#NUM!</v>
      </c>
      <c r="CB88" s="22" t="e">
        <f t="shared" si="64"/>
        <v>#NUM!</v>
      </c>
      <c r="CC88" s="62" t="e">
        <f t="shared" si="65"/>
        <v>#NUM!</v>
      </c>
      <c r="CD88" s="62">
        <f ca="1">AVERAGE(OFFSET($CC$3,0,0,'Données projet'!$E$12+1,1))-AVERAGE(OFFSET($H$3,0,0,'Données projet'!$E$12+1,1))</f>
        <v>219.2279518699109</v>
      </c>
      <c r="CE88" s="62">
        <f t="shared" si="94"/>
        <v>219.59799863414099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2.552189723991702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2.552189723991702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2">
        <f t="shared" si="86"/>
        <v>13.824782755944199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70">
        <f t="shared" si="56"/>
        <v>399.19319663326939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153.59418465942997</v>
      </c>
      <c r="T89" s="62">
        <f t="shared" si="88"/>
        <v>313.61727210988198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32.592622072666636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9.9087113138680999E-7</v>
      </c>
      <c r="AC89" s="24">
        <f t="shared" si="57"/>
        <v>32.592623063537765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2.2737367544323206E-13</v>
      </c>
      <c r="AJ89" s="14">
        <f>AI89*VLOOKUP('Données projet'!$B$10,Paramètres!$A$1:$I$89,3,0)*VLOOKUP('Données projet'!$B$10,Paramètres!$A$1:$I$89,5,0)</f>
        <v>1.3596945791505279E-13</v>
      </c>
      <c r="AK89" s="14">
        <f t="shared" si="89"/>
        <v>1.9708830566360721E-12</v>
      </c>
      <c r="AL89" s="22">
        <f t="shared" si="58"/>
        <v>3.669434796176543E-12</v>
      </c>
      <c r="AM89" s="62">
        <f t="shared" si="59"/>
        <v>293.33333333333701</v>
      </c>
      <c r="AN89" s="62">
        <f ca="1">AVERAGE(OFFSET($AM$3,0,0,'Données projet'!$E$10+1,1))-AVERAGE(OFFSET($H$3,0,0,'Données projet'!$E$10+1,1))</f>
        <v>288.15107951401188</v>
      </c>
      <c r="AO89" s="62">
        <f t="shared" si="90"/>
        <v>217.57508587672368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2.4551954595092447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5.1086431514108295E-8</v>
      </c>
      <c r="AX89" s="23">
        <f t="shared" si="60"/>
        <v>2.4551955105956762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14.142857142857142</v>
      </c>
      <c r="BD89" s="13">
        <f>IF('Données projet'!$A$88&gt;35,BD88+BC89-BL88,IF(A89&lt;'Données projet'!$A$88,$BA$205^A89,IF(A89='Données projet'!$A$88,'Données projet'!$B$88,BD88+BC89-BL88)))</f>
        <v>507.85714285714334</v>
      </c>
      <c r="BE89" s="14">
        <f>BD89*VLOOKUP('Données projet'!$B$11,Paramètres!$A$1:$I$89,3,0)*VLOOKUP('Données projet'!$B$11,Paramètres!$A$1:$I$89,5,0)</f>
        <v>237.67714285714308</v>
      </c>
      <c r="BF89" s="14">
        <f t="shared" si="91"/>
        <v>57.939473914063178</v>
      </c>
      <c r="BG89" s="22">
        <f t="shared" si="61"/>
        <v>514.86560754318418</v>
      </c>
      <c r="BH89" s="62">
        <f t="shared" si="62"/>
        <v>808.19894087651755</v>
      </c>
      <c r="BI89" s="62">
        <f ca="1">AVERAGE(OFFSET($BH$3,0,0,'Données projet'!$E$11+1,1))-AVERAGE(OFFSET($H$3,0,0,'Données projet'!$E$11+1,1))</f>
        <v>221.07273841880755</v>
      </c>
      <c r="BJ89" s="62">
        <f t="shared" si="92"/>
        <v>164.23448598618114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-2.2737367544323206E-13</v>
      </c>
      <c r="BZ89" s="14">
        <f>BY89*VLOOKUP('Données projet'!$B$12,Paramètres!$A$1:$I$89,3,0)*VLOOKUP('Données projet'!$B$12,Paramètres!$A$1:$I$89,5,0)</f>
        <v>-1.8089849618263545E-13</v>
      </c>
      <c r="CA89" s="14" t="e">
        <f t="shared" si="93"/>
        <v>#NUM!</v>
      </c>
      <c r="CB89" s="22" t="e">
        <f t="shared" si="64"/>
        <v>#NUM!</v>
      </c>
      <c r="CC89" s="62" t="e">
        <f t="shared" si="65"/>
        <v>#NUM!</v>
      </c>
      <c r="CD89" s="62">
        <f ca="1">AVERAGE(OFFSET($CC$3,0,0,'Données projet'!$E$12+1,1))-AVERAGE(OFFSET($H$3,0,0,'Données projet'!$E$12+1,1))</f>
        <v>219.2279518699109</v>
      </c>
      <c r="CE89" s="62">
        <f t="shared" si="94"/>
        <v>219.59799863414099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2.5021428401862469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2.5021428401862469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2">
        <f t="shared" si="86"/>
        <v>13.966728648675151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70">
        <f t="shared" si="56"/>
        <v>400.39136906310915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153.59418465942997</v>
      </c>
      <c r="T90" s="62">
        <f t="shared" si="88"/>
        <v>313.61727210988198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31.953500633358168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7.0065169628559984E-7</v>
      </c>
      <c r="AC90" s="24">
        <f t="shared" si="57"/>
        <v>31.953501334009864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2.2737367544323206E-13</v>
      </c>
      <c r="AJ90" s="14">
        <f>AI90*VLOOKUP('Données projet'!$B$10,Paramètres!$A$1:$I$89,3,0)*VLOOKUP('Données projet'!$B$10,Paramètres!$A$1:$I$89,5,0)</f>
        <v>1.3596945791505279E-13</v>
      </c>
      <c r="AK90" s="14">
        <f t="shared" si="89"/>
        <v>1.9708830566360721E-12</v>
      </c>
      <c r="AL90" s="22">
        <f t="shared" si="58"/>
        <v>3.669434796176543E-12</v>
      </c>
      <c r="AM90" s="62">
        <f t="shared" si="59"/>
        <v>293.33333333333701</v>
      </c>
      <c r="AN90" s="62">
        <f ca="1">AVERAGE(OFFSET($AM$3,0,0,'Données projet'!$E$10+1,1))-AVERAGE(OFFSET($H$3,0,0,'Données projet'!$E$10+1,1))</f>
        <v>288.15107951401188</v>
      </c>
      <c r="AO90" s="62">
        <f t="shared" si="90"/>
        <v>217.57508587672368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2.4070505740696309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3.6123562150248119E-8</v>
      </c>
      <c r="AX90" s="23">
        <f t="shared" si="60"/>
        <v>2.4070506101931932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>
        <f>VLOOKUP(A90,'Données projet'!$A$87:$I$107,2,0)</f>
        <v>522</v>
      </c>
      <c r="BB90" s="13">
        <f>VLOOKUP(A90,'Données projet'!$A$87:$I$107,9,0)</f>
        <v>14.142857142857142</v>
      </c>
      <c r="BC90" s="13">
        <f t="array" ref="BC90">INDEX(BB:BB,MIN(IF(ISNUMBER(BB90:BB286),ROW(BB90:BB286),"")))</f>
        <v>14.142857142857142</v>
      </c>
      <c r="BD90" s="13">
        <f>IF('Données projet'!$A$88&gt;35,BD89+BC90-BL89,IF(A90&lt;'Données projet'!$A$88,$BA$205^A90,IF(A90='Données projet'!$A$88,'Données projet'!$B$88,BD89+BC90-BL89)))</f>
        <v>522.00000000000045</v>
      </c>
      <c r="BE90" s="14">
        <f>BD90*VLOOKUP('Données projet'!$B$11,Paramètres!$A$1:$I$89,3,0)*VLOOKUP('Données projet'!$B$11,Paramètres!$A$1:$I$89,5,0)</f>
        <v>244.29600000000022</v>
      </c>
      <c r="BF90" s="14">
        <f t="shared" si="91"/>
        <v>59.362879241040417</v>
      </c>
      <c r="BG90" s="22">
        <f t="shared" si="61"/>
        <v>528.87254801147901</v>
      </c>
      <c r="BH90" s="62">
        <f t="shared" si="62"/>
        <v>822.20588134481227</v>
      </c>
      <c r="BI90" s="62">
        <f ca="1">AVERAGE(OFFSET($BH$3,0,0,'Données projet'!$E$11+1,1))-AVERAGE(OFFSET($H$3,0,0,'Données projet'!$E$11+1,1))</f>
        <v>221.07273841880755</v>
      </c>
      <c r="BJ90" s="62">
        <f t="shared" si="92"/>
        <v>164.23448598618114</v>
      </c>
      <c r="BK90" s="16">
        <f>IF(ISNA(VLOOKUP(A90,'Données projet'!$A$87:$I$107,3,0)),0,VLOOKUP(A90,'Données projet'!$A$87:$I$107,3,0))</f>
        <v>15</v>
      </c>
      <c r="BL90" s="16">
        <f>IF(ISNA(VLOOKUP(A90,'Données projet'!$A$87:$I$107,4,0)),0,VLOOKUP(A90,'Données projet'!$A$87:$I$107,4,0))</f>
        <v>89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-2.2737367544323206E-13</v>
      </c>
      <c r="BZ90" s="14">
        <f>BY90*VLOOKUP('Données projet'!$B$12,Paramètres!$A$1:$I$89,3,0)*VLOOKUP('Données projet'!$B$12,Paramètres!$A$1:$I$89,5,0)</f>
        <v>-1.8089849618263545E-13</v>
      </c>
      <c r="CA90" s="14" t="e">
        <f t="shared" si="93"/>
        <v>#NUM!</v>
      </c>
      <c r="CB90" s="22" t="e">
        <f t="shared" si="64"/>
        <v>#NUM!</v>
      </c>
      <c r="CC90" s="62" t="e">
        <f t="shared" si="65"/>
        <v>#NUM!</v>
      </c>
      <c r="CD90" s="62">
        <f ca="1">AVERAGE(OFFSET($CC$3,0,0,'Données projet'!$E$12+1,1))-AVERAGE(OFFSET($H$3,0,0,'Données projet'!$E$12+1,1))</f>
        <v>219.2279518699109</v>
      </c>
      <c r="CE90" s="62">
        <f t="shared" si="94"/>
        <v>219.59799863414099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2.4530773452466317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2.4530773452466317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2">
        <f t="shared" si="86"/>
        <v>14.10848475016061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70">
        <f t="shared" si="56"/>
        <v>401.58921093986299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153.59418465942997</v>
      </c>
      <c r="T91" s="62">
        <f t="shared" si="88"/>
        <v>313.61727210988198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31.326911975648951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4.9543556569340499E-7</v>
      </c>
      <c r="AC91" s="24">
        <f t="shared" si="57"/>
        <v>31.326912471084515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2.2737367544323206E-13</v>
      </c>
      <c r="AJ91" s="14">
        <f>AI91*VLOOKUP('Données projet'!$B$10,Paramètres!$A$1:$I$89,3,0)*VLOOKUP('Données projet'!$B$10,Paramètres!$A$1:$I$89,5,0)</f>
        <v>1.3596945791505279E-13</v>
      </c>
      <c r="AK91" s="14">
        <f t="shared" si="89"/>
        <v>1.9708830566360721E-12</v>
      </c>
      <c r="AL91" s="22">
        <f t="shared" si="58"/>
        <v>3.669434796176543E-12</v>
      </c>
      <c r="AM91" s="62">
        <f t="shared" si="59"/>
        <v>293.33333333333701</v>
      </c>
      <c r="AN91" s="62">
        <f ca="1">AVERAGE(OFFSET($AM$3,0,0,'Données projet'!$E$10+1,1))-AVERAGE(OFFSET($H$3,0,0,'Données projet'!$E$10+1,1))</f>
        <v>288.15107951401188</v>
      </c>
      <c r="AO91" s="62">
        <f t="shared" si="90"/>
        <v>217.57508587672368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2.3598497804680072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2.5543215757054148E-8</v>
      </c>
      <c r="AX91" s="23">
        <f t="shared" si="60"/>
        <v>2.3598498060112227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>
        <f>VLOOKUP(A91,'Données projet'!$A$87:$I$107,2,0)</f>
        <v>447</v>
      </c>
      <c r="BB91" s="13">
        <f>VLOOKUP(A91,'Données projet'!$A$87:$I$107,9,0)</f>
        <v>14</v>
      </c>
      <c r="BC91" s="13">
        <f t="array" ref="BC91">INDEX(BB:BB,MIN(IF(ISNUMBER(BB91:BB287),ROW(BB91:BB287),"")))</f>
        <v>14</v>
      </c>
      <c r="BD91" s="13">
        <f>IF('Données projet'!$A$88&gt;35,BD90+BC91-BL90,IF(A91&lt;'Données projet'!$A$88,$BA$205^A91,IF(A91='Données projet'!$A$88,'Données projet'!$B$88,BD90+BC91-BL90)))</f>
        <v>447.00000000000045</v>
      </c>
      <c r="BE91" s="14">
        <f>BD91*VLOOKUP('Données projet'!$B$11,Paramètres!$A$1:$I$89,3,0)*VLOOKUP('Données projet'!$B$11,Paramètres!$A$1:$I$89,5,0)</f>
        <v>209.19600000000023</v>
      </c>
      <c r="BF91" s="14">
        <f t="shared" si="91"/>
        <v>51.759852265375834</v>
      </c>
      <c r="BG91" s="22">
        <f t="shared" si="61"/>
        <v>454.4981093621966</v>
      </c>
      <c r="BH91" s="62">
        <f t="shared" si="62"/>
        <v>747.83144269552986</v>
      </c>
      <c r="BI91" s="62">
        <f ca="1">AVERAGE(OFFSET($BH$3,0,0,'Données projet'!$E$11+1,1))-AVERAGE(OFFSET($H$3,0,0,'Données projet'!$E$11+1,1))</f>
        <v>221.07273841880755</v>
      </c>
      <c r="BJ91" s="62">
        <f t="shared" si="92"/>
        <v>164.23448598618114</v>
      </c>
      <c r="BK91" s="16">
        <f>IF(ISNA(VLOOKUP(A91,'Données projet'!$A$87:$I$107,3,0)),0,VLOOKUP(A91,'Données projet'!$A$87:$I$107,3,0))</f>
        <v>16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-2.2737367544323206E-13</v>
      </c>
      <c r="BZ91" s="14">
        <f>BY91*VLOOKUP('Données projet'!$B$12,Paramètres!$A$1:$I$89,3,0)*VLOOKUP('Données projet'!$B$12,Paramètres!$A$1:$I$89,5,0)</f>
        <v>-1.8089849618263545E-13</v>
      </c>
      <c r="CA91" s="14" t="e">
        <f t="shared" si="93"/>
        <v>#NUM!</v>
      </c>
      <c r="CB91" s="22" t="e">
        <f t="shared" si="64"/>
        <v>#NUM!</v>
      </c>
      <c r="CC91" s="62" t="e">
        <f t="shared" si="65"/>
        <v>#NUM!</v>
      </c>
      <c r="CD91" s="62">
        <f ca="1">AVERAGE(OFFSET($CC$3,0,0,'Données projet'!$E$12+1,1))-AVERAGE(OFFSET($H$3,0,0,'Données projet'!$E$12+1,1))</f>
        <v>219.2279518699109</v>
      </c>
      <c r="CE91" s="62">
        <f t="shared" si="94"/>
        <v>219.59799863414099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2.4049739947357853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2.4049739947357853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2">
        <f t="shared" si="86"/>
        <v>14.250053466673728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70">
        <f t="shared" si="56"/>
        <v>402.78672645445664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153.59418465942997</v>
      </c>
      <c r="T92" s="62">
        <f t="shared" si="88"/>
        <v>313.61727210988198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30.712610339336067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3.5032584814279992E-7</v>
      </c>
      <c r="AC92" s="24">
        <f t="shared" si="57"/>
        <v>30.712610689661915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2.2737367544323206E-13</v>
      </c>
      <c r="AJ92" s="14">
        <f>AI92*VLOOKUP('Données projet'!$B$10,Paramètres!$A$1:$I$89,3,0)*VLOOKUP('Données projet'!$B$10,Paramètres!$A$1:$I$89,5,0)</f>
        <v>1.3596945791505279E-13</v>
      </c>
      <c r="AK92" s="14">
        <f t="shared" si="89"/>
        <v>1.9708830566360721E-12</v>
      </c>
      <c r="AL92" s="22">
        <f t="shared" si="58"/>
        <v>3.669434796176543E-12</v>
      </c>
      <c r="AM92" s="62">
        <f t="shared" si="59"/>
        <v>293.33333333333701</v>
      </c>
      <c r="AN92" s="62">
        <f ca="1">AVERAGE(OFFSET($AM$3,0,0,'Données projet'!$E$10+1,1))-AVERAGE(OFFSET($H$3,0,0,'Données projet'!$E$10+1,1))</f>
        <v>288.15107951401188</v>
      </c>
      <c r="AO92" s="62">
        <f t="shared" si="90"/>
        <v>217.57508587672368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2.3135745656392701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1.806178107512406E-8</v>
      </c>
      <c r="AX92" s="23">
        <f t="shared" si="60"/>
        <v>2.3135745837010511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13</v>
      </c>
      <c r="BD92" s="13">
        <f>IF('Données projet'!$A$88&gt;35,BD91+BC92-BL91,IF(A92&lt;'Données projet'!$A$88,$BA$205^A92,IF(A92='Données projet'!$A$88,'Données projet'!$B$88,BD91+BC92-BL91)))</f>
        <v>460.00000000000045</v>
      </c>
      <c r="BE92" s="14">
        <f>BD92*VLOOKUP('Données projet'!$B$11,Paramètres!$A$1:$I$89,3,0)*VLOOKUP('Données projet'!$B$11,Paramètres!$A$1:$I$89,5,0)</f>
        <v>215.28000000000023</v>
      </c>
      <c r="BF92" s="14">
        <f t="shared" si="91"/>
        <v>53.08772574085318</v>
      </c>
      <c r="BG92" s="22">
        <f t="shared" si="61"/>
        <v>467.40712233198633</v>
      </c>
      <c r="BH92" s="62">
        <f t="shared" si="62"/>
        <v>760.74045566531959</v>
      </c>
      <c r="BI92" s="62">
        <f ca="1">AVERAGE(OFFSET($BH$3,0,0,'Données projet'!$E$11+1,1))-AVERAGE(OFFSET($H$3,0,0,'Données projet'!$E$11+1,1))</f>
        <v>221.07273841880755</v>
      </c>
      <c r="BJ92" s="62">
        <f t="shared" si="92"/>
        <v>164.23448598618114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-2.2737367544323206E-13</v>
      </c>
      <c r="BZ92" s="14">
        <f>BY92*VLOOKUP('Données projet'!$B$12,Paramètres!$A$1:$I$89,3,0)*VLOOKUP('Données projet'!$B$12,Paramètres!$A$1:$I$89,5,0)</f>
        <v>-1.8089849618263545E-13</v>
      </c>
      <c r="CA92" s="14" t="e">
        <f t="shared" si="93"/>
        <v>#NUM!</v>
      </c>
      <c r="CB92" s="22" t="e">
        <f t="shared" si="64"/>
        <v>#NUM!</v>
      </c>
      <c r="CC92" s="62" t="e">
        <f t="shared" si="65"/>
        <v>#NUM!</v>
      </c>
      <c r="CD92" s="62">
        <f ca="1">AVERAGE(OFFSET($CC$3,0,0,'Données projet'!$E$12+1,1))-AVERAGE(OFFSET($H$3,0,0,'Données projet'!$E$12+1,1))</f>
        <v>219.2279518699109</v>
      </c>
      <c r="CE92" s="62">
        <f t="shared" si="94"/>
        <v>219.59799863414099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2.3578139215883103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2.3578139215883103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2">
        <f t="shared" si="86"/>
        <v>14.391437147300854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70">
        <f t="shared" si="56"/>
        <v>403.98391969821557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153.59418465942997</v>
      </c>
      <c r="T93" s="62">
        <f t="shared" si="88"/>
        <v>313.61727210988198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30.110354783424278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2.477177828467025E-7</v>
      </c>
      <c r="AC93" s="24">
        <f t="shared" si="57"/>
        <v>30.11035503114206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2.2737367544323206E-13</v>
      </c>
      <c r="AJ93" s="14">
        <f>AI93*VLOOKUP('Données projet'!$B$10,Paramètres!$A$1:$I$89,3,0)*VLOOKUP('Données projet'!$B$10,Paramètres!$A$1:$I$89,5,0)</f>
        <v>1.3596945791505279E-13</v>
      </c>
      <c r="AK93" s="14">
        <f t="shared" si="89"/>
        <v>1.9708830566360721E-12</v>
      </c>
      <c r="AL93" s="22">
        <f t="shared" si="58"/>
        <v>3.669434796176543E-12</v>
      </c>
      <c r="AM93" s="62">
        <f t="shared" si="59"/>
        <v>293.33333333333701</v>
      </c>
      <c r="AN93" s="62">
        <f ca="1">AVERAGE(OFFSET($AM$3,0,0,'Données projet'!$E$10+1,1))-AVERAGE(OFFSET($H$3,0,0,'Données projet'!$E$10+1,1))</f>
        <v>288.15107951401188</v>
      </c>
      <c r="AO93" s="62">
        <f t="shared" si="90"/>
        <v>217.57508587672368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2.2682067795482306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1.2771607878527074E-8</v>
      </c>
      <c r="AX93" s="23">
        <f t="shared" si="60"/>
        <v>2.2682067923198383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13</v>
      </c>
      <c r="BD93" s="13">
        <f>IF('Données projet'!$A$88&gt;35,BD92+BC93-BL92,IF(A93&lt;'Données projet'!$A$88,$BA$205^A93,IF(A93='Données projet'!$A$88,'Données projet'!$B$88,BD92+BC93-BL92)))</f>
        <v>473.00000000000045</v>
      </c>
      <c r="BE93" s="14">
        <f>BD93*VLOOKUP('Données projet'!$B$11,Paramètres!$A$1:$I$89,3,0)*VLOOKUP('Données projet'!$B$11,Paramètres!$A$1:$I$89,5,0)</f>
        <v>221.3640000000002</v>
      </c>
      <c r="BF93" s="14">
        <f t="shared" si="91"/>
        <v>54.411237653200843</v>
      </c>
      <c r="BG93" s="22">
        <f t="shared" si="61"/>
        <v>480.30853891265838</v>
      </c>
      <c r="BH93" s="62">
        <f t="shared" si="62"/>
        <v>773.64187224599164</v>
      </c>
      <c r="BI93" s="62">
        <f ca="1">AVERAGE(OFFSET($BH$3,0,0,'Données projet'!$E$11+1,1))-AVERAGE(OFFSET($H$3,0,0,'Données projet'!$E$11+1,1))</f>
        <v>221.07273841880755</v>
      </c>
      <c r="BJ93" s="62">
        <f t="shared" si="92"/>
        <v>164.23448598618114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-2.2737367544323206E-13</v>
      </c>
      <c r="BZ93" s="14">
        <f>BY93*VLOOKUP('Données projet'!$B$12,Paramètres!$A$1:$I$89,3,0)*VLOOKUP('Données projet'!$B$12,Paramètres!$A$1:$I$89,5,0)</f>
        <v>-1.8089849618263545E-13</v>
      </c>
      <c r="CA93" s="14" t="e">
        <f t="shared" si="93"/>
        <v>#NUM!</v>
      </c>
      <c r="CB93" s="22" t="e">
        <f t="shared" si="64"/>
        <v>#NUM!</v>
      </c>
      <c r="CC93" s="62" t="e">
        <f t="shared" si="65"/>
        <v>#NUM!</v>
      </c>
      <c r="CD93" s="62">
        <f ca="1">AVERAGE(OFFSET($CC$3,0,0,'Données projet'!$E$12+1,1))-AVERAGE(OFFSET($H$3,0,0,'Données projet'!$E$12+1,1))</f>
        <v>219.2279518699109</v>
      </c>
      <c r="CE93" s="62">
        <f t="shared" si="94"/>
        <v>219.59799863414099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2.3115786287104525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2.3115786287104525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2">
        <f t="shared" si="86"/>
        <v>14.532638085920599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70">
        <f t="shared" si="56"/>
        <v>405.18079466631161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153.59418465942997</v>
      </c>
      <c r="T94" s="62">
        <f t="shared" si="88"/>
        <v>313.61727210988198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29.519909091624303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1.7516292407139996E-7</v>
      </c>
      <c r="AC94" s="24">
        <f t="shared" si="57"/>
        <v>29.519909266787227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2.2737367544323206E-13</v>
      </c>
      <c r="AJ94" s="14">
        <f>AI94*VLOOKUP('Données projet'!$B$10,Paramètres!$A$1:$I$89,3,0)*VLOOKUP('Données projet'!$B$10,Paramètres!$A$1:$I$89,5,0)</f>
        <v>1.3596945791505279E-13</v>
      </c>
      <c r="AK94" s="14">
        <f t="shared" si="89"/>
        <v>1.9708830566360721E-12</v>
      </c>
      <c r="AL94" s="22">
        <f t="shared" si="58"/>
        <v>3.669434796176543E-12</v>
      </c>
      <c r="AM94" s="62">
        <f t="shared" si="59"/>
        <v>293.33333333333701</v>
      </c>
      <c r="AN94" s="62">
        <f ca="1">AVERAGE(OFFSET($AM$3,0,0,'Données projet'!$E$10+1,1))-AVERAGE(OFFSET($H$3,0,0,'Données projet'!$E$10+1,1))</f>
        <v>288.15107951401188</v>
      </c>
      <c r="AO94" s="62">
        <f t="shared" si="90"/>
        <v>217.57508587672368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2.2237286280708188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9.0308905375620299E-9</v>
      </c>
      <c r="AX94" s="23">
        <f t="shared" si="60"/>
        <v>2.2237286371017095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13</v>
      </c>
      <c r="BD94" s="13">
        <f>IF('Données projet'!$A$88&gt;35,BD93+BC94-BL93,IF(A94&lt;'Données projet'!$A$88,$BA$205^A94,IF(A94='Données projet'!$A$88,'Données projet'!$B$88,BD93+BC94-BL93)))</f>
        <v>486.00000000000045</v>
      </c>
      <c r="BE94" s="14">
        <f>BD94*VLOOKUP('Données projet'!$B$11,Paramètres!$A$1:$I$89,3,0)*VLOOKUP('Données projet'!$B$11,Paramètres!$A$1:$I$89,5,0)</f>
        <v>227.44800000000021</v>
      </c>
      <c r="BF94" s="14">
        <f t="shared" si="91"/>
        <v>55.730521649800735</v>
      </c>
      <c r="BG94" s="22">
        <f t="shared" si="61"/>
        <v>493.20259187340326</v>
      </c>
      <c r="BH94" s="62">
        <f t="shared" si="62"/>
        <v>786.53592520673658</v>
      </c>
      <c r="BI94" s="62">
        <f ca="1">AVERAGE(OFFSET($BH$3,0,0,'Données projet'!$E$11+1,1))-AVERAGE(OFFSET($H$3,0,0,'Données projet'!$E$11+1,1))</f>
        <v>221.07273841880755</v>
      </c>
      <c r="BJ94" s="62">
        <f t="shared" si="92"/>
        <v>164.23448598618114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-2.2737367544323206E-13</v>
      </c>
      <c r="BZ94" s="14">
        <f>BY94*VLOOKUP('Données projet'!$B$12,Paramètres!$A$1:$I$89,3,0)*VLOOKUP('Données projet'!$B$12,Paramètres!$A$1:$I$89,5,0)</f>
        <v>-1.8089849618263545E-13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219.2279518699109</v>
      </c>
      <c r="CE94" s="62">
        <f t="shared" si="94"/>
        <v>219.59799863414099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2.2662499817251858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2.2662499817251858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2">
        <f t="shared" si="86"/>
        <v>14.673658523093403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70">
        <f t="shared" si="56"/>
        <v>406.37735526105428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153.59418465942997</v>
      </c>
      <c r="T95" s="62">
        <f t="shared" si="88"/>
        <v>313.61727210988198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28.941041679704213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1.2385889142335125E-7</v>
      </c>
      <c r="AC95" s="24">
        <f t="shared" si="57"/>
        <v>28.941041803563106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2.2737367544323206E-13</v>
      </c>
      <c r="AJ95" s="14">
        <f>AI95*VLOOKUP('Données projet'!$B$10,Paramètres!$A$1:$I$89,3,0)*VLOOKUP('Données projet'!$B$10,Paramètres!$A$1:$I$89,5,0)</f>
        <v>1.3596945791505279E-13</v>
      </c>
      <c r="AK95" s="14">
        <f t="shared" si="89"/>
        <v>1.9708830566360721E-12</v>
      </c>
      <c r="AL95" s="22">
        <f t="shared" si="58"/>
        <v>3.669434796176543E-12</v>
      </c>
      <c r="AM95" s="62">
        <f t="shared" si="59"/>
        <v>293.33333333333701</v>
      </c>
      <c r="AN95" s="62">
        <f ca="1">AVERAGE(OFFSET($AM$3,0,0,'Données projet'!$E$10+1,1))-AVERAGE(OFFSET($H$3,0,0,'Données projet'!$E$10+1,1))</f>
        <v>288.15107951401188</v>
      </c>
      <c r="AO95" s="62">
        <f t="shared" si="90"/>
        <v>217.57508587672368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2.1801226660148858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6.3858039392635369E-9</v>
      </c>
      <c r="AX95" s="23">
        <f t="shared" si="60"/>
        <v>2.1801226724006897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13</v>
      </c>
      <c r="BD95" s="13">
        <f>IF('Données projet'!$A$88&gt;35,BD94+BC95-BL94,IF(A95&lt;'Données projet'!$A$88,$BA$205^A95,IF(A95='Données projet'!$A$88,'Données projet'!$B$88,BD94+BC95-BL94)))</f>
        <v>499.00000000000045</v>
      </c>
      <c r="BE95" s="14">
        <f>BD95*VLOOKUP('Données projet'!$B$11,Paramètres!$A$1:$I$89,3,0)*VLOOKUP('Données projet'!$B$11,Paramètres!$A$1:$I$89,5,0)</f>
        <v>233.53200000000021</v>
      </c>
      <c r="BF95" s="14">
        <f t="shared" si="91"/>
        <v>57.04570382109813</v>
      </c>
      <c r="BG95" s="22">
        <f t="shared" si="61"/>
        <v>506.08950082174624</v>
      </c>
      <c r="BH95" s="62">
        <f t="shared" si="62"/>
        <v>799.4228341550795</v>
      </c>
      <c r="BI95" s="62">
        <f ca="1">AVERAGE(OFFSET($BH$3,0,0,'Données projet'!$E$11+1,1))-AVERAGE(OFFSET($H$3,0,0,'Données projet'!$E$11+1,1))</f>
        <v>221.07273841880755</v>
      </c>
      <c r="BJ95" s="62">
        <f t="shared" si="92"/>
        <v>164.23448598618114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-2.2737367544323206E-13</v>
      </c>
      <c r="BZ95" s="14">
        <f>BY95*VLOOKUP('Données projet'!$B$12,Paramètres!$A$1:$I$89,3,0)*VLOOKUP('Données projet'!$B$12,Paramètres!$A$1:$I$89,5,0)</f>
        <v>-1.8089849618263545E-13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219.2279518699109</v>
      </c>
      <c r="CE95" s="62">
        <f t="shared" si="94"/>
        <v>219.59799863414099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2.2218102018595554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2.2218102018595554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2">
        <f t="shared" si="86"/>
        <v>14.814500647866689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70">
        <f t="shared" si="56"/>
        <v>407.57360529503438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153.59418465942997</v>
      </c>
      <c r="T96" s="62">
        <f t="shared" si="88"/>
        <v>313.61727210988198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28.373525504657618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8.7581462035699981E-8</v>
      </c>
      <c r="AC96" s="24">
        <f t="shared" si="57"/>
        <v>28.37352559223908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2.2737367544323206E-13</v>
      </c>
      <c r="AJ96" s="14">
        <f>AI96*VLOOKUP('Données projet'!$B$10,Paramètres!$A$1:$I$89,3,0)*VLOOKUP('Données projet'!$B$10,Paramètres!$A$1:$I$89,5,0)</f>
        <v>1.3596945791505279E-13</v>
      </c>
      <c r="AK96" s="14">
        <f t="shared" si="89"/>
        <v>1.9708830566360721E-12</v>
      </c>
      <c r="AL96" s="22">
        <f t="shared" si="58"/>
        <v>3.669434796176543E-12</v>
      </c>
      <c r="AM96" s="62">
        <f t="shared" si="59"/>
        <v>293.33333333333701</v>
      </c>
      <c r="AN96" s="62">
        <f ca="1">AVERAGE(OFFSET($AM$3,0,0,'Données projet'!$E$10+1,1))-AVERAGE(OFFSET($H$3,0,0,'Données projet'!$E$10+1,1))</f>
        <v>288.15107951401188</v>
      </c>
      <c r="AO96" s="62">
        <f t="shared" si="90"/>
        <v>217.57508587672368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2.1373717902778591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4.5154452687810149E-9</v>
      </c>
      <c r="AX96" s="23">
        <f t="shared" si="60"/>
        <v>2.1373717947933044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13</v>
      </c>
      <c r="BD96" s="13">
        <f>IF('Données projet'!$A$88&gt;35,BD95+BC96-BL95,IF(A96&lt;'Données projet'!$A$88,$BA$205^A96,IF(A96='Données projet'!$A$88,'Données projet'!$B$88,BD95+BC96-BL95)))</f>
        <v>512.00000000000045</v>
      </c>
      <c r="BE96" s="14">
        <f>BD96*VLOOKUP('Données projet'!$B$11,Paramètres!$A$1:$I$89,3,0)*VLOOKUP('Données projet'!$B$11,Paramètres!$A$1:$I$89,5,0)</f>
        <v>239.61600000000021</v>
      </c>
      <c r="BF96" s="14">
        <f t="shared" si="91"/>
        <v>58.356903313490214</v>
      </c>
      <c r="BG96" s="22">
        <f t="shared" si="61"/>
        <v>518.96947327099576</v>
      </c>
      <c r="BH96" s="62">
        <f t="shared" si="62"/>
        <v>812.30280660432913</v>
      </c>
      <c r="BI96" s="62">
        <f ca="1">AVERAGE(OFFSET($BH$3,0,0,'Données projet'!$E$11+1,1))-AVERAGE(OFFSET($H$3,0,0,'Données projet'!$E$11+1,1))</f>
        <v>221.07273841880755</v>
      </c>
      <c r="BJ96" s="62">
        <f t="shared" si="92"/>
        <v>164.23448598618114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-2.2737367544323206E-13</v>
      </c>
      <c r="BZ96" s="14">
        <f>BY96*VLOOKUP('Données projet'!$B$12,Paramètres!$A$1:$I$89,3,0)*VLOOKUP('Données projet'!$B$12,Paramètres!$A$1:$I$89,5,0)</f>
        <v>-1.8089849618263545E-13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219.2279518699109</v>
      </c>
      <c r="CE96" s="62">
        <f t="shared" si="94"/>
        <v>219.59799863414099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2.1782418589715005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2.1782418589715005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2">
        <f t="shared" si="86"/>
        <v>14.955166599500016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70">
        <f t="shared" si="56"/>
        <v>408.76954849412908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153.59418465942997</v>
      </c>
      <c r="T97" s="62">
        <f t="shared" si="88"/>
        <v>313.61727210988198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27.817137975653001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6.1929445711675624E-8</v>
      </c>
      <c r="AC97" s="24">
        <f t="shared" si="57"/>
        <v>27.817138037582446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2.2737367544323206E-13</v>
      </c>
      <c r="AJ97" s="14">
        <f>AI97*VLOOKUP('Données projet'!$B$10,Paramètres!$A$1:$I$89,3,0)*VLOOKUP('Données projet'!$B$10,Paramètres!$A$1:$I$89,5,0)</f>
        <v>1.3596945791505279E-13</v>
      </c>
      <c r="AK97" s="14">
        <f t="shared" si="89"/>
        <v>1.9708830566360721E-12</v>
      </c>
      <c r="AL97" s="22">
        <f t="shared" si="58"/>
        <v>3.669434796176543E-12</v>
      </c>
      <c r="AM97" s="62">
        <f t="shared" si="59"/>
        <v>293.33333333333701</v>
      </c>
      <c r="AN97" s="62">
        <f ca="1">AVERAGE(OFFSET($AM$3,0,0,'Données projet'!$E$10+1,1))-AVERAGE(OFFSET($H$3,0,0,'Données projet'!$E$10+1,1))</f>
        <v>288.15107951401188</v>
      </c>
      <c r="AO97" s="62">
        <f t="shared" si="90"/>
        <v>217.57508587672368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2.095459233138576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3.1929019696317684E-9</v>
      </c>
      <c r="AX97" s="23">
        <f t="shared" si="60"/>
        <v>2.0954592363314779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>
        <f>VLOOKUP(A97,'Données projet'!$A$87:$I$107,2,0)</f>
        <v>525</v>
      </c>
      <c r="BB97" s="13">
        <f>VLOOKUP(A97,'Données projet'!$A$87:$I$107,9,0)</f>
        <v>13</v>
      </c>
      <c r="BC97" s="13">
        <f t="array" ref="BC97">INDEX(BB:BB,MIN(IF(ISNUMBER(BB97:BB293),ROW(BB97:BB293),"")))</f>
        <v>13</v>
      </c>
      <c r="BD97" s="13">
        <f>IF('Données projet'!$A$88&gt;35,BD96+BC97-BL96,IF(A97&lt;'Données projet'!$A$88,$BA$205^A97,IF(A97='Données projet'!$A$88,'Données projet'!$B$88,BD96+BC97-BL96)))</f>
        <v>525.00000000000045</v>
      </c>
      <c r="BE97" s="14">
        <f>BD97*VLOOKUP('Données projet'!$B$11,Paramètres!$A$1:$I$89,3,0)*VLOOKUP('Données projet'!$B$11,Paramètres!$A$1:$I$89,5,0)</f>
        <v>245.70000000000022</v>
      </c>
      <c r="BF97" s="14">
        <f t="shared" si="91"/>
        <v>59.66423287821754</v>
      </c>
      <c r="BG97" s="22">
        <f t="shared" si="61"/>
        <v>531.84270559622928</v>
      </c>
      <c r="BH97" s="62">
        <f t="shared" si="62"/>
        <v>825.17603892956254</v>
      </c>
      <c r="BI97" s="62">
        <f ca="1">AVERAGE(OFFSET($BH$3,0,0,'Données projet'!$E$11+1,1))-AVERAGE(OFFSET($H$3,0,0,'Données projet'!$E$11+1,1))</f>
        <v>221.07273841880755</v>
      </c>
      <c r="BJ97" s="62">
        <f t="shared" si="92"/>
        <v>164.23448598618114</v>
      </c>
      <c r="BK97" s="16">
        <f>IF(ISNA(VLOOKUP(A97,'Données projet'!$A$87:$I$107,3,0)),0,VLOOKUP(A97,'Données projet'!$A$87:$I$107,3,0))</f>
        <v>17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-2.2737367544323206E-13</v>
      </c>
      <c r="BZ97" s="14">
        <f>BY97*VLOOKUP('Données projet'!$B$12,Paramètres!$A$1:$I$89,3,0)*VLOOKUP('Données projet'!$B$12,Paramètres!$A$1:$I$89,5,0)</f>
        <v>-1.8089849618263545E-13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219.2279518699109</v>
      </c>
      <c r="CE97" s="62">
        <f t="shared" si="94"/>
        <v>219.59799863414099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2.1355278647134153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2.1355278647134153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2">
        <f t="shared" si="86"/>
        <v>15.0956584691149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70">
        <f t="shared" si="56"/>
        <v>409.96518850037501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153.59418465942997</v>
      </c>
      <c r="T98" s="62">
        <f t="shared" si="88"/>
        <v>313.61727210988198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27.271660866729281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4.379073101784999E-8</v>
      </c>
      <c r="AC98" s="24">
        <f t="shared" si="57"/>
        <v>27.271660910520012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2.2737367544323206E-13</v>
      </c>
      <c r="AJ98" s="14">
        <f>AI98*VLOOKUP('Données projet'!$B$10,Paramètres!$A$1:$I$89,3,0)*VLOOKUP('Données projet'!$B$10,Paramètres!$A$1:$I$89,5,0)</f>
        <v>1.3596945791505279E-13</v>
      </c>
      <c r="AK98" s="14">
        <f t="shared" si="89"/>
        <v>1.9708830566360721E-12</v>
      </c>
      <c r="AL98" s="22">
        <f t="shared" si="58"/>
        <v>3.669434796176543E-12</v>
      </c>
      <c r="AM98" s="62">
        <f t="shared" si="59"/>
        <v>293.33333333333701</v>
      </c>
      <c r="AN98" s="62">
        <f ca="1">AVERAGE(OFFSET($AM$3,0,0,'Données projet'!$E$10+1,1))-AVERAGE(OFFSET($H$3,0,0,'Données projet'!$E$10+1,1))</f>
        <v>288.15107951401188</v>
      </c>
      <c r="AO98" s="62">
        <f t="shared" si="90"/>
        <v>217.57508587672368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2.0543685556806586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2.2577226343905075E-9</v>
      </c>
      <c r="AX98" s="23">
        <f t="shared" si="60"/>
        <v>2.054368557938381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538</v>
      </c>
      <c r="BB98" s="13">
        <f>VLOOKUP(A98,'Données projet'!$A$87:$I$107,9,0)</f>
        <v>13</v>
      </c>
      <c r="BC98" s="13">
        <f t="array" ref="BC98">INDEX(BB:BB,MIN(IF(ISNUMBER(BB98:BB294),ROW(BB98:BB294),"")))</f>
        <v>13</v>
      </c>
      <c r="BD98" s="13">
        <f>IF('Données projet'!$A$88&gt;35,BD97+BC98-BL97,IF(A98&lt;'Données projet'!$A$88,$BA$205^A98,IF(A98='Données projet'!$A$88,'Données projet'!$B$88,BD97+BC98-BL97)))</f>
        <v>538.00000000000045</v>
      </c>
      <c r="BE98" s="14">
        <f>BD98*VLOOKUP('Données projet'!$B$11,Paramètres!$A$1:$I$89,3,0)*VLOOKUP('Données projet'!$B$11,Paramètres!$A$1:$I$89,5,0)</f>
        <v>251.78400000000019</v>
      </c>
      <c r="BF98" s="14">
        <f t="shared" si="91"/>
        <v>60.967799364357568</v>
      </c>
      <c r="BG98" s="22">
        <f t="shared" si="61"/>
        <v>544.70938389292303</v>
      </c>
      <c r="BH98" s="62">
        <f t="shared" si="62"/>
        <v>838.0427172262564</v>
      </c>
      <c r="BI98" s="62">
        <f ca="1">AVERAGE(OFFSET($BH$3,0,0,'Données projet'!$E$11+1,1))-AVERAGE(OFFSET($H$3,0,0,'Données projet'!$E$11+1,1))</f>
        <v>221.07273841880755</v>
      </c>
      <c r="BJ98" s="62">
        <f t="shared" si="92"/>
        <v>164.23448598618114</v>
      </c>
      <c r="BK98" s="16">
        <f>IF(ISNA(VLOOKUP(A98,'Données projet'!$A$87:$I$107,3,0)),0,VLOOKUP(A98,'Données projet'!$A$87:$I$107,3,0))</f>
        <v>18</v>
      </c>
      <c r="BL98" s="16">
        <f>IF(ISNA(VLOOKUP(A98,'Données projet'!$A$87:$I$107,4,0)),0,VLOOKUP(A98,'Données projet'!$A$87:$I$107,4,0))</f>
        <v>269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-2.2737367544323206E-13</v>
      </c>
      <c r="BZ98" s="14">
        <f>BY98*VLOOKUP('Données projet'!$B$12,Paramètres!$A$1:$I$89,3,0)*VLOOKUP('Données projet'!$B$12,Paramètres!$A$1:$I$89,5,0)</f>
        <v>-1.8089849618263545E-13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219.2279518699109</v>
      </c>
      <c r="CE98" s="62">
        <f t="shared" si="94"/>
        <v>219.59799863414099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2.0936514658297671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2.0936514658297671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2">
        <f t="shared" si="86"/>
        <v>15.235978301273022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70">
        <f t="shared" si="56"/>
        <v>411.1605288747171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153.59418465942997</v>
      </c>
      <c r="T99" s="62">
        <f t="shared" si="88"/>
        <v>313.61727210988198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26.736880231203372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3.0964722855837812E-8</v>
      </c>
      <c r="AC99" s="24">
        <f t="shared" si="57"/>
        <v>26.736880262168096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2.2737367544323206E-13</v>
      </c>
      <c r="AJ99" s="14">
        <f>AI99*VLOOKUP('Données projet'!$B$10,Paramètres!$A$1:$I$89,3,0)*VLOOKUP('Données projet'!$B$10,Paramètres!$A$1:$I$89,5,0)</f>
        <v>1.3596945791505279E-13</v>
      </c>
      <c r="AK99" s="14">
        <f t="shared" si="89"/>
        <v>1.9708830566360721E-12</v>
      </c>
      <c r="AL99" s="22">
        <f t="shared" si="58"/>
        <v>3.669434796176543E-12</v>
      </c>
      <c r="AM99" s="62">
        <f t="shared" si="59"/>
        <v>293.33333333333701</v>
      </c>
      <c r="AN99" s="62">
        <f ca="1">AVERAGE(OFFSET($AM$3,0,0,'Données projet'!$E$10+1,1))-AVERAGE(OFFSET($H$3,0,0,'Données projet'!$E$10+1,1))</f>
        <v>288.15107951401188</v>
      </c>
      <c r="AO99" s="62">
        <f t="shared" si="90"/>
        <v>217.57508587672368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2.0140836413448522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1.5964509848158842E-9</v>
      </c>
      <c r="AX99" s="23">
        <f t="shared" si="60"/>
        <v>2.0140836429413032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>
        <f>VLOOKUP(A99,'Données projet'!$A$87:$I$107,2,0)</f>
        <v>280</v>
      </c>
      <c r="BB99" s="13">
        <f>VLOOKUP(A99,'Données projet'!$A$87:$I$107,9,0)</f>
        <v>11</v>
      </c>
      <c r="BC99" s="13">
        <f t="array" ref="BC99">INDEX(BB:BB,MIN(IF(ISNUMBER(BB99:BB295),ROW(BB99:BB295),"")))</f>
        <v>11</v>
      </c>
      <c r="BD99" s="13">
        <f>IF('Données projet'!$A$88&gt;35,BD98+BC99-BL98,IF(A99&lt;'Données projet'!$A$88,$BA$205^A99,IF(A99='Données projet'!$A$88,'Données projet'!$B$88,BD98+BC99-BL98)))</f>
        <v>280.00000000000045</v>
      </c>
      <c r="BE99" s="14">
        <f>BD99*VLOOKUP('Données projet'!$B$11,Paramètres!$A$1:$I$89,3,0)*VLOOKUP('Données projet'!$B$11,Paramètres!$A$1:$I$89,5,0)</f>
        <v>131.04000000000019</v>
      </c>
      <c r="BF99" s="14">
        <f t="shared" si="91"/>
        <v>34.236561238949953</v>
      </c>
      <c r="BG99" s="22">
        <f t="shared" si="61"/>
        <v>287.85667749117147</v>
      </c>
      <c r="BH99" s="62">
        <f t="shared" si="62"/>
        <v>581.19001082450472</v>
      </c>
      <c r="BI99" s="62">
        <f ca="1">AVERAGE(OFFSET($BH$3,0,0,'Données projet'!$E$11+1,1))-AVERAGE(OFFSET($H$3,0,0,'Données projet'!$E$11+1,1))</f>
        <v>221.07273841880755</v>
      </c>
      <c r="BJ99" s="62">
        <f t="shared" si="92"/>
        <v>164.23448598618114</v>
      </c>
      <c r="BK99" s="16">
        <f>IF(ISNA(VLOOKUP(A99,'Données projet'!$A$87:$I$107,3,0)),0,VLOOKUP(A99,'Données projet'!$A$87:$I$107,3,0))</f>
        <v>19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-2.2737367544323206E-13</v>
      </c>
      <c r="BZ99" s="14">
        <f>BY99*VLOOKUP('Données projet'!$B$12,Paramètres!$A$1:$I$89,3,0)*VLOOKUP('Données projet'!$B$12,Paramètres!$A$1:$I$89,5,0)</f>
        <v>-1.8089849618263545E-13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219.2279518699109</v>
      </c>
      <c r="CE99" s="62">
        <f t="shared" si="94"/>
        <v>219.59799863414099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2.0525962375861462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2.0525962375861462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2">
        <f t="shared" si="86"/>
        <v>15.376128095486868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70">
        <f t="shared" si="56"/>
        <v>412.35557309963951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153.59418465942997</v>
      </c>
      <c r="T100" s="62">
        <f t="shared" si="88"/>
        <v>313.61727210988198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26.212586317756145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2.1895365508924995E-8</v>
      </c>
      <c r="AC100" s="24">
        <f t="shared" si="57"/>
        <v>26.212586339651509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2.2737367544323206E-13</v>
      </c>
      <c r="AJ100" s="14">
        <f>AI100*VLOOKUP('Données projet'!$B$10,Paramètres!$A$1:$I$89,3,0)*VLOOKUP('Données projet'!$B$10,Paramètres!$A$1:$I$89,5,0)</f>
        <v>1.3596945791505279E-13</v>
      </c>
      <c r="AK100" s="14">
        <f t="shared" si="89"/>
        <v>1.9708830566360721E-12</v>
      </c>
      <c r="AL100" s="22">
        <f t="shared" si="58"/>
        <v>3.669434796176543E-12</v>
      </c>
      <c r="AM100" s="62">
        <f t="shared" si="59"/>
        <v>293.33333333333701</v>
      </c>
      <c r="AN100" s="62">
        <f ca="1">AVERAGE(OFFSET($AM$3,0,0,'Données projet'!$E$10+1,1))-AVERAGE(OFFSET($H$3,0,0,'Données projet'!$E$10+1,1))</f>
        <v>288.15107951401188</v>
      </c>
      <c r="AO100" s="62">
        <f t="shared" si="90"/>
        <v>217.57508587672368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1.9745886896077995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1.1288613171952537E-9</v>
      </c>
      <c r="AX100" s="23">
        <f t="shared" si="60"/>
        <v>1.9745886907366608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8.5555555555555554</v>
      </c>
      <c r="BD100" s="13">
        <f>IF('Données projet'!$A$88&gt;35,BD99+BC100-BL99,IF(A100&lt;'Données projet'!$A$88,$BA$205^A100,IF(A100='Données projet'!$A$88,'Données projet'!$B$88,BD99+BC100-BL99)))</f>
        <v>288.555555555556</v>
      </c>
      <c r="BE100" s="14">
        <f>BD100*VLOOKUP('Données projet'!$B$11,Paramètres!$A$1:$I$89,3,0)*VLOOKUP('Données projet'!$B$11,Paramètres!$A$1:$I$89,5,0)</f>
        <v>135.04400000000021</v>
      </c>
      <c r="BF100" s="14">
        <f t="shared" si="91"/>
        <v>35.159284945629004</v>
      </c>
      <c r="BG100" s="22">
        <f t="shared" si="61"/>
        <v>296.43738794697089</v>
      </c>
      <c r="BH100" s="62">
        <f t="shared" si="62"/>
        <v>589.7707212803042</v>
      </c>
      <c r="BI100" s="62">
        <f ca="1">AVERAGE(OFFSET($BH$3,0,0,'Données projet'!$E$11+1,1))-AVERAGE(OFFSET($H$3,0,0,'Données projet'!$E$11+1,1))</f>
        <v>221.07273841880755</v>
      </c>
      <c r="BJ100" s="62">
        <f t="shared" si="92"/>
        <v>164.23448598618114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-2.2737367544323206E-13</v>
      </c>
      <c r="BZ100" s="14">
        <f>BY100*VLOOKUP('Données projet'!$B$12,Paramètres!$A$1:$I$89,3,0)*VLOOKUP('Données projet'!$B$12,Paramètres!$A$1:$I$89,5,0)</f>
        <v>-1.8089849618263545E-13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219.2279518699109</v>
      </c>
      <c r="CE100" s="62">
        <f t="shared" si="94"/>
        <v>219.59799863414099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2.012346077327166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2.012346077327166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2">
        <f t="shared" si="86"/>
        <v>15.516109807666373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70">
        <f t="shared" si="56"/>
        <v>413.55032458168552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153.59418465942997</v>
      </c>
      <c r="T101" s="62">
        <f t="shared" si="88"/>
        <v>313.61727210988198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25.698573488163905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1.5482361427918906E-8</v>
      </c>
      <c r="AC101" s="24">
        <f t="shared" si="57"/>
        <v>25.698573503646266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2.2737367544323206E-13</v>
      </c>
      <c r="AJ101" s="14">
        <f>AI101*VLOOKUP('Données projet'!$B$10,Paramètres!$A$1:$I$89,3,0)*VLOOKUP('Données projet'!$B$10,Paramètres!$A$1:$I$89,5,0)</f>
        <v>1.3596945791505279E-13</v>
      </c>
      <c r="AK101" s="14">
        <f t="shared" si="89"/>
        <v>1.9708830566360721E-12</v>
      </c>
      <c r="AL101" s="22">
        <f t="shared" si="58"/>
        <v>3.669434796176543E-12</v>
      </c>
      <c r="AM101" s="62">
        <f t="shared" si="59"/>
        <v>293.33333333333701</v>
      </c>
      <c r="AN101" s="62">
        <f ca="1">AVERAGE(OFFSET($AM$3,0,0,'Données projet'!$E$10+1,1))-AVERAGE(OFFSET($H$3,0,0,'Données projet'!$E$10+1,1))</f>
        <v>288.15107951401188</v>
      </c>
      <c r="AO101" s="62">
        <f t="shared" si="90"/>
        <v>217.57508587672368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1.9358682097847686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7.9822549240794211E-10</v>
      </c>
      <c r="AX101" s="23">
        <f t="shared" si="60"/>
        <v>1.9358682105829941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8.5555555555555554</v>
      </c>
      <c r="BD101" s="13">
        <f>IF('Données projet'!$A$88&gt;35,BD100+BC101-BL100,IF(A101&lt;'Données projet'!$A$88,$BA$205^A101,IF(A101='Données projet'!$A$88,'Données projet'!$B$88,BD100+BC101-BL100)))</f>
        <v>297.11111111111154</v>
      </c>
      <c r="BE101" s="14">
        <f>BD101*VLOOKUP('Données projet'!$B$11,Paramètres!$A$1:$I$89,3,0)*VLOOKUP('Données projet'!$B$11,Paramètres!$A$1:$I$89,5,0)</f>
        <v>139.0480000000002</v>
      </c>
      <c r="BF101" s="14">
        <f t="shared" si="91"/>
        <v>36.078829132999324</v>
      </c>
      <c r="BG101" s="22">
        <f t="shared" si="61"/>
        <v>305.01256073997416</v>
      </c>
      <c r="BH101" s="62">
        <f t="shared" si="62"/>
        <v>598.34589407330748</v>
      </c>
      <c r="BI101" s="62">
        <f ca="1">AVERAGE(OFFSET($BH$3,0,0,'Données projet'!$E$11+1,1))-AVERAGE(OFFSET($H$3,0,0,'Données projet'!$E$11+1,1))</f>
        <v>221.07273841880755</v>
      </c>
      <c r="BJ101" s="62">
        <f t="shared" si="92"/>
        <v>164.23448598618114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-2.2737367544323206E-13</v>
      </c>
      <c r="BZ101" s="14">
        <f>BY101*VLOOKUP('Données projet'!$B$12,Paramètres!$A$1:$I$89,3,0)*VLOOKUP('Données projet'!$B$12,Paramètres!$A$1:$I$89,5,0)</f>
        <v>-1.8089849618263545E-13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219.2279518699109</v>
      </c>
      <c r="CE101" s="62">
        <f t="shared" si="94"/>
        <v>219.59799863414099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1.9728851981606907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1.9728851981606907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2">
        <f t="shared" si="86"/>
        <v>15.655925351504653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70">
        <f t="shared" si="56"/>
        <v>414.74478665387051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153.59418465942997</v>
      </c>
      <c r="T102" s="62">
        <f t="shared" si="88"/>
        <v>313.61727210988198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25.194640136643102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1.0947682754462498E-8</v>
      </c>
      <c r="AC102" s="24">
        <f t="shared" si="57"/>
        <v>25.194640147590786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2.2737367544323206E-13</v>
      </c>
      <c r="AJ102" s="14">
        <f>AI102*VLOOKUP('Données projet'!$B$10,Paramètres!$A$1:$I$89,3,0)*VLOOKUP('Données projet'!$B$10,Paramètres!$A$1:$I$89,5,0)</f>
        <v>1.3596945791505279E-13</v>
      </c>
      <c r="AK102" s="14">
        <f t="shared" si="89"/>
        <v>1.9708830566360721E-12</v>
      </c>
      <c r="AL102" s="22">
        <f t="shared" si="58"/>
        <v>3.669434796176543E-12</v>
      </c>
      <c r="AM102" s="62">
        <f t="shared" si="59"/>
        <v>293.33333333333701</v>
      </c>
      <c r="AN102" s="62">
        <f ca="1">AVERAGE(OFFSET($AM$3,0,0,'Données projet'!$E$10+1,1))-AVERAGE(OFFSET($H$3,0,0,'Données projet'!$E$10+1,1))</f>
        <v>288.15107951401188</v>
      </c>
      <c r="AO102" s="62">
        <f t="shared" si="90"/>
        <v>217.57508587672368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1.8979070149539066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5.6443065859762687E-10</v>
      </c>
      <c r="AX102" s="23">
        <f t="shared" si="60"/>
        <v>1.8979070155183373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8.5555555555555554</v>
      </c>
      <c r="BD102" s="13">
        <f>IF('Données projet'!$A$88&gt;35,BD101+BC102-BL101,IF(A102&lt;'Données projet'!$A$88,$BA$205^A102,IF(A102='Données projet'!$A$88,'Données projet'!$B$88,BD101+BC102-BL101)))</f>
        <v>305.66666666666708</v>
      </c>
      <c r="BE102" s="14">
        <f>BD102*VLOOKUP('Données projet'!$B$11,Paramètres!$A$1:$I$89,3,0)*VLOOKUP('Données projet'!$B$11,Paramètres!$A$1:$I$89,5,0)</f>
        <v>143.05200000000019</v>
      </c>
      <c r="BF102" s="14">
        <f t="shared" si="91"/>
        <v>36.995295872593921</v>
      </c>
      <c r="BG102" s="22">
        <f t="shared" si="61"/>
        <v>313.58237364476804</v>
      </c>
      <c r="BH102" s="62">
        <f t="shared" si="62"/>
        <v>606.9157069781013</v>
      </c>
      <c r="BI102" s="62">
        <f ca="1">AVERAGE(OFFSET($BH$3,0,0,'Données projet'!$E$11+1,1))-AVERAGE(OFFSET($H$3,0,0,'Données projet'!$E$11+1,1))</f>
        <v>221.07273841880755</v>
      </c>
      <c r="BJ102" s="62">
        <f t="shared" si="92"/>
        <v>164.23448598618114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-2.2737367544323206E-13</v>
      </c>
      <c r="BZ102" s="14">
        <f>BY102*VLOOKUP('Données projet'!$B$12,Paramètres!$A$1:$I$89,3,0)*VLOOKUP('Données projet'!$B$12,Paramètres!$A$1:$I$89,5,0)</f>
        <v>-1.8089849618263545E-13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219.2279518699109</v>
      </c>
      <c r="CE102" s="62">
        <f t="shared" si="94"/>
        <v>219.59799863414099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1.9341981227659104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1.9341981227659104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2">
        <f t="shared" si="86"/>
        <v>15.795576599806306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70">
        <f t="shared" si="56"/>
        <v>415.93896257799588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153.59418465942997</v>
      </c>
      <c r="T103" s="62">
        <f t="shared" si="88"/>
        <v>313.61727210988198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24.700588610776627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7.741180713959453E-9</v>
      </c>
      <c r="AC103" s="24">
        <f t="shared" si="57"/>
        <v>24.700588618517809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2.2737367544323206E-13</v>
      </c>
      <c r="AJ103" s="14">
        <f>AI103*VLOOKUP('Données projet'!$B$10,Paramètres!$A$1:$I$89,3,0)*VLOOKUP('Données projet'!$B$10,Paramètres!$A$1:$I$89,5,0)</f>
        <v>1.3596945791505279E-13</v>
      </c>
      <c r="AK103" s="14">
        <f t="shared" si="89"/>
        <v>1.9708830566360721E-12</v>
      </c>
      <c r="AL103" s="22">
        <f t="shared" si="58"/>
        <v>3.669434796176543E-12</v>
      </c>
      <c r="AM103" s="62">
        <f t="shared" si="59"/>
        <v>293.33333333333701</v>
      </c>
      <c r="AN103" s="62">
        <f ca="1">AVERAGE(OFFSET($AM$3,0,0,'Données projet'!$E$10+1,1))-AVERAGE(OFFSET($H$3,0,0,'Données projet'!$E$10+1,1))</f>
        <v>288.15107951401188</v>
      </c>
      <c r="AO103" s="62">
        <f t="shared" si="90"/>
        <v>217.57508587672368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1.8606902159996352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3.9911274620397106E-10</v>
      </c>
      <c r="AX103" s="23">
        <f t="shared" si="60"/>
        <v>1.860690216398748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8.5555555555555554</v>
      </c>
      <c r="BD103" s="13">
        <f>IF('Données projet'!$A$88&gt;35,BD102+BC103-BL102,IF(A103&lt;'Données projet'!$A$88,$BA$205^A103,IF(A103='Données projet'!$A$88,'Données projet'!$B$88,BD102+BC103-BL102)))</f>
        <v>314.22222222222263</v>
      </c>
      <c r="BE103" s="14">
        <f>BD103*VLOOKUP('Données projet'!$B$11,Paramètres!$A$1:$I$89,3,0)*VLOOKUP('Données projet'!$B$11,Paramètres!$A$1:$I$89,5,0)</f>
        <v>147.05600000000018</v>
      </c>
      <c r="BF103" s="14">
        <f t="shared" si="91"/>
        <v>37.908781196921652</v>
      </c>
      <c r="BG103" s="22">
        <f t="shared" si="61"/>
        <v>322.14699391797217</v>
      </c>
      <c r="BH103" s="62">
        <f t="shared" si="62"/>
        <v>615.48032725130543</v>
      </c>
      <c r="BI103" s="62">
        <f ca="1">AVERAGE(OFFSET($BH$3,0,0,'Données projet'!$E$11+1,1))-AVERAGE(OFFSET($H$3,0,0,'Données projet'!$E$11+1,1))</f>
        <v>221.07273841880755</v>
      </c>
      <c r="BJ103" s="62">
        <f t="shared" si="92"/>
        <v>164.23448598618114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-2.2737367544323206E-13</v>
      </c>
      <c r="BZ103" s="14">
        <f>BY103*VLOOKUP('Données projet'!$B$12,Paramètres!$A$1:$I$89,3,0)*VLOOKUP('Données projet'!$B$12,Paramètres!$A$1:$I$89,5,0)</f>
        <v>-1.8089849618263545E-13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219.2279518699109</v>
      </c>
      <c r="CE103" s="62">
        <f t="shared" si="94"/>
        <v>219.59799863414099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1.8962696773228358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1.8962696773228358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2">
        <f t="shared" si="86"/>
        <v>15.935065385761003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70">
        <f t="shared" si="56"/>
        <v>417.13285554686695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153.59418465942997</v>
      </c>
      <c r="T104" s="62">
        <f t="shared" si="88"/>
        <v>313.61727210988198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24.216225133990719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5.4738413772312488E-9</v>
      </c>
      <c r="AC104" s="24">
        <f t="shared" si="57"/>
        <v>24.216225139464559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2.2737367544323206E-13</v>
      </c>
      <c r="AJ104" s="14">
        <f>AI104*VLOOKUP('Données projet'!$B$10,Paramètres!$A$1:$I$89,3,0)*VLOOKUP('Données projet'!$B$10,Paramètres!$A$1:$I$89,5,0)</f>
        <v>1.3596945791505279E-13</v>
      </c>
      <c r="AK104" s="14">
        <f t="shared" si="89"/>
        <v>1.9708830566360721E-12</v>
      </c>
      <c r="AL104" s="22">
        <f t="shared" si="58"/>
        <v>3.669434796176543E-12</v>
      </c>
      <c r="AM104" s="62">
        <f t="shared" si="59"/>
        <v>293.33333333333701</v>
      </c>
      <c r="AN104" s="62">
        <f ca="1">AVERAGE(OFFSET($AM$3,0,0,'Données projet'!$E$10+1,1))-AVERAGE(OFFSET($H$3,0,0,'Données projet'!$E$10+1,1))</f>
        <v>288.15107951401188</v>
      </c>
      <c r="AO104" s="62">
        <f t="shared" si="90"/>
        <v>217.57508587672368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1.8242032157728512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2.8221532929881343E-10</v>
      </c>
      <c r="AX104" s="23">
        <f t="shared" si="60"/>
        <v>1.8242032160550665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8.5555555555555554</v>
      </c>
      <c r="BD104" s="13">
        <f>IF('Données projet'!$A$88&gt;35,BD103+BC104-BL103,IF(A104&lt;'Données projet'!$A$88,$BA$205^A104,IF(A104='Données projet'!$A$88,'Données projet'!$B$88,BD103+BC104-BL103)))</f>
        <v>322.77777777777817</v>
      </c>
      <c r="BE104" s="14">
        <f>BD104*VLOOKUP('Données projet'!$B$11,Paramètres!$A$1:$I$89,3,0)*VLOOKUP('Données projet'!$B$11,Paramètres!$A$1:$I$89,5,0)</f>
        <v>151.06000000000017</v>
      </c>
      <c r="BF104" s="14">
        <f t="shared" si="91"/>
        <v>38.819375611338231</v>
      </c>
      <c r="BG104" s="22">
        <f t="shared" si="61"/>
        <v>330.70657918974769</v>
      </c>
      <c r="BH104" s="62">
        <f t="shared" si="62"/>
        <v>624.03991252308106</v>
      </c>
      <c r="BI104" s="62">
        <f ca="1">AVERAGE(OFFSET($BH$3,0,0,'Données projet'!$E$11+1,1))-AVERAGE(OFFSET($H$3,0,0,'Données projet'!$E$11+1,1))</f>
        <v>221.07273841880755</v>
      </c>
      <c r="BJ104" s="62">
        <f t="shared" si="92"/>
        <v>164.23448598618114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-2.2737367544323206E-13</v>
      </c>
      <c r="BZ104" s="14">
        <f>BY104*VLOOKUP('Données projet'!$B$12,Paramètres!$A$1:$I$89,3,0)*VLOOKUP('Données projet'!$B$12,Paramètres!$A$1:$I$89,5,0)</f>
        <v>-1.8089849618263545E-13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219.2279518699109</v>
      </c>
      <c r="CE104" s="62">
        <f t="shared" si="94"/>
        <v>219.59799863414099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1.8590849855608325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1.8590849855608325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2">
        <f t="shared" si="86"/>
        <v>16.07439350416519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70">
        <f t="shared" si="56"/>
        <v>418.32646868642092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153.59418465942997</v>
      </c>
      <c r="T105" s="62">
        <f t="shared" si="88"/>
        <v>313.61727210988198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23.741359729552034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3.8705903569797265E-9</v>
      </c>
      <c r="AC105" s="24">
        <f t="shared" si="57"/>
        <v>23.741359733422623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2.2737367544323206E-13</v>
      </c>
      <c r="AJ105" s="14">
        <f>AI105*VLOOKUP('Données projet'!$B$10,Paramètres!$A$1:$I$89,3,0)*VLOOKUP('Données projet'!$B$10,Paramètres!$A$1:$I$89,5,0)</f>
        <v>1.3596945791505279E-13</v>
      </c>
      <c r="AK105" s="14">
        <f t="shared" si="89"/>
        <v>1.9708830566360721E-12</v>
      </c>
      <c r="AL105" s="22">
        <f t="shared" si="58"/>
        <v>3.669434796176543E-12</v>
      </c>
      <c r="AM105" s="62">
        <f t="shared" si="59"/>
        <v>293.33333333333701</v>
      </c>
      <c r="AN105" s="62">
        <f ca="1">AVERAGE(OFFSET($AM$3,0,0,'Données projet'!$E$10+1,1))-AVERAGE(OFFSET($H$3,0,0,'Données projet'!$E$10+1,1))</f>
        <v>288.15107951401188</v>
      </c>
      <c r="AO105" s="62">
        <f t="shared" si="90"/>
        <v>217.57508587672368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1.7884317033656416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1.9955637310198553E-10</v>
      </c>
      <c r="AX105" s="23">
        <f t="shared" si="60"/>
        <v>1.788431703565198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8.5555555555555554</v>
      </c>
      <c r="BD105" s="13">
        <f>IF('Données projet'!$A$88&gt;35,BD104+BC105-BL104,IF(A105&lt;'Données projet'!$A$88,$BA$205^A105,IF(A105='Données projet'!$A$88,'Données projet'!$B$88,BD104+BC105-BL104)))</f>
        <v>331.33333333333371</v>
      </c>
      <c r="BE105" s="14">
        <f>BD105*VLOOKUP('Données projet'!$B$11,Paramètres!$A$1:$I$89,3,0)*VLOOKUP('Données projet'!$B$11,Paramètres!$A$1:$I$89,5,0)</f>
        <v>155.06400000000016</v>
      </c>
      <c r="BF105" s="14">
        <f t="shared" si="91"/>
        <v>39.727164550120129</v>
      </c>
      <c r="BG105" s="22">
        <f t="shared" si="61"/>
        <v>339.2612782581262</v>
      </c>
      <c r="BH105" s="62">
        <f t="shared" si="62"/>
        <v>632.59461159145951</v>
      </c>
      <c r="BI105" s="62">
        <f ca="1">AVERAGE(OFFSET($BH$3,0,0,'Données projet'!$E$11+1,1))-AVERAGE(OFFSET($H$3,0,0,'Données projet'!$E$11+1,1))</f>
        <v>221.07273841880755</v>
      </c>
      <c r="BJ105" s="62">
        <f t="shared" si="92"/>
        <v>164.23448598618114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-2.2737367544323206E-13</v>
      </c>
      <c r="BZ105" s="14">
        <f>BY105*VLOOKUP('Données projet'!$B$12,Paramètres!$A$1:$I$89,3,0)*VLOOKUP('Données projet'!$B$12,Paramètres!$A$1:$I$89,5,0)</f>
        <v>-1.8089849618263545E-13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219.2279518699109</v>
      </c>
      <c r="CE105" s="62">
        <f t="shared" si="94"/>
        <v>219.59799863414099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1.8226294629238595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1.8226294629238595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2">
        <f t="shared" si="86"/>
        <v>16.213562712594495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70">
        <f t="shared" si="56"/>
        <v>419.51980505776862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153.59418465942997</v>
      </c>
      <c r="T106" s="62">
        <f t="shared" si="88"/>
        <v>313.61727210988198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23.275806146055093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2.7369206886156244E-9</v>
      </c>
      <c r="AC106" s="24">
        <f t="shared" si="57"/>
        <v>23.275806148792014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2.2737367544323206E-13</v>
      </c>
      <c r="AJ106" s="14">
        <f>AI106*VLOOKUP('Données projet'!$B$10,Paramètres!$A$1:$I$89,3,0)*VLOOKUP('Données projet'!$B$10,Paramètres!$A$1:$I$89,5,0)</f>
        <v>1.3596945791505279E-13</v>
      </c>
      <c r="AK106" s="14">
        <f t="shared" si="89"/>
        <v>1.9708830566360721E-12</v>
      </c>
      <c r="AL106" s="22">
        <f t="shared" si="58"/>
        <v>3.669434796176543E-12</v>
      </c>
      <c r="AM106" s="62">
        <f t="shared" si="59"/>
        <v>293.33333333333701</v>
      </c>
      <c r="AN106" s="62">
        <f ca="1">AVERAGE(OFFSET($AM$3,0,0,'Données projet'!$E$10+1,1))-AVERAGE(OFFSET($H$3,0,0,'Données projet'!$E$10+1,1))</f>
        <v>288.15107951401188</v>
      </c>
      <c r="AO106" s="62">
        <f t="shared" si="90"/>
        <v>217.57508587672368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1.7533616484982693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1.4110766464940672E-10</v>
      </c>
      <c r="AX106" s="23">
        <f t="shared" si="60"/>
        <v>1.7533616486393768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8.5555555555555554</v>
      </c>
      <c r="BD106" s="13">
        <f>IF('Données projet'!$A$88&gt;35,BD105+BC106-BL105,IF(A106&lt;'Données projet'!$A$88,$BA$205^A106,IF(A106='Données projet'!$A$88,'Données projet'!$B$88,BD105+BC106-BL105)))</f>
        <v>339.88888888888926</v>
      </c>
      <c r="BE106" s="14">
        <f>BD106*VLOOKUP('Données projet'!$B$11,Paramètres!$A$1:$I$89,3,0)*VLOOKUP('Données projet'!$B$11,Paramètres!$A$1:$I$89,5,0)</f>
        <v>159.06800000000018</v>
      </c>
      <c r="BF106" s="14">
        <f t="shared" si="91"/>
        <v>40.632228784106786</v>
      </c>
      <c r="BG106" s="22">
        <f t="shared" si="61"/>
        <v>347.81123179898628</v>
      </c>
      <c r="BH106" s="62">
        <f t="shared" si="62"/>
        <v>641.1445651323196</v>
      </c>
      <c r="BI106" s="62">
        <f ca="1">AVERAGE(OFFSET($BH$3,0,0,'Données projet'!$E$11+1,1))-AVERAGE(OFFSET($H$3,0,0,'Données projet'!$E$11+1,1))</f>
        <v>221.07273841880755</v>
      </c>
      <c r="BJ106" s="62">
        <f t="shared" si="92"/>
        <v>164.23448598618114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-2.2737367544323206E-13</v>
      </c>
      <c r="BZ106" s="14">
        <f>BY106*VLOOKUP('Données projet'!$B$12,Paramètres!$A$1:$I$89,3,0)*VLOOKUP('Données projet'!$B$12,Paramètres!$A$1:$I$89,5,0)</f>
        <v>-1.8089849618263545E-13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219.2279518699109</v>
      </c>
      <c r="CE106" s="62">
        <f t="shared" si="94"/>
        <v>219.59799863414099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1.7868888108501244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1.7868888108501244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2">
        <f t="shared" si="86"/>
        <v>16.352574732529348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70">
        <f t="shared" si="56"/>
        <v>420.71286765915517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153.59418465942997</v>
      </c>
      <c r="T107" s="62">
        <f t="shared" si="88"/>
        <v>313.61727210988198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22.819381784370879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1.9352951784898633E-9</v>
      </c>
      <c r="AC107" s="24">
        <f t="shared" si="57"/>
        <v>22.819381786306174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2.2737367544323206E-13</v>
      </c>
      <c r="AJ107" s="14">
        <f>AI107*VLOOKUP('Données projet'!$B$10,Paramètres!$A$1:$I$89,3,0)*VLOOKUP('Données projet'!$B$10,Paramètres!$A$1:$I$89,5,0)</f>
        <v>1.3596945791505279E-13</v>
      </c>
      <c r="AK107" s="14">
        <f t="shared" si="89"/>
        <v>1.9708830566360721E-12</v>
      </c>
      <c r="AL107" s="22">
        <f t="shared" si="58"/>
        <v>3.669434796176543E-12</v>
      </c>
      <c r="AM107" s="62">
        <f t="shared" si="59"/>
        <v>293.33333333333701</v>
      </c>
      <c r="AN107" s="62">
        <f ca="1">AVERAGE(OFFSET($AM$3,0,0,'Données projet'!$E$10+1,1))-AVERAGE(OFFSET($H$3,0,0,'Données projet'!$E$10+1,1))</f>
        <v>288.15107951401188</v>
      </c>
      <c r="AO107" s="62">
        <f t="shared" si="90"/>
        <v>217.57508587672368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1.7189792960162249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9.9778186550992764E-11</v>
      </c>
      <c r="AX107" s="23">
        <f t="shared" si="60"/>
        <v>1.7189792961160031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8.5555555555555554</v>
      </c>
      <c r="BD107" s="13">
        <f>IF('Données projet'!$A$88&gt;35,BD106+BC107-BL106,IF(A107&lt;'Données projet'!$A$88,$BA$205^A107,IF(A107='Données projet'!$A$88,'Données projet'!$B$88,BD106+BC107-BL106)))</f>
        <v>348.4444444444448</v>
      </c>
      <c r="BE107" s="14">
        <f>BD107*VLOOKUP('Données projet'!$B$11,Paramètres!$A$1:$I$89,3,0)*VLOOKUP('Données projet'!$B$11,Paramètres!$A$1:$I$89,5,0)</f>
        <v>163.07200000000017</v>
      </c>
      <c r="BF107" s="14">
        <f t="shared" si="91"/>
        <v>41.53464478614341</v>
      </c>
      <c r="BG107" s="22">
        <f t="shared" si="61"/>
        <v>356.35657300253342</v>
      </c>
      <c r="BH107" s="62">
        <f t="shared" si="62"/>
        <v>649.68990633586668</v>
      </c>
      <c r="BI107" s="62">
        <f ca="1">AVERAGE(OFFSET($BH$3,0,0,'Données projet'!$E$11+1,1))-AVERAGE(OFFSET($H$3,0,0,'Données projet'!$E$11+1,1))</f>
        <v>221.07273841880755</v>
      </c>
      <c r="BJ107" s="62">
        <f t="shared" si="92"/>
        <v>164.23448598618114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-2.2737367544323206E-13</v>
      </c>
      <c r="BZ107" s="14">
        <f>BY107*VLOOKUP('Données projet'!$B$12,Paramètres!$A$1:$I$89,3,0)*VLOOKUP('Données projet'!$B$12,Paramètres!$A$1:$I$89,5,0)</f>
        <v>-1.8089849618263545E-13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219.2279518699109</v>
      </c>
      <c r="CE107" s="62">
        <f t="shared" si="94"/>
        <v>219.59799863414099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1.75184901116391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1.75184901116391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2">
        <f t="shared" si="86"/>
        <v>16.491431250436072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70">
        <f t="shared" si="56"/>
        <v>421.90565942784269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153.59418465942997</v>
      </c>
      <c r="T108" s="62">
        <f t="shared" si="88"/>
        <v>313.61727210988198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22.371907626027923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1.3684603443078122E-9</v>
      </c>
      <c r="AC108" s="24">
        <f t="shared" si="57"/>
        <v>22.371907627396382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2.2737367544323206E-13</v>
      </c>
      <c r="AJ108" s="14">
        <f>AI108*VLOOKUP('Données projet'!$B$10,Paramètres!$A$1:$I$89,3,0)*VLOOKUP('Données projet'!$B$10,Paramètres!$A$1:$I$89,5,0)</f>
        <v>1.3596945791505279E-13</v>
      </c>
      <c r="AK108" s="14">
        <f t="shared" si="89"/>
        <v>1.9708830566360721E-12</v>
      </c>
      <c r="AL108" s="22">
        <f t="shared" si="58"/>
        <v>3.669434796176543E-12</v>
      </c>
      <c r="AM108" s="62">
        <f t="shared" si="59"/>
        <v>293.33333333333701</v>
      </c>
      <c r="AN108" s="62">
        <f ca="1">AVERAGE(OFFSET($AM$3,0,0,'Données projet'!$E$10+1,1))-AVERAGE(OFFSET($H$3,0,0,'Données projet'!$E$10+1,1))</f>
        <v>288.15107951401188</v>
      </c>
      <c r="AO108" s="62">
        <f t="shared" si="90"/>
        <v>217.57508587672368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1.6852711604951891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7.0553832324703358E-11</v>
      </c>
      <c r="AX108" s="23">
        <f t="shared" si="60"/>
        <v>1.6852711605657429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357</v>
      </c>
      <c r="BB108" s="13">
        <f>VLOOKUP(A108,'Données projet'!$A$87:$I$107,9,0)</f>
        <v>8.5555555555555554</v>
      </c>
      <c r="BC108" s="13">
        <f t="array" ref="BC108">INDEX(BB:BB,MIN(IF(ISNUMBER(BB108:BB304),ROW(BB108:BB304),"")))</f>
        <v>8.5555555555555554</v>
      </c>
      <c r="BD108" s="13">
        <f>IF('Données projet'!$A$88&gt;35,BD107+BC108-BL107,IF(A108&lt;'Données projet'!$A$88,$BA$205^A108,IF(A108='Données projet'!$A$88,'Données projet'!$B$88,BD107+BC108-BL107)))</f>
        <v>357.00000000000034</v>
      </c>
      <c r="BE108" s="14">
        <f>BD108*VLOOKUP('Données projet'!$B$11,Paramètres!$A$1:$I$89,3,0)*VLOOKUP('Données projet'!$B$11,Paramètres!$A$1:$I$89,5,0)</f>
        <v>167.07600000000016</v>
      </c>
      <c r="BF108" s="14">
        <f t="shared" si="91"/>
        <v>42.434485059621714</v>
      </c>
      <c r="BG108" s="22">
        <f t="shared" si="61"/>
        <v>364.89742814550806</v>
      </c>
      <c r="BH108" s="62">
        <f t="shared" si="62"/>
        <v>658.23076147884137</v>
      </c>
      <c r="BI108" s="62">
        <f ca="1">AVERAGE(OFFSET($BH$3,0,0,'Données projet'!$E$11+1,1))-AVERAGE(OFFSET($H$3,0,0,'Données projet'!$E$11+1,1))</f>
        <v>221.07273841880755</v>
      </c>
      <c r="BJ108" s="62">
        <f t="shared" si="92"/>
        <v>164.23448598618114</v>
      </c>
      <c r="BK108" s="16">
        <f>IF(ISNA(VLOOKUP(A108,'Données projet'!$A$87:$I$107,3,0)),0,VLOOKUP(A108,'Données projet'!$A$87:$I$107,3,0))</f>
        <v>20</v>
      </c>
      <c r="BL108" s="16">
        <f>IF(ISNA(VLOOKUP(A108,'Données projet'!$A$87:$I$107,4,0)),0,VLOOKUP(A108,'Données projet'!$A$87:$I$107,4,0))</f>
        <v>357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-2.2737367544323206E-13</v>
      </c>
      <c r="BZ108" s="14">
        <f>BY108*VLOOKUP('Données projet'!$B$12,Paramètres!$A$1:$I$89,3,0)*VLOOKUP('Données projet'!$B$12,Paramètres!$A$1:$I$89,5,0)</f>
        <v>-1.8089849618263545E-13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219.2279518699109</v>
      </c>
      <c r="CE108" s="62">
        <f t="shared" si="94"/>
        <v>219.59799863414099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1.7174963205773748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1.7174963205773748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2">
        <f t="shared" si="86"/>
        <v>16.630133918805559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70">
        <f t="shared" si="56"/>
        <v>423.09818324191957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153.59418465942997</v>
      </c>
      <c r="T109" s="62">
        <f t="shared" si="88"/>
        <v>313.61727210988198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21.933208162997783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9.6764758924493163E-10</v>
      </c>
      <c r="AC109" s="24">
        <f t="shared" si="57"/>
        <v>21.933208163965432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2.2737367544323206E-13</v>
      </c>
      <c r="AJ109" s="14">
        <f>AI109*VLOOKUP('Données projet'!$B$10,Paramètres!$A$1:$I$89,3,0)*VLOOKUP('Données projet'!$B$10,Paramètres!$A$1:$I$89,5,0)</f>
        <v>1.3596945791505279E-13</v>
      </c>
      <c r="AK109" s="14">
        <f t="shared" si="89"/>
        <v>1.9708830566360721E-12</v>
      </c>
      <c r="AL109" s="22">
        <f t="shared" si="58"/>
        <v>3.669434796176543E-12</v>
      </c>
      <c r="AM109" s="62">
        <f t="shared" si="59"/>
        <v>293.33333333333701</v>
      </c>
      <c r="AN109" s="62">
        <f ca="1">AVERAGE(OFFSET($AM$3,0,0,'Données projet'!$E$10+1,1))-AVERAGE(OFFSET($H$3,0,0,'Données projet'!$E$10+1,1))</f>
        <v>288.15107951401188</v>
      </c>
      <c r="AO109" s="62">
        <f t="shared" si="90"/>
        <v>217.57508587672368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1.6522240209517882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4.9889093275496382E-11</v>
      </c>
      <c r="AX109" s="23">
        <f t="shared" si="60"/>
        <v>1.6522240210016774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3.4106051316484809E-13</v>
      </c>
      <c r="BE109" s="14">
        <f>BD109*VLOOKUP('Données projet'!$B$11,Paramètres!$A$1:$I$89,3,0)*VLOOKUP('Données projet'!$B$11,Paramètres!$A$1:$I$89,5,0)</f>
        <v>1.5961632016114892E-13</v>
      </c>
      <c r="BF109" s="14">
        <f t="shared" si="91"/>
        <v>2.2708641912150958E-12</v>
      </c>
      <c r="BG109" s="22">
        <f t="shared" si="61"/>
        <v>4.2330868906469593E-12</v>
      </c>
      <c r="BH109" s="62">
        <f t="shared" si="62"/>
        <v>293.33333333333752</v>
      </c>
      <c r="BI109" s="62">
        <f ca="1">AVERAGE(OFFSET($BH$3,0,0,'Données projet'!$E$11+1,1))-AVERAGE(OFFSET($H$3,0,0,'Données projet'!$E$11+1,1))</f>
        <v>221.07273841880755</v>
      </c>
      <c r="BJ109" s="62">
        <f t="shared" si="92"/>
        <v>164.23448598618114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-2.2737367544323206E-13</v>
      </c>
      <c r="BZ109" s="14">
        <f>BY109*VLOOKUP('Données projet'!$B$12,Paramètres!$A$1:$I$89,3,0)*VLOOKUP('Données projet'!$B$12,Paramètres!$A$1:$I$89,5,0)</f>
        <v>-1.8089849618263545E-13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219.2279518699109</v>
      </c>
      <c r="CE109" s="62">
        <f t="shared" si="94"/>
        <v>219.59799863414099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1.6838172653001691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1.6838172653001691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2">
        <f t="shared" si="86"/>
        <v>16.768684357151628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70">
        <f t="shared" si="56"/>
        <v>424.29044192203901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153.59418465942997</v>
      </c>
      <c r="T110" s="62">
        <f t="shared" si="88"/>
        <v>313.61727210988198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21.503111328857415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6.842301721539061E-10</v>
      </c>
      <c r="AC110" s="24">
        <f t="shared" si="57"/>
        <v>21.503111329541646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2.2737367544323206E-13</v>
      </c>
      <c r="AJ110" s="14">
        <f>AI110*VLOOKUP('Données projet'!$B$10,Paramètres!$A$1:$I$89,3,0)*VLOOKUP('Données projet'!$B$10,Paramètres!$A$1:$I$89,5,0)</f>
        <v>1.3596945791505279E-13</v>
      </c>
      <c r="AK110" s="14">
        <f t="shared" si="89"/>
        <v>1.9708830566360721E-12</v>
      </c>
      <c r="AL110" s="22">
        <f t="shared" si="58"/>
        <v>3.669434796176543E-12</v>
      </c>
      <c r="AM110" s="62">
        <f t="shared" si="59"/>
        <v>293.33333333333701</v>
      </c>
      <c r="AN110" s="62">
        <f ca="1">AVERAGE(OFFSET($AM$3,0,0,'Données projet'!$E$10+1,1))-AVERAGE(OFFSET($H$3,0,0,'Données projet'!$E$10+1,1))</f>
        <v>288.15107951401188</v>
      </c>
      <c r="AO110" s="62">
        <f t="shared" si="90"/>
        <v>217.57508587672368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1.6198249156580686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3.5276916162351679E-11</v>
      </c>
      <c r="AX110" s="23">
        <f t="shared" si="60"/>
        <v>1.6198249156933455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3.4106051316484809E-13</v>
      </c>
      <c r="BE110" s="14">
        <f>BD110*VLOOKUP('Données projet'!$B$11,Paramètres!$A$1:$I$89,3,0)*VLOOKUP('Données projet'!$B$11,Paramètres!$A$1:$I$89,5,0)</f>
        <v>1.5961632016114892E-13</v>
      </c>
      <c r="BF110" s="14">
        <f t="shared" si="91"/>
        <v>2.2708641912150958E-12</v>
      </c>
      <c r="BG110" s="22">
        <f t="shared" si="61"/>
        <v>4.2330868906469593E-12</v>
      </c>
      <c r="BH110" s="62">
        <f t="shared" si="62"/>
        <v>293.33333333333752</v>
      </c>
      <c r="BI110" s="62">
        <f ca="1">AVERAGE(OFFSET($BH$3,0,0,'Données projet'!$E$11+1,1))-AVERAGE(OFFSET($H$3,0,0,'Données projet'!$E$11+1,1))</f>
        <v>221.07273841880755</v>
      </c>
      <c r="BJ110" s="62">
        <f t="shared" si="92"/>
        <v>164.23448598618114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-2.2737367544323206E-13</v>
      </c>
      <c r="BZ110" s="14">
        <f>BY110*VLOOKUP('Données projet'!$B$12,Paramètres!$A$1:$I$89,3,0)*VLOOKUP('Données projet'!$B$12,Paramètres!$A$1:$I$89,5,0)</f>
        <v>-1.8089849618263545E-13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219.2279518699109</v>
      </c>
      <c r="CE110" s="62">
        <f t="shared" si="94"/>
        <v>219.59799863414099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1.6507986357547542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1.6507986357547542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2">
        <f t="shared" si="86"/>
        <v>16.907084152971102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70">
        <f t="shared" si="56"/>
        <v>425.48243823309122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153.59418465942997</v>
      </c>
      <c r="T111" s="62">
        <f t="shared" si="88"/>
        <v>313.61727210988198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21.081448431301371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4.8382379462246581E-10</v>
      </c>
      <c r="AC111" s="24">
        <f t="shared" si="57"/>
        <v>21.081448431785194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2.2737367544323206E-13</v>
      </c>
      <c r="AJ111" s="14">
        <f>AI111*VLOOKUP('Données projet'!$B$10,Paramètres!$A$1:$I$89,3,0)*VLOOKUP('Données projet'!$B$10,Paramètres!$A$1:$I$89,5,0)</f>
        <v>1.3596945791505279E-13</v>
      </c>
      <c r="AK111" s="14">
        <f t="shared" si="89"/>
        <v>1.9708830566360721E-12</v>
      </c>
      <c r="AL111" s="22">
        <f t="shared" si="58"/>
        <v>3.669434796176543E-12</v>
      </c>
      <c r="AM111" s="62">
        <f t="shared" si="59"/>
        <v>293.33333333333701</v>
      </c>
      <c r="AN111" s="62">
        <f ca="1">AVERAGE(OFFSET($AM$3,0,0,'Données projet'!$E$10+1,1))-AVERAGE(OFFSET($H$3,0,0,'Données projet'!$E$10+1,1))</f>
        <v>288.15107951401188</v>
      </c>
      <c r="AO111" s="62">
        <f t="shared" si="90"/>
        <v>217.57508587672368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1.5880611370576561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2.4944546637748191E-11</v>
      </c>
      <c r="AX111" s="23">
        <f t="shared" si="60"/>
        <v>1.5880611370826005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3.4106051316484809E-13</v>
      </c>
      <c r="BE111" s="14">
        <f>BD111*VLOOKUP('Données projet'!$B$11,Paramètres!$A$1:$I$89,3,0)*VLOOKUP('Données projet'!$B$11,Paramètres!$A$1:$I$89,5,0)</f>
        <v>1.5961632016114892E-13</v>
      </c>
      <c r="BF111" s="14">
        <f t="shared" si="91"/>
        <v>2.2708641912150958E-12</v>
      </c>
      <c r="BG111" s="22">
        <f t="shared" si="61"/>
        <v>4.2330868906469593E-12</v>
      </c>
      <c r="BH111" s="62">
        <f t="shared" si="62"/>
        <v>293.33333333333752</v>
      </c>
      <c r="BI111" s="62">
        <f ca="1">AVERAGE(OFFSET($BH$3,0,0,'Données projet'!$E$11+1,1))-AVERAGE(OFFSET($H$3,0,0,'Données projet'!$E$11+1,1))</f>
        <v>221.07273841880755</v>
      </c>
      <c r="BJ111" s="62">
        <f t="shared" si="92"/>
        <v>164.23448598618114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-2.2737367544323206E-13</v>
      </c>
      <c r="BZ111" s="14">
        <f>BY111*VLOOKUP('Données projet'!$B$12,Paramètres!$A$1:$I$89,3,0)*VLOOKUP('Données projet'!$B$12,Paramètres!$A$1:$I$89,5,0)</f>
        <v>-1.8089849618263545E-13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219.2279518699109</v>
      </c>
      <c r="CE111" s="62">
        <f t="shared" si="94"/>
        <v>219.59799863414099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1.6184274813953494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1.6184274813953494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2">
        <f t="shared" si="86"/>
        <v>17.045334862667175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70">
        <f t="shared" si="56"/>
        <v>426.67417488581191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153.59418465942997</v>
      </c>
      <c r="T112" s="62">
        <f t="shared" si="88"/>
        <v>313.61727210988198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20.668054085977431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3.4211508607695305E-10</v>
      </c>
      <c r="AC112" s="24">
        <f t="shared" si="57"/>
        <v>20.668054086319547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2.2737367544323206E-13</v>
      </c>
      <c r="AJ112" s="14">
        <f>AI112*VLOOKUP('Données projet'!$B$10,Paramètres!$A$1:$I$89,3,0)*VLOOKUP('Données projet'!$B$10,Paramètres!$A$1:$I$89,5,0)</f>
        <v>1.3596945791505279E-13</v>
      </c>
      <c r="AK112" s="14">
        <f t="shared" si="89"/>
        <v>1.9708830566360721E-12</v>
      </c>
      <c r="AL112" s="22">
        <f t="shared" si="58"/>
        <v>3.669434796176543E-12</v>
      </c>
      <c r="AM112" s="62">
        <f t="shared" si="59"/>
        <v>293.33333333333701</v>
      </c>
      <c r="AN112" s="62">
        <f ca="1">AVERAGE(OFFSET($AM$3,0,0,'Données projet'!$E$10+1,1))-AVERAGE(OFFSET($H$3,0,0,'Données projet'!$E$10+1,1))</f>
        <v>288.15107951401188</v>
      </c>
      <c r="AO112" s="62">
        <f t="shared" si="90"/>
        <v>217.57508587672368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1.5569202267816056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1.763845808117584E-11</v>
      </c>
      <c r="AX112" s="23">
        <f t="shared" si="60"/>
        <v>1.5569202267992441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3.4106051316484809E-13</v>
      </c>
      <c r="BE112" s="14">
        <f>BD112*VLOOKUP('Données projet'!$B$11,Paramètres!$A$1:$I$89,3,0)*VLOOKUP('Données projet'!$B$11,Paramètres!$A$1:$I$89,5,0)</f>
        <v>1.5961632016114892E-13</v>
      </c>
      <c r="BF112" s="14">
        <f t="shared" si="91"/>
        <v>2.2708641912150958E-12</v>
      </c>
      <c r="BG112" s="22">
        <f t="shared" si="61"/>
        <v>4.2330868906469593E-12</v>
      </c>
      <c r="BH112" s="62">
        <f t="shared" si="62"/>
        <v>293.33333333333752</v>
      </c>
      <c r="BI112" s="62">
        <f ca="1">AVERAGE(OFFSET($BH$3,0,0,'Données projet'!$E$11+1,1))-AVERAGE(OFFSET($H$3,0,0,'Données projet'!$E$11+1,1))</f>
        <v>221.07273841880755</v>
      </c>
      <c r="BJ112" s="62">
        <f t="shared" si="92"/>
        <v>164.23448598618114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-2.2737367544323206E-13</v>
      </c>
      <c r="BZ112" s="14">
        <f>BY112*VLOOKUP('Données projet'!$B$12,Paramètres!$A$1:$I$89,3,0)*VLOOKUP('Données projet'!$B$12,Paramètres!$A$1:$I$89,5,0)</f>
        <v>-1.8089849618263545E-13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219.2279518699109</v>
      </c>
      <c r="CE112" s="62">
        <f t="shared" si="94"/>
        <v>219.59799863414099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1.586691105628478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1.586691105628478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2">
        <f t="shared" si="86"/>
        <v>17.183438012437954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70">
        <f t="shared" si="56"/>
        <v>427.8656545383293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153.59418465942997</v>
      </c>
      <c r="T113" s="62">
        <f t="shared" si="88"/>
        <v>313.61727210988198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20.26276615161964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2.4191189731123291E-10</v>
      </c>
      <c r="AC113" s="24">
        <f t="shared" si="57"/>
        <v>20.262766151861552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2.2737367544323206E-13</v>
      </c>
      <c r="AJ113" s="14">
        <f>AI113*VLOOKUP('Données projet'!$B$10,Paramètres!$A$1:$I$89,3,0)*VLOOKUP('Données projet'!$B$10,Paramètres!$A$1:$I$89,5,0)</f>
        <v>1.3596945791505279E-13</v>
      </c>
      <c r="AK113" s="14">
        <f t="shared" si="89"/>
        <v>1.9708830566360721E-12</v>
      </c>
      <c r="AL113" s="22">
        <f t="shared" si="58"/>
        <v>3.669434796176543E-12</v>
      </c>
      <c r="AM113" s="62">
        <f t="shared" si="59"/>
        <v>293.33333333333701</v>
      </c>
      <c r="AN113" s="62">
        <f ca="1">AVERAGE(OFFSET($AM$3,0,0,'Données projet'!$E$10+1,1))-AVERAGE(OFFSET($H$3,0,0,'Données projet'!$E$10+1,1))</f>
        <v>288.15107951401188</v>
      </c>
      <c r="AO113" s="62">
        <f t="shared" si="90"/>
        <v>217.57508587672368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1.5263899707619888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1.2472273318874095E-11</v>
      </c>
      <c r="AX113" s="23">
        <f t="shared" si="60"/>
        <v>1.526389970774461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3.4106051316484809E-13</v>
      </c>
      <c r="BE113" s="14">
        <f>BD113*VLOOKUP('Données projet'!$B$11,Paramètres!$A$1:$I$89,3,0)*VLOOKUP('Données projet'!$B$11,Paramètres!$A$1:$I$89,5,0)</f>
        <v>1.5961632016114892E-13</v>
      </c>
      <c r="BF113" s="14">
        <f t="shared" si="91"/>
        <v>2.2708641912150958E-12</v>
      </c>
      <c r="BG113" s="22">
        <f t="shared" si="61"/>
        <v>4.2330868906469593E-12</v>
      </c>
      <c r="BH113" s="62">
        <f t="shared" si="62"/>
        <v>293.33333333333752</v>
      </c>
      <c r="BI113" s="62">
        <f ca="1">AVERAGE(OFFSET($BH$3,0,0,'Données projet'!$E$11+1,1))-AVERAGE(OFFSET($H$3,0,0,'Données projet'!$E$11+1,1))</f>
        <v>221.07273841880755</v>
      </c>
      <c r="BJ113" s="62">
        <f t="shared" si="92"/>
        <v>164.23448598618114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-2.2737367544323206E-13</v>
      </c>
      <c r="BZ113" s="14">
        <f>BY113*VLOOKUP('Données projet'!$B$12,Paramètres!$A$1:$I$89,3,0)*VLOOKUP('Données projet'!$B$12,Paramètres!$A$1:$I$89,5,0)</f>
        <v>-1.8089849618263545E-13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219.2279518699109</v>
      </c>
      <c r="CE113" s="62">
        <f t="shared" si="94"/>
        <v>219.59799863414099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1.555577060833117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1.555577060833117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2">
        <f t="shared" si="86"/>
        <v>17.32139509913188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70">
        <f t="shared" si="56"/>
        <v>429.05687979765457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153.59418465942997</v>
      </c>
      <c r="T114" s="62">
        <f t="shared" si="88"/>
        <v>313.61727210988198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19.865425666453376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1.7105754303847652E-10</v>
      </c>
      <c r="AC114" s="24">
        <f t="shared" si="57"/>
        <v>19.865425666624432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2.2737367544323206E-13</v>
      </c>
      <c r="AJ114" s="14">
        <f>AI114*VLOOKUP('Données projet'!$B$10,Paramètres!$A$1:$I$89,3,0)*VLOOKUP('Données projet'!$B$10,Paramètres!$A$1:$I$89,5,0)</f>
        <v>1.3596945791505279E-13</v>
      </c>
      <c r="AK114" s="14">
        <f t="shared" si="89"/>
        <v>1.9708830566360721E-12</v>
      </c>
      <c r="AL114" s="22">
        <f t="shared" si="58"/>
        <v>3.669434796176543E-12</v>
      </c>
      <c r="AM114" s="62">
        <f t="shared" si="59"/>
        <v>293.33333333333701</v>
      </c>
      <c r="AN114" s="62">
        <f ca="1">AVERAGE(OFFSET($AM$3,0,0,'Données projet'!$E$10+1,1))-AVERAGE(OFFSET($H$3,0,0,'Données projet'!$E$10+1,1))</f>
        <v>288.15107951401188</v>
      </c>
      <c r="AO114" s="62">
        <f t="shared" si="90"/>
        <v>217.57508587672368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1.4964583944412992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8.8192290405879198E-12</v>
      </c>
      <c r="AX114" s="23">
        <f t="shared" si="60"/>
        <v>1.4964583944501184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3.4106051316484809E-13</v>
      </c>
      <c r="BE114" s="14">
        <f>BD114*VLOOKUP('Données projet'!$B$11,Paramètres!$A$1:$I$89,3,0)*VLOOKUP('Données projet'!$B$11,Paramètres!$A$1:$I$89,5,0)</f>
        <v>1.5961632016114892E-13</v>
      </c>
      <c r="BF114" s="14">
        <f t="shared" si="91"/>
        <v>2.2708641912150958E-12</v>
      </c>
      <c r="BG114" s="22">
        <f t="shared" si="61"/>
        <v>4.2330868906469593E-12</v>
      </c>
      <c r="BH114" s="62">
        <f t="shared" si="62"/>
        <v>293.33333333333752</v>
      </c>
      <c r="BI114" s="62">
        <f ca="1">AVERAGE(OFFSET($BH$3,0,0,'Données projet'!$E$11+1,1))-AVERAGE(OFFSET($H$3,0,0,'Données projet'!$E$11+1,1))</f>
        <v>221.07273841880755</v>
      </c>
      <c r="BJ114" s="62">
        <f t="shared" si="92"/>
        <v>164.23448598618114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-2.2737367544323206E-13</v>
      </c>
      <c r="BZ114" s="14">
        <f>BY114*VLOOKUP('Données projet'!$B$12,Paramètres!$A$1:$I$89,3,0)*VLOOKUP('Données projet'!$B$12,Paramètres!$A$1:$I$89,5,0)</f>
        <v>-1.8089849618263545E-13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219.2279518699109</v>
      </c>
      <c r="CE114" s="62">
        <f t="shared" si="94"/>
        <v>219.59799863414099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1.5250731434784996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1.5250731434784996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2">
        <f t="shared" si="86"/>
        <v>17.459207591071241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70">
        <f t="shared" si="56"/>
        <v>430.24785322111563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153.59418465942997</v>
      </c>
      <c r="T115" s="62">
        <f t="shared" si="88"/>
        <v>313.61727210988198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19.475876785847454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1.2095594865561645E-10</v>
      </c>
      <c r="AC115" s="24">
        <f t="shared" si="57"/>
        <v>19.47587678596841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2.2737367544323206E-13</v>
      </c>
      <c r="AJ115" s="14">
        <f>AI115*VLOOKUP('Données projet'!$B$10,Paramètres!$A$1:$I$89,3,0)*VLOOKUP('Données projet'!$B$10,Paramètres!$A$1:$I$89,5,0)</f>
        <v>1.3596945791505279E-13</v>
      </c>
      <c r="AK115" s="14">
        <f t="shared" si="89"/>
        <v>1.9708830566360721E-12</v>
      </c>
      <c r="AL115" s="22">
        <f t="shared" si="58"/>
        <v>3.669434796176543E-12</v>
      </c>
      <c r="AM115" s="62">
        <f t="shared" si="59"/>
        <v>293.33333333333701</v>
      </c>
      <c r="AN115" s="62">
        <f ca="1">AVERAGE(OFFSET($AM$3,0,0,'Données projet'!$E$10+1,1))-AVERAGE(OFFSET($H$3,0,0,'Données projet'!$E$10+1,1))</f>
        <v>288.15107951401188</v>
      </c>
      <c r="AO115" s="62">
        <f t="shared" si="90"/>
        <v>217.57508587672368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1.4671137580757994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6.2361366594370477E-12</v>
      </c>
      <c r="AX115" s="23">
        <f t="shared" si="60"/>
        <v>1.4671137580820355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3.4106051316484809E-13</v>
      </c>
      <c r="BE115" s="14">
        <f>BD115*VLOOKUP('Données projet'!$B$11,Paramètres!$A$1:$I$89,3,0)*VLOOKUP('Données projet'!$B$11,Paramètres!$A$1:$I$89,5,0)</f>
        <v>1.5961632016114892E-13</v>
      </c>
      <c r="BF115" s="14">
        <f t="shared" si="91"/>
        <v>2.2708641912150958E-12</v>
      </c>
      <c r="BG115" s="22">
        <f t="shared" si="61"/>
        <v>4.2330868906469593E-12</v>
      </c>
      <c r="BH115" s="62">
        <f t="shared" si="62"/>
        <v>293.33333333333752</v>
      </c>
      <c r="BI115" s="62">
        <f ca="1">AVERAGE(OFFSET($BH$3,0,0,'Données projet'!$E$11+1,1))-AVERAGE(OFFSET($H$3,0,0,'Données projet'!$E$11+1,1))</f>
        <v>221.07273841880755</v>
      </c>
      <c r="BJ115" s="62">
        <f t="shared" si="92"/>
        <v>164.23448598618114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-2.2737367544323206E-13</v>
      </c>
      <c r="BZ115" s="14">
        <f>BY115*VLOOKUP('Données projet'!$B$12,Paramètres!$A$1:$I$89,3,0)*VLOOKUP('Données projet'!$B$12,Paramètres!$A$1:$I$89,5,0)</f>
        <v>-1.8089849618263545E-13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219.2279518699109</v>
      </c>
      <c r="CE115" s="62">
        <f t="shared" si="94"/>
        <v>219.59799863414099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1.4951673893376538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1.4951673893376538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2">
        <f t="shared" si="86"/>
        <v>17.596876928845635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70">
        <f t="shared" si="56"/>
        <v>431.43857731773937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153.59418465942997</v>
      </c>
      <c r="T116" s="62">
        <f t="shared" si="88"/>
        <v>313.61727210988198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19.09396672118886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8.5528771519238262E-11</v>
      </c>
      <c r="AC116" s="24">
        <f t="shared" si="57"/>
        <v>19.093966721274388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2.2737367544323206E-13</v>
      </c>
      <c r="AJ116" s="14">
        <f>AI116*VLOOKUP('Données projet'!$B$10,Paramètres!$A$1:$I$89,3,0)*VLOOKUP('Données projet'!$B$10,Paramètres!$A$1:$I$89,5,0)</f>
        <v>1.3596945791505279E-13</v>
      </c>
      <c r="AK116" s="14">
        <f t="shared" si="89"/>
        <v>1.9708830566360721E-12</v>
      </c>
      <c r="AL116" s="22">
        <f t="shared" si="58"/>
        <v>3.669434796176543E-12</v>
      </c>
      <c r="AM116" s="62">
        <f t="shared" si="59"/>
        <v>293.33333333333701</v>
      </c>
      <c r="AN116" s="62">
        <f ca="1">AVERAGE(OFFSET($AM$3,0,0,'Données projet'!$E$10+1,1))-AVERAGE(OFFSET($H$3,0,0,'Données projet'!$E$10+1,1))</f>
        <v>288.15107951401188</v>
      </c>
      <c r="AO116" s="62">
        <f t="shared" si="90"/>
        <v>217.57508587672368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1.4383445521309661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4.4096145202939599E-12</v>
      </c>
      <c r="AX116" s="23">
        <f t="shared" si="60"/>
        <v>1.4383445521353757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3.4106051316484809E-13</v>
      </c>
      <c r="BE116" s="14">
        <f>BD116*VLOOKUP('Données projet'!$B$11,Paramètres!$A$1:$I$89,3,0)*VLOOKUP('Données projet'!$B$11,Paramètres!$A$1:$I$89,5,0)</f>
        <v>1.5961632016114892E-13</v>
      </c>
      <c r="BF116" s="14">
        <f t="shared" si="91"/>
        <v>2.2708641912150958E-12</v>
      </c>
      <c r="BG116" s="22">
        <f t="shared" si="61"/>
        <v>4.2330868906469593E-12</v>
      </c>
      <c r="BH116" s="62">
        <f t="shared" si="62"/>
        <v>293.33333333333752</v>
      </c>
      <c r="BI116" s="62">
        <f ca="1">AVERAGE(OFFSET($BH$3,0,0,'Données projet'!$E$11+1,1))-AVERAGE(OFFSET($H$3,0,0,'Données projet'!$E$11+1,1))</f>
        <v>221.07273841880755</v>
      </c>
      <c r="BJ116" s="62">
        <f t="shared" si="92"/>
        <v>164.23448598618114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-2.2737367544323206E-13</v>
      </c>
      <c r="BZ116" s="14">
        <f>BY116*VLOOKUP('Données projet'!$B$12,Paramètres!$A$1:$I$89,3,0)*VLOOKUP('Données projet'!$B$12,Paramètres!$A$1:$I$89,5,0)</f>
        <v>-1.8089849618263545E-13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219.2279518699109</v>
      </c>
      <c r="CE116" s="62">
        <f t="shared" si="94"/>
        <v>219.59799863414099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1.4658480687948012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1.4658480687948012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2">
        <f t="shared" si="86"/>
        <v>17.734404526076418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70">
        <f t="shared" si="56"/>
        <v>432.62905454958297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153.59418465942997</v>
      </c>
      <c r="T117" s="62">
        <f t="shared" si="88"/>
        <v>313.61727210988198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18.719545679956081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6.0477974327808227E-11</v>
      </c>
      <c r="AC117" s="24">
        <f t="shared" si="57"/>
        <v>18.719545680016559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2.2737367544323206E-13</v>
      </c>
      <c r="AJ117" s="14">
        <f>AI117*VLOOKUP('Données projet'!$B$10,Paramètres!$A$1:$I$89,3,0)*VLOOKUP('Données projet'!$B$10,Paramètres!$A$1:$I$89,5,0)</f>
        <v>1.3596945791505279E-13</v>
      </c>
      <c r="AK117" s="14">
        <f t="shared" si="89"/>
        <v>1.9708830566360721E-12</v>
      </c>
      <c r="AL117" s="22">
        <f t="shared" si="58"/>
        <v>3.669434796176543E-12</v>
      </c>
      <c r="AM117" s="62">
        <f t="shared" si="59"/>
        <v>293.33333333333701</v>
      </c>
      <c r="AN117" s="62">
        <f ca="1">AVERAGE(OFFSET($AM$3,0,0,'Données projet'!$E$10+1,1))-AVERAGE(OFFSET($H$3,0,0,'Données projet'!$E$10+1,1))</f>
        <v>288.15107951401188</v>
      </c>
      <c r="AO117" s="62">
        <f t="shared" si="90"/>
        <v>217.57508587672368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1.4101394927672282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3.1180683297185239E-12</v>
      </c>
      <c r="AX117" s="23">
        <f t="shared" si="60"/>
        <v>1.4101394927703463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3.4106051316484809E-13</v>
      </c>
      <c r="BE117" s="14">
        <f>BD117*VLOOKUP('Données projet'!$B$11,Paramètres!$A$1:$I$89,3,0)*VLOOKUP('Données projet'!$B$11,Paramètres!$A$1:$I$89,5,0)</f>
        <v>1.5961632016114892E-13</v>
      </c>
      <c r="BF117" s="14">
        <f t="shared" si="91"/>
        <v>2.2708641912150958E-12</v>
      </c>
      <c r="BG117" s="22">
        <f t="shared" si="61"/>
        <v>4.2330868906469593E-12</v>
      </c>
      <c r="BH117" s="62">
        <f t="shared" si="62"/>
        <v>293.33333333333752</v>
      </c>
      <c r="BI117" s="62">
        <f ca="1">AVERAGE(OFFSET($BH$3,0,0,'Données projet'!$E$11+1,1))-AVERAGE(OFFSET($H$3,0,0,'Données projet'!$E$11+1,1))</f>
        <v>221.07273841880755</v>
      </c>
      <c r="BJ117" s="62">
        <f t="shared" si="92"/>
        <v>164.23448598618114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-2.2737367544323206E-13</v>
      </c>
      <c r="BZ117" s="14">
        <f>BY117*VLOOKUP('Données projet'!$B$12,Paramètres!$A$1:$I$89,3,0)*VLOOKUP('Données projet'!$B$12,Paramètres!$A$1:$I$89,5,0)</f>
        <v>-1.8089849618263545E-13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219.2279518699109</v>
      </c>
      <c r="CE117" s="62">
        <f t="shared" si="94"/>
        <v>219.59799863414099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1.4371036822447742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1.4371036822447742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2">
        <f t="shared" si="86"/>
        <v>17.871791770153557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70">
        <f t="shared" si="56"/>
        <v>433.81928733301731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153.59418465942997</v>
      </c>
      <c r="T118" s="62">
        <f t="shared" si="88"/>
        <v>313.61727210988198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18.352466806967595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4.2764385759619131E-11</v>
      </c>
      <c r="AC118" s="24">
        <f t="shared" si="57"/>
        <v>18.352466807010359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2.2737367544323206E-13</v>
      </c>
      <c r="AJ118" s="14">
        <f>AI118*VLOOKUP('Données projet'!$B$10,Paramètres!$A$1:$I$89,3,0)*VLOOKUP('Données projet'!$B$10,Paramètres!$A$1:$I$89,5,0)</f>
        <v>1.3596945791505279E-13</v>
      </c>
      <c r="AK118" s="14">
        <f t="shared" si="89"/>
        <v>1.9708830566360721E-12</v>
      </c>
      <c r="AL118" s="22">
        <f t="shared" si="58"/>
        <v>3.669434796176543E-12</v>
      </c>
      <c r="AM118" s="62">
        <f t="shared" si="59"/>
        <v>293.33333333333701</v>
      </c>
      <c r="AN118" s="62">
        <f ca="1">AVERAGE(OFFSET($AM$3,0,0,'Données projet'!$E$10+1,1))-AVERAGE(OFFSET($H$3,0,0,'Données projet'!$E$10+1,1))</f>
        <v>288.15107951401188</v>
      </c>
      <c r="AO118" s="62">
        <f t="shared" si="90"/>
        <v>217.57508587672368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1.3824875174142255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2.2048072601469799E-12</v>
      </c>
      <c r="AX118" s="23">
        <f t="shared" si="60"/>
        <v>1.3824875174164304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3.4106051316484809E-13</v>
      </c>
      <c r="BE118" s="14">
        <f>BD118*VLOOKUP('Données projet'!$B$11,Paramètres!$A$1:$I$89,3,0)*VLOOKUP('Données projet'!$B$11,Paramètres!$A$1:$I$89,5,0)</f>
        <v>1.5961632016114892E-13</v>
      </c>
      <c r="BF118" s="14">
        <f t="shared" si="91"/>
        <v>2.2708641912150958E-12</v>
      </c>
      <c r="BG118" s="22">
        <f t="shared" si="61"/>
        <v>4.2330868906469593E-12</v>
      </c>
      <c r="BH118" s="62">
        <f t="shared" si="62"/>
        <v>293.33333333333752</v>
      </c>
      <c r="BI118" s="62">
        <f ca="1">AVERAGE(OFFSET($BH$3,0,0,'Données projet'!$E$11+1,1))-AVERAGE(OFFSET($H$3,0,0,'Données projet'!$E$11+1,1))</f>
        <v>221.07273841880755</v>
      </c>
      <c r="BJ118" s="62">
        <f t="shared" si="92"/>
        <v>164.23448598618114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-2.2737367544323206E-13</v>
      </c>
      <c r="BZ118" s="14">
        <f>BY118*VLOOKUP('Données projet'!$B$12,Paramètres!$A$1:$I$89,3,0)*VLOOKUP('Données projet'!$B$12,Paramètres!$A$1:$I$89,5,0)</f>
        <v>-1.8089849618263545E-13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219.2279518699109</v>
      </c>
      <c r="CE118" s="62">
        <f t="shared" si="94"/>
        <v>219.59799863414099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1.4089229555826486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1.4089229555826486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2">
        <f t="shared" si="86"/>
        <v>18.009040022946209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70">
        <f t="shared" si="56"/>
        <v>435.00927803996456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153.59418465942997</v>
      </c>
      <c r="T119" s="62">
        <f t="shared" si="88"/>
        <v>313.61727210988198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17.992586126782406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3.0238987163904113E-11</v>
      </c>
      <c r="AC119" s="24">
        <f t="shared" si="57"/>
        <v>17.992586126812647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2.2737367544323206E-13</v>
      </c>
      <c r="AJ119" s="14">
        <f>AI119*VLOOKUP('Données projet'!$B$10,Paramètres!$A$1:$I$89,3,0)*VLOOKUP('Données projet'!$B$10,Paramètres!$A$1:$I$89,5,0)</f>
        <v>1.3596945791505279E-13</v>
      </c>
      <c r="AK119" s="14">
        <f t="shared" si="89"/>
        <v>1.9708830566360721E-12</v>
      </c>
      <c r="AL119" s="22">
        <f t="shared" si="58"/>
        <v>3.669434796176543E-12</v>
      </c>
      <c r="AM119" s="62">
        <f t="shared" si="59"/>
        <v>293.33333333333701</v>
      </c>
      <c r="AN119" s="62">
        <f ca="1">AVERAGE(OFFSET($AM$3,0,0,'Données projet'!$E$10+1,1))-AVERAGE(OFFSET($H$3,0,0,'Données projet'!$E$10+1,1))</f>
        <v>288.15107951401188</v>
      </c>
      <c r="AO119" s="62">
        <f t="shared" si="90"/>
        <v>217.57508587672368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1.3553777804318556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1.5590341648592619E-12</v>
      </c>
      <c r="AX119" s="23">
        <f t="shared" si="60"/>
        <v>1.3553777804334146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3.4106051316484809E-13</v>
      </c>
      <c r="BE119" s="14">
        <f>BD119*VLOOKUP('Données projet'!$B$11,Paramètres!$A$1:$I$89,3,0)*VLOOKUP('Données projet'!$B$11,Paramètres!$A$1:$I$89,5,0)</f>
        <v>1.5961632016114892E-13</v>
      </c>
      <c r="BF119" s="14">
        <f t="shared" si="91"/>
        <v>2.2708641912150958E-12</v>
      </c>
      <c r="BG119" s="22">
        <f t="shared" si="61"/>
        <v>4.2330868906469593E-12</v>
      </c>
      <c r="BH119" s="62">
        <f t="shared" si="62"/>
        <v>293.33333333333752</v>
      </c>
      <c r="BI119" s="62">
        <f ca="1">AVERAGE(OFFSET($BH$3,0,0,'Données projet'!$E$11+1,1))-AVERAGE(OFFSET($H$3,0,0,'Données projet'!$E$11+1,1))</f>
        <v>221.07273841880755</v>
      </c>
      <c r="BJ119" s="62">
        <f t="shared" si="92"/>
        <v>164.23448598618114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-2.2737367544323206E-13</v>
      </c>
      <c r="BZ119" s="14">
        <f>BY119*VLOOKUP('Données projet'!$B$12,Paramètres!$A$1:$I$89,3,0)*VLOOKUP('Données projet'!$B$12,Paramètres!$A$1:$I$89,5,0)</f>
        <v>-1.8089849618263545E-13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219.2279518699109</v>
      </c>
      <c r="CE119" s="62">
        <f t="shared" si="94"/>
        <v>219.59799863414099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1.3812948357818211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1.3812948357818211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2">
        <f t="shared" si="86"/>
        <v>18.146150621487966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70">
        <f t="shared" si="56"/>
        <v>436.19902899909141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153.59418465942997</v>
      </c>
      <c r="T120" s="62">
        <f t="shared" si="88"/>
        <v>313.61727210988198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17.639762487230108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2.1382192879809566E-11</v>
      </c>
      <c r="AC120" s="24">
        <f t="shared" si="57"/>
        <v>17.639762487251492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2.2737367544323206E-13</v>
      </c>
      <c r="AJ120" s="14">
        <f>AI120*VLOOKUP('Données projet'!$B$10,Paramètres!$A$1:$I$89,3,0)*VLOOKUP('Données projet'!$B$10,Paramètres!$A$1:$I$89,5,0)</f>
        <v>1.3596945791505279E-13</v>
      </c>
      <c r="AK120" s="14">
        <f t="shared" si="89"/>
        <v>1.9708830566360721E-12</v>
      </c>
      <c r="AL120" s="22">
        <f t="shared" si="58"/>
        <v>3.669434796176543E-12</v>
      </c>
      <c r="AM120" s="62">
        <f t="shared" si="59"/>
        <v>293.33333333333701</v>
      </c>
      <c r="AN120" s="62">
        <f ca="1">AVERAGE(OFFSET($AM$3,0,0,'Données projet'!$E$10+1,1))-AVERAGE(OFFSET($H$3,0,0,'Données projet'!$E$10+1,1))</f>
        <v>288.15107951401188</v>
      </c>
      <c r="AO120" s="62">
        <f t="shared" si="90"/>
        <v>217.57508587672368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1.3287996488564033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1.10240363007349E-12</v>
      </c>
      <c r="AX120" s="23">
        <f t="shared" si="60"/>
        <v>1.3287996488575058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3.4106051316484809E-13</v>
      </c>
      <c r="BE120" s="14">
        <f>BD120*VLOOKUP('Données projet'!$B$11,Paramètres!$A$1:$I$89,3,0)*VLOOKUP('Données projet'!$B$11,Paramètres!$A$1:$I$89,5,0)</f>
        <v>1.5961632016114892E-13</v>
      </c>
      <c r="BF120" s="14">
        <f t="shared" si="91"/>
        <v>2.2708641912150958E-12</v>
      </c>
      <c r="BG120" s="22">
        <f t="shared" si="61"/>
        <v>4.2330868906469593E-12</v>
      </c>
      <c r="BH120" s="62">
        <f t="shared" si="62"/>
        <v>293.33333333333752</v>
      </c>
      <c r="BI120" s="62">
        <f ca="1">AVERAGE(OFFSET($BH$3,0,0,'Données projet'!$E$11+1,1))-AVERAGE(OFFSET($H$3,0,0,'Données projet'!$E$11+1,1))</f>
        <v>221.07273841880755</v>
      </c>
      <c r="BJ120" s="62">
        <f t="shared" si="92"/>
        <v>164.23448598618114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-2.2737367544323206E-13</v>
      </c>
      <c r="BZ120" s="14">
        <f>BY120*VLOOKUP('Données projet'!$B$12,Paramètres!$A$1:$I$89,3,0)*VLOOKUP('Données projet'!$B$12,Paramètres!$A$1:$I$89,5,0)</f>
        <v>-1.8089849618263545E-13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219.2279518699109</v>
      </c>
      <c r="CE120" s="62">
        <f t="shared" si="94"/>
        <v>219.59799863414099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1.3542084865587989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1.3542084865587989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2">
        <f t="shared" si="86"/>
        <v>18.283124878638194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70">
        <f t="shared" si="56"/>
        <v>437.38854249696135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153.59418465942997</v>
      </c>
      <c r="T121" s="62">
        <f t="shared" si="88"/>
        <v>313.61727210988198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17.293857504048262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1.5119493581952057E-11</v>
      </c>
      <c r="AC121" s="24">
        <f t="shared" si="57"/>
        <v>17.293857504063382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2.2737367544323206E-13</v>
      </c>
      <c r="AJ121" s="14">
        <f>AI121*VLOOKUP('Données projet'!$B$10,Paramètres!$A$1:$I$89,3,0)*VLOOKUP('Données projet'!$B$10,Paramètres!$A$1:$I$89,5,0)</f>
        <v>1.3596945791505279E-13</v>
      </c>
      <c r="AK121" s="14">
        <f t="shared" si="89"/>
        <v>1.9708830566360721E-12</v>
      </c>
      <c r="AL121" s="22">
        <f t="shared" si="58"/>
        <v>3.669434796176543E-12</v>
      </c>
      <c r="AM121" s="62">
        <f t="shared" si="59"/>
        <v>293.33333333333701</v>
      </c>
      <c r="AN121" s="62">
        <f ca="1">AVERAGE(OFFSET($AM$3,0,0,'Données projet'!$E$10+1,1))-AVERAGE(OFFSET($H$3,0,0,'Données projet'!$E$10+1,1))</f>
        <v>288.15107951401188</v>
      </c>
      <c r="AO121" s="62">
        <f t="shared" si="90"/>
        <v>217.57508587672368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1.302742698230086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7.7951708242963097E-13</v>
      </c>
      <c r="AX121" s="23">
        <f t="shared" si="60"/>
        <v>1.3027426982308656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3.4106051316484809E-13</v>
      </c>
      <c r="BE121" s="14">
        <f>BD121*VLOOKUP('Données projet'!$B$11,Paramètres!$A$1:$I$89,3,0)*VLOOKUP('Données projet'!$B$11,Paramètres!$A$1:$I$89,5,0)</f>
        <v>1.5961632016114892E-13</v>
      </c>
      <c r="BF121" s="14">
        <f t="shared" si="91"/>
        <v>2.2708641912150958E-12</v>
      </c>
      <c r="BG121" s="22">
        <f t="shared" si="61"/>
        <v>4.2330868906469593E-12</v>
      </c>
      <c r="BH121" s="62">
        <f t="shared" si="62"/>
        <v>293.33333333333752</v>
      </c>
      <c r="BI121" s="62">
        <f ca="1">AVERAGE(OFFSET($BH$3,0,0,'Données projet'!$E$11+1,1))-AVERAGE(OFFSET($H$3,0,0,'Données projet'!$E$11+1,1))</f>
        <v>221.07273841880755</v>
      </c>
      <c r="BJ121" s="62">
        <f t="shared" si="92"/>
        <v>164.23448598618114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-2.2737367544323206E-13</v>
      </c>
      <c r="BZ121" s="14">
        <f>BY121*VLOOKUP('Données projet'!$B$12,Paramètres!$A$1:$I$89,3,0)*VLOOKUP('Données projet'!$B$12,Paramètres!$A$1:$I$89,5,0)</f>
        <v>-1.8089849618263545E-13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219.2279518699109</v>
      </c>
      <c r="CE121" s="62">
        <f t="shared" si="94"/>
        <v>219.59799863414099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1.3276532841229984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1.3276532841229984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2">
        <f t="shared" si="86"/>
        <v>18.41996408372005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70">
        <f t="shared" si="56"/>
        <v>438.57782077914567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153.59418465942997</v>
      </c>
      <c r="T122" s="62">
        <f t="shared" si="88"/>
        <v>313.61727210988198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16.954735506605402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1.0691096439904783E-11</v>
      </c>
      <c r="AC122" s="24">
        <f t="shared" si="57"/>
        <v>16.954735506616093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2.2737367544323206E-13</v>
      </c>
      <c r="AJ122" s="14">
        <f>AI122*VLOOKUP('Données projet'!$B$10,Paramètres!$A$1:$I$89,3,0)*VLOOKUP('Données projet'!$B$10,Paramètres!$A$1:$I$89,5,0)</f>
        <v>1.3596945791505279E-13</v>
      </c>
      <c r="AK122" s="14">
        <f t="shared" si="89"/>
        <v>1.9708830566360721E-12</v>
      </c>
      <c r="AL122" s="22">
        <f t="shared" si="58"/>
        <v>3.669434796176543E-12</v>
      </c>
      <c r="AM122" s="62">
        <f t="shared" si="59"/>
        <v>293.33333333333701</v>
      </c>
      <c r="AN122" s="62">
        <f ca="1">AVERAGE(OFFSET($AM$3,0,0,'Données projet'!$E$10+1,1))-AVERAGE(OFFSET($H$3,0,0,'Données projet'!$E$10+1,1))</f>
        <v>288.15107951401188</v>
      </c>
      <c r="AO122" s="62">
        <f t="shared" si="90"/>
        <v>217.57508587672368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1.2771967085123803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5.5120181503674499E-13</v>
      </c>
      <c r="AX122" s="23">
        <f t="shared" si="60"/>
        <v>1.2771967085129314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3.4106051316484809E-13</v>
      </c>
      <c r="BE122" s="14">
        <f>BD122*VLOOKUP('Données projet'!$B$11,Paramètres!$A$1:$I$89,3,0)*VLOOKUP('Données projet'!$B$11,Paramètres!$A$1:$I$89,5,0)</f>
        <v>1.5961632016114892E-13</v>
      </c>
      <c r="BF122" s="14">
        <f t="shared" si="91"/>
        <v>2.2708641912150958E-12</v>
      </c>
      <c r="BG122" s="22">
        <f t="shared" si="61"/>
        <v>4.2330868906469593E-12</v>
      </c>
      <c r="BH122" s="62">
        <f t="shared" si="62"/>
        <v>293.33333333333752</v>
      </c>
      <c r="BI122" s="62">
        <f ca="1">AVERAGE(OFFSET($BH$3,0,0,'Données projet'!$E$11+1,1))-AVERAGE(OFFSET($H$3,0,0,'Données projet'!$E$11+1,1))</f>
        <v>221.07273841880755</v>
      </c>
      <c r="BJ122" s="62">
        <f t="shared" si="92"/>
        <v>164.23448598618114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-2.2737367544323206E-13</v>
      </c>
      <c r="BZ122" s="14">
        <f>BY122*VLOOKUP('Données projet'!$B$12,Paramètres!$A$1:$I$89,3,0)*VLOOKUP('Données projet'!$B$12,Paramètres!$A$1:$I$89,5,0)</f>
        <v>-1.8089849618263545E-13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219.2279518699109</v>
      </c>
      <c r="CE122" s="62">
        <f t="shared" si="94"/>
        <v>219.59799863414099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1.3016188130098898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1.3016188130098898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2">
        <f t="shared" si="86"/>
        <v>18.556669503136707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70">
        <f t="shared" si="56"/>
        <v>439.76686605129635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153.59418465942997</v>
      </c>
      <c r="T123" s="62">
        <f t="shared" si="88"/>
        <v>313.61727210988198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16.622263484688403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7.5597467909760283E-12</v>
      </c>
      <c r="AC123" s="24">
        <f t="shared" si="57"/>
        <v>16.622263484695964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2.2737367544323206E-13</v>
      </c>
      <c r="AJ123" s="14">
        <f>AI123*VLOOKUP('Données projet'!$B$10,Paramètres!$A$1:$I$89,3,0)*VLOOKUP('Données projet'!$B$10,Paramètres!$A$1:$I$89,5,0)</f>
        <v>1.3596945791505279E-13</v>
      </c>
      <c r="AK123" s="14">
        <f t="shared" si="89"/>
        <v>1.9708830566360721E-12</v>
      </c>
      <c r="AL123" s="22">
        <f t="shared" si="58"/>
        <v>3.669434796176543E-12</v>
      </c>
      <c r="AM123" s="62">
        <f t="shared" si="59"/>
        <v>293.33333333333701</v>
      </c>
      <c r="AN123" s="62">
        <f ca="1">AVERAGE(OFFSET($AM$3,0,0,'Données projet'!$E$10+1,1))-AVERAGE(OFFSET($H$3,0,0,'Données projet'!$E$10+1,1))</f>
        <v>288.15107951401188</v>
      </c>
      <c r="AO123" s="62">
        <f t="shared" si="90"/>
        <v>217.57508587672368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1.2521516600715237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3.8975854121481548E-13</v>
      </c>
      <c r="AX123" s="23">
        <f t="shared" si="60"/>
        <v>1.2521516600719134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3.4106051316484809E-13</v>
      </c>
      <c r="BE123" s="14">
        <f>BD123*VLOOKUP('Données projet'!$B$11,Paramètres!$A$1:$I$89,3,0)*VLOOKUP('Données projet'!$B$11,Paramètres!$A$1:$I$89,5,0)</f>
        <v>1.5961632016114892E-13</v>
      </c>
      <c r="BF123" s="14">
        <f t="shared" si="91"/>
        <v>2.2708641912150958E-12</v>
      </c>
      <c r="BG123" s="22">
        <f t="shared" si="61"/>
        <v>4.2330868906469593E-12</v>
      </c>
      <c r="BH123" s="62">
        <f t="shared" si="62"/>
        <v>293.33333333333752</v>
      </c>
      <c r="BI123" s="62">
        <f ca="1">AVERAGE(OFFSET($BH$3,0,0,'Données projet'!$E$11+1,1))-AVERAGE(OFFSET($H$3,0,0,'Données projet'!$E$11+1,1))</f>
        <v>221.07273841880755</v>
      </c>
      <c r="BJ123" s="62">
        <f t="shared" si="92"/>
        <v>164.23448598618114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-2.2737367544323206E-13</v>
      </c>
      <c r="BZ123" s="14">
        <f>BY123*VLOOKUP('Données projet'!$B$12,Paramètres!$A$1:$I$89,3,0)*VLOOKUP('Données projet'!$B$12,Paramètres!$A$1:$I$89,5,0)</f>
        <v>-1.8089849618263545E-13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219.2279518699109</v>
      </c>
      <c r="CE123" s="62">
        <f t="shared" si="94"/>
        <v>219.59799863414099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1.2760948619958499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1.2760948619958499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2">
        <f t="shared" si="86"/>
        <v>18.69324238096624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70">
        <f t="shared" si="56"/>
        <v>440.95568048018276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153.59418465942997</v>
      </c>
      <c r="T124" s="62">
        <f t="shared" si="88"/>
        <v>313.61727210988198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16.296311036333289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5.3455482199523914E-12</v>
      </c>
      <c r="AC124" s="24">
        <f t="shared" si="57"/>
        <v>16.296311036338636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2.2737367544323206E-13</v>
      </c>
      <c r="AJ124" s="14">
        <f>AI124*VLOOKUP('Données projet'!$B$10,Paramètres!$A$1:$I$89,3,0)*VLOOKUP('Données projet'!$B$10,Paramètres!$A$1:$I$89,5,0)</f>
        <v>1.3596945791505279E-13</v>
      </c>
      <c r="AK124" s="14">
        <f t="shared" si="89"/>
        <v>1.9708830566360721E-12</v>
      </c>
      <c r="AL124" s="22">
        <f t="shared" si="58"/>
        <v>3.669434796176543E-12</v>
      </c>
      <c r="AM124" s="62">
        <f t="shared" si="59"/>
        <v>293.33333333333701</v>
      </c>
      <c r="AN124" s="62">
        <f ca="1">AVERAGE(OFFSET($AM$3,0,0,'Données projet'!$E$10+1,1))-AVERAGE(OFFSET($H$3,0,0,'Données projet'!$E$10+1,1))</f>
        <v>288.15107951401188</v>
      </c>
      <c r="AO124" s="62">
        <f t="shared" si="90"/>
        <v>217.57508587672368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1.227597729754621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2.7560090751837249E-13</v>
      </c>
      <c r="AX124" s="23">
        <f t="shared" si="60"/>
        <v>1.2275977297548966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3.4106051316484809E-13</v>
      </c>
      <c r="BE124" s="14">
        <f>BD124*VLOOKUP('Données projet'!$B$11,Paramètres!$A$1:$I$89,3,0)*VLOOKUP('Données projet'!$B$11,Paramètres!$A$1:$I$89,5,0)</f>
        <v>1.5961632016114892E-13</v>
      </c>
      <c r="BF124" s="14">
        <f t="shared" si="91"/>
        <v>2.2708641912150958E-12</v>
      </c>
      <c r="BG124" s="22">
        <f t="shared" si="61"/>
        <v>4.2330868906469593E-12</v>
      </c>
      <c r="BH124" s="62">
        <f t="shared" si="62"/>
        <v>293.33333333333752</v>
      </c>
      <c r="BI124" s="62">
        <f ca="1">AVERAGE(OFFSET($BH$3,0,0,'Données projet'!$E$11+1,1))-AVERAGE(OFFSET($H$3,0,0,'Données projet'!$E$11+1,1))</f>
        <v>221.07273841880755</v>
      </c>
      <c r="BJ124" s="62">
        <f t="shared" si="92"/>
        <v>164.23448598618114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-2.2737367544323206E-13</v>
      </c>
      <c r="BZ124" s="14">
        <f>BY124*VLOOKUP('Données projet'!$B$12,Paramètres!$A$1:$I$89,3,0)*VLOOKUP('Données projet'!$B$12,Paramètres!$A$1:$I$89,5,0)</f>
        <v>-1.8089849618263545E-13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219.2279518699109</v>
      </c>
      <c r="CE124" s="62">
        <f t="shared" si="94"/>
        <v>219.59799863414099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1.2510714200931223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1.2510714200931223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2">
        <f t="shared" si="86"/>
        <v>18.829683939536395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70">
        <f t="shared" si="56"/>
        <v>442.14426619469248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153.59418465942997</v>
      </c>
      <c r="T125" s="62">
        <f t="shared" si="88"/>
        <v>313.61727210988198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15.976750316679055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3.7798733954880142E-12</v>
      </c>
      <c r="AC125" s="24">
        <f t="shared" si="57"/>
        <v>15.976750316682836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2.2737367544323206E-13</v>
      </c>
      <c r="AJ125" s="14">
        <f>AI125*VLOOKUP('Données projet'!$B$10,Paramètres!$A$1:$I$89,3,0)*VLOOKUP('Données projet'!$B$10,Paramètres!$A$1:$I$89,5,0)</f>
        <v>1.3596945791505279E-13</v>
      </c>
      <c r="AK125" s="14">
        <f t="shared" si="89"/>
        <v>1.9708830566360721E-12</v>
      </c>
      <c r="AL125" s="22">
        <f t="shared" si="58"/>
        <v>3.669434796176543E-12</v>
      </c>
      <c r="AM125" s="62">
        <f t="shared" si="59"/>
        <v>293.33333333333701</v>
      </c>
      <c r="AN125" s="62">
        <f ca="1">AVERAGE(OFFSET($AM$3,0,0,'Données projet'!$E$10+1,1))-AVERAGE(OFFSET($H$3,0,0,'Données projet'!$E$10+1,1))</f>
        <v>288.15107951401188</v>
      </c>
      <c r="AO125" s="62">
        <f t="shared" si="90"/>
        <v>217.57508587672368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1.2035252870348141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1.9487927060740774E-13</v>
      </c>
      <c r="AX125" s="23">
        <f t="shared" si="60"/>
        <v>1.2035252870350091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3.4106051316484809E-13</v>
      </c>
      <c r="BE125" s="14">
        <f>BD125*VLOOKUP('Données projet'!$B$11,Paramètres!$A$1:$I$89,3,0)*VLOOKUP('Données projet'!$B$11,Paramètres!$A$1:$I$89,5,0)</f>
        <v>1.5961632016114892E-13</v>
      </c>
      <c r="BF125" s="14">
        <f t="shared" si="91"/>
        <v>2.2708641912150958E-12</v>
      </c>
      <c r="BG125" s="22">
        <f t="shared" si="61"/>
        <v>4.2330868906469593E-12</v>
      </c>
      <c r="BH125" s="62">
        <f t="shared" si="62"/>
        <v>293.33333333333752</v>
      </c>
      <c r="BI125" s="62">
        <f ca="1">AVERAGE(OFFSET($BH$3,0,0,'Données projet'!$E$11+1,1))-AVERAGE(OFFSET($H$3,0,0,'Données projet'!$E$11+1,1))</f>
        <v>221.07273841880755</v>
      </c>
      <c r="BJ125" s="62">
        <f t="shared" si="92"/>
        <v>164.23448598618114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-2.2737367544323206E-13</v>
      </c>
      <c r="BZ125" s="14">
        <f>BY125*VLOOKUP('Données projet'!$B$12,Paramètres!$A$1:$I$89,3,0)*VLOOKUP('Données projet'!$B$12,Paramètres!$A$1:$I$89,5,0)</f>
        <v>-1.8089849618263545E-13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219.2279518699109</v>
      </c>
      <c r="CE125" s="62">
        <f t="shared" si="94"/>
        <v>219.59799863414099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1.2265386726233147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1.2265386726233147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2">
        <f t="shared" si="86"/>
        <v>18.965995379979955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70">
        <f t="shared" si="56"/>
        <v>443.33262528679836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153.59418465942997</v>
      </c>
      <c r="T126" s="62">
        <f t="shared" si="88"/>
        <v>313.61727210988198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15.663455987824447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2.6727741099761957E-12</v>
      </c>
      <c r="AC126" s="24">
        <f t="shared" si="57"/>
        <v>15.66345598782712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2.2737367544323206E-13</v>
      </c>
      <c r="AJ126" s="14">
        <f>AI126*VLOOKUP('Données projet'!$B$10,Paramètres!$A$1:$I$89,3,0)*VLOOKUP('Données projet'!$B$10,Paramètres!$A$1:$I$89,5,0)</f>
        <v>1.3596945791505279E-13</v>
      </c>
      <c r="AK126" s="14">
        <f t="shared" si="89"/>
        <v>1.9708830566360721E-12</v>
      </c>
      <c r="AL126" s="22">
        <f t="shared" si="58"/>
        <v>3.669434796176543E-12</v>
      </c>
      <c r="AM126" s="62">
        <f t="shared" si="59"/>
        <v>293.33333333333701</v>
      </c>
      <c r="AN126" s="62">
        <f ca="1">AVERAGE(OFFSET($AM$3,0,0,'Données projet'!$E$10+1,1))-AVERAGE(OFFSET($H$3,0,0,'Données projet'!$E$10+1,1))</f>
        <v>288.15107951401188</v>
      </c>
      <c r="AO126" s="62">
        <f t="shared" si="90"/>
        <v>217.57508587672368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1.1799248902340023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1.3780045375918625E-13</v>
      </c>
      <c r="AX126" s="23">
        <f t="shared" si="60"/>
        <v>1.1799248902341402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3.4106051316484809E-13</v>
      </c>
      <c r="BE126" s="14">
        <f>BD126*VLOOKUP('Données projet'!$B$11,Paramètres!$A$1:$I$89,3,0)*VLOOKUP('Données projet'!$B$11,Paramètres!$A$1:$I$89,5,0)</f>
        <v>1.5961632016114892E-13</v>
      </c>
      <c r="BF126" s="14">
        <f t="shared" si="91"/>
        <v>2.2708641912150958E-12</v>
      </c>
      <c r="BG126" s="22">
        <f t="shared" si="61"/>
        <v>4.2330868906469593E-12</v>
      </c>
      <c r="BH126" s="62">
        <f t="shared" si="62"/>
        <v>293.33333333333752</v>
      </c>
      <c r="BI126" s="62">
        <f ca="1">AVERAGE(OFFSET($BH$3,0,0,'Données projet'!$E$11+1,1))-AVERAGE(OFFSET($H$3,0,0,'Données projet'!$E$11+1,1))</f>
        <v>221.07273841880755</v>
      </c>
      <c r="BJ126" s="62">
        <f t="shared" si="92"/>
        <v>164.23448598618114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-2.2737367544323206E-13</v>
      </c>
      <c r="BZ126" s="14">
        <f>BY126*VLOOKUP('Données projet'!$B$12,Paramètres!$A$1:$I$89,3,0)*VLOOKUP('Données projet'!$B$12,Paramètres!$A$1:$I$89,5,0)</f>
        <v>-1.8089849618263545E-13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219.2279518699109</v>
      </c>
      <c r="CE126" s="62">
        <f t="shared" si="94"/>
        <v>219.59799863414099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1.2024869973678916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1.2024869973678916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2">
        <f t="shared" si="86"/>
        <v>19.102177882771514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70">
        <f t="shared" si="56"/>
        <v>444.52075981249368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153.59418465942997</v>
      </c>
      <c r="T127" s="62">
        <f t="shared" si="88"/>
        <v>313.61727210988198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15.356305169668007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1.8899366977440071E-12</v>
      </c>
      <c r="AC127" s="24">
        <f t="shared" si="57"/>
        <v>15.356305169669897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2.2737367544323206E-13</v>
      </c>
      <c r="AJ127" s="14">
        <f>AI127*VLOOKUP('Données projet'!$B$10,Paramètres!$A$1:$I$89,3,0)*VLOOKUP('Données projet'!$B$10,Paramètres!$A$1:$I$89,5,0)</f>
        <v>1.3596945791505279E-13</v>
      </c>
      <c r="AK127" s="14">
        <f t="shared" si="89"/>
        <v>1.9708830566360721E-12</v>
      </c>
      <c r="AL127" s="22">
        <f t="shared" si="58"/>
        <v>3.669434796176543E-12</v>
      </c>
      <c r="AM127" s="62">
        <f t="shared" si="59"/>
        <v>293.33333333333701</v>
      </c>
      <c r="AN127" s="62">
        <f ca="1">AVERAGE(OFFSET($AM$3,0,0,'Données projet'!$E$10+1,1))-AVERAGE(OFFSET($H$3,0,0,'Données projet'!$E$10+1,1))</f>
        <v>288.15107951401188</v>
      </c>
      <c r="AO127" s="62">
        <f t="shared" si="90"/>
        <v>217.57508587672368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1.1567872828196337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9.7439635303703871E-14</v>
      </c>
      <c r="AX127" s="23">
        <f t="shared" si="60"/>
        <v>1.1567872828197312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3.4106051316484809E-13</v>
      </c>
      <c r="BE127" s="14">
        <f>BD127*VLOOKUP('Données projet'!$B$11,Paramètres!$A$1:$I$89,3,0)*VLOOKUP('Données projet'!$B$11,Paramètres!$A$1:$I$89,5,0)</f>
        <v>1.5961632016114892E-13</v>
      </c>
      <c r="BF127" s="14">
        <f t="shared" si="91"/>
        <v>2.2708641912150958E-12</v>
      </c>
      <c r="BG127" s="22">
        <f t="shared" si="61"/>
        <v>4.2330868906469593E-12</v>
      </c>
      <c r="BH127" s="62">
        <f t="shared" si="62"/>
        <v>293.33333333333752</v>
      </c>
      <c r="BI127" s="62">
        <f ca="1">AVERAGE(OFFSET($BH$3,0,0,'Données projet'!$E$11+1,1))-AVERAGE(OFFSET($H$3,0,0,'Données projet'!$E$11+1,1))</f>
        <v>221.07273841880755</v>
      </c>
      <c r="BJ127" s="62">
        <f t="shared" si="92"/>
        <v>164.23448598618114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-2.2737367544323206E-13</v>
      </c>
      <c r="BZ127" s="14">
        <f>BY127*VLOOKUP('Données projet'!$B$12,Paramètres!$A$1:$I$89,3,0)*VLOOKUP('Données projet'!$B$12,Paramètres!$A$1:$I$89,5,0)</f>
        <v>-1.8089849618263545E-13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219.2279518699109</v>
      </c>
      <c r="CE127" s="62">
        <f t="shared" si="94"/>
        <v>219.59799863414099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1.178906960794154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1.178906960794154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2">
        <f t="shared" si="86"/>
        <v>19.238232608246435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70">
        <f t="shared" si="56"/>
        <v>445.70867179269578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153.59418465942997</v>
      </c>
      <c r="T128" s="62">
        <f t="shared" si="88"/>
        <v>313.61727210988198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15.055177391712114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1.3363870549880978E-12</v>
      </c>
      <c r="AC128" s="24">
        <f t="shared" si="57"/>
        <v>15.05517739171345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2.2737367544323206E-13</v>
      </c>
      <c r="AJ128" s="14">
        <f>AI128*VLOOKUP('Données projet'!$B$10,Paramètres!$A$1:$I$89,3,0)*VLOOKUP('Données projet'!$B$10,Paramètres!$A$1:$I$89,5,0)</f>
        <v>1.3596945791505279E-13</v>
      </c>
      <c r="AK128" s="14">
        <f t="shared" si="89"/>
        <v>1.9708830566360721E-12</v>
      </c>
      <c r="AL128" s="22">
        <f t="shared" si="58"/>
        <v>3.669434796176543E-12</v>
      </c>
      <c r="AM128" s="62">
        <f t="shared" si="59"/>
        <v>293.33333333333701</v>
      </c>
      <c r="AN128" s="62">
        <f ca="1">AVERAGE(OFFSET($AM$3,0,0,'Données projet'!$E$10+1,1))-AVERAGE(OFFSET($H$3,0,0,'Données projet'!$E$10+1,1))</f>
        <v>288.15107951401188</v>
      </c>
      <c r="AO128" s="62">
        <f t="shared" si="90"/>
        <v>217.57508587672368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1.134103389774114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6.8900226879593123E-14</v>
      </c>
      <c r="AX128" s="23">
        <f t="shared" si="60"/>
        <v>1.1341033897741828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3.4106051316484809E-13</v>
      </c>
      <c r="BE128" s="14">
        <f>BD128*VLOOKUP('Données projet'!$B$11,Paramètres!$A$1:$I$89,3,0)*VLOOKUP('Données projet'!$B$11,Paramètres!$A$1:$I$89,5,0)</f>
        <v>1.5961632016114892E-13</v>
      </c>
      <c r="BF128" s="14">
        <f t="shared" si="91"/>
        <v>2.2708641912150958E-12</v>
      </c>
      <c r="BG128" s="22">
        <f t="shared" si="61"/>
        <v>4.2330868906469593E-12</v>
      </c>
      <c r="BH128" s="62">
        <f t="shared" si="62"/>
        <v>293.33333333333752</v>
      </c>
      <c r="BI128" s="62">
        <f ca="1">AVERAGE(OFFSET($BH$3,0,0,'Données projet'!$E$11+1,1))-AVERAGE(OFFSET($H$3,0,0,'Données projet'!$E$11+1,1))</f>
        <v>221.07273841880755</v>
      </c>
      <c r="BJ128" s="62">
        <f t="shared" si="92"/>
        <v>164.23448598618114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-2.2737367544323206E-13</v>
      </c>
      <c r="BZ128" s="14">
        <f>BY128*VLOOKUP('Données projet'!$B$12,Paramètres!$A$1:$I$89,3,0)*VLOOKUP('Données projet'!$B$12,Paramètres!$A$1:$I$89,5,0)</f>
        <v>-1.8089849618263545E-13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219.2279518699109</v>
      </c>
      <c r="CE128" s="62">
        <f t="shared" si="94"/>
        <v>219.59799863414099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1.1557893143552251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1.1557893143552251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2">
        <f t="shared" si="86"/>
        <v>19.374160697102734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70">
        <f t="shared" si="56"/>
        <v>446.89636321412058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153.59418465942997</v>
      </c>
      <c r="T129" s="62">
        <f t="shared" si="88"/>
        <v>313.61727210988198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14.759954545812127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9.4496834887200354E-13</v>
      </c>
      <c r="AC129" s="24">
        <f t="shared" si="57"/>
        <v>14.759954545813072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2.2737367544323206E-13</v>
      </c>
      <c r="AJ129" s="14">
        <f>AI129*VLOOKUP('Données projet'!$B$10,Paramètres!$A$1:$I$89,3,0)*VLOOKUP('Données projet'!$B$10,Paramètres!$A$1:$I$89,5,0)</f>
        <v>1.3596945791505279E-13</v>
      </c>
      <c r="AK129" s="14">
        <f t="shared" si="89"/>
        <v>1.9708830566360721E-12</v>
      </c>
      <c r="AL129" s="22">
        <f t="shared" si="58"/>
        <v>3.669434796176543E-12</v>
      </c>
      <c r="AM129" s="62">
        <f t="shared" si="59"/>
        <v>293.33333333333701</v>
      </c>
      <c r="AN129" s="62">
        <f ca="1">AVERAGE(OFFSET($AM$3,0,0,'Données projet'!$E$10+1,1))-AVERAGE(OFFSET($H$3,0,0,'Données projet'!$E$10+1,1))</f>
        <v>288.15107951401188</v>
      </c>
      <c r="AO129" s="62">
        <f t="shared" si="90"/>
        <v>217.57508587672368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1.1118643140354083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4.8719817651851936E-14</v>
      </c>
      <c r="AX129" s="23">
        <f t="shared" si="60"/>
        <v>1.1118643140354569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3.4106051316484809E-13</v>
      </c>
      <c r="BE129" s="14">
        <f>BD129*VLOOKUP('Données projet'!$B$11,Paramètres!$A$1:$I$89,3,0)*VLOOKUP('Données projet'!$B$11,Paramètres!$A$1:$I$89,5,0)</f>
        <v>1.5961632016114892E-13</v>
      </c>
      <c r="BF129" s="14">
        <f t="shared" si="91"/>
        <v>2.2708641912150958E-12</v>
      </c>
      <c r="BG129" s="22">
        <f t="shared" si="61"/>
        <v>4.2330868906469593E-12</v>
      </c>
      <c r="BH129" s="62">
        <f t="shared" si="62"/>
        <v>293.33333333333752</v>
      </c>
      <c r="BI129" s="62">
        <f ca="1">AVERAGE(OFFSET($BH$3,0,0,'Données projet'!$E$11+1,1))-AVERAGE(OFFSET($H$3,0,0,'Données projet'!$E$11+1,1))</f>
        <v>221.07273841880755</v>
      </c>
      <c r="BJ129" s="62">
        <f t="shared" si="92"/>
        <v>164.23448598618114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-2.2737367544323206E-13</v>
      </c>
      <c r="BZ129" s="14">
        <f>BY129*VLOOKUP('Données projet'!$B$12,Paramètres!$A$1:$I$89,3,0)*VLOOKUP('Données projet'!$B$12,Paramètres!$A$1:$I$89,5,0)</f>
        <v>-1.8089849618263545E-13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219.2279518699109</v>
      </c>
      <c r="CE129" s="62">
        <f t="shared" si="94"/>
        <v>219.59799863414099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1.1331249908625918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1.1331249908625918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2">
        <f t="shared" si="86"/>
        <v>19.509963270886551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70">
        <f t="shared" si="56"/>
        <v>448.08383603012737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153.59418465942997</v>
      </c>
      <c r="T130" s="62">
        <f t="shared" si="88"/>
        <v>313.61727210988198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14.470520839852083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6.6819352749404892E-13</v>
      </c>
      <c r="AC130" s="24">
        <f t="shared" si="57"/>
        <v>14.470520839852751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2.2737367544323206E-13</v>
      </c>
      <c r="AJ130" s="14">
        <f>AI130*VLOOKUP('Données projet'!$B$10,Paramètres!$A$1:$I$89,3,0)*VLOOKUP('Données projet'!$B$10,Paramètres!$A$1:$I$89,5,0)</f>
        <v>1.3596945791505279E-13</v>
      </c>
      <c r="AK130" s="14">
        <f t="shared" si="89"/>
        <v>1.9708830566360721E-12</v>
      </c>
      <c r="AL130" s="22">
        <f t="shared" si="58"/>
        <v>3.669434796176543E-12</v>
      </c>
      <c r="AM130" s="62">
        <f t="shared" si="59"/>
        <v>293.33333333333701</v>
      </c>
      <c r="AN130" s="62">
        <f ca="1">AVERAGE(OFFSET($AM$3,0,0,'Données projet'!$E$10+1,1))-AVERAGE(OFFSET($H$3,0,0,'Données projet'!$E$10+1,1))</f>
        <v>288.15107951401188</v>
      </c>
      <c r="AO130" s="62">
        <f t="shared" si="90"/>
        <v>217.57508587672368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1.0900613330074418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3.4450113439796562E-14</v>
      </c>
      <c r="AX130" s="23">
        <f t="shared" si="60"/>
        <v>1.0900613330074762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3.4106051316484809E-13</v>
      </c>
      <c r="BE130" s="14">
        <f>BD130*VLOOKUP('Données projet'!$B$11,Paramètres!$A$1:$I$89,3,0)*VLOOKUP('Données projet'!$B$11,Paramètres!$A$1:$I$89,5,0)</f>
        <v>1.5961632016114892E-13</v>
      </c>
      <c r="BF130" s="14">
        <f t="shared" si="91"/>
        <v>2.2708641912150958E-12</v>
      </c>
      <c r="BG130" s="22">
        <f t="shared" si="61"/>
        <v>4.2330868906469593E-12</v>
      </c>
      <c r="BH130" s="62">
        <f t="shared" si="62"/>
        <v>293.33333333333752</v>
      </c>
      <c r="BI130" s="62">
        <f ca="1">AVERAGE(OFFSET($BH$3,0,0,'Données projet'!$E$11+1,1))-AVERAGE(OFFSET($H$3,0,0,'Données projet'!$E$11+1,1))</f>
        <v>221.07273841880755</v>
      </c>
      <c r="BJ130" s="62">
        <f t="shared" si="92"/>
        <v>164.23448598618114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-2.2737367544323206E-13</v>
      </c>
      <c r="BZ130" s="14">
        <f>BY130*VLOOKUP('Données projet'!$B$12,Paramètres!$A$1:$I$89,3,0)*VLOOKUP('Données projet'!$B$12,Paramètres!$A$1:$I$89,5,0)</f>
        <v>-1.8089849618263545E-13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219.2279518699109</v>
      </c>
      <c r="CE130" s="62">
        <f t="shared" si="94"/>
        <v>219.59799863414099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1.1109051009297766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1.1109051009297766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2">
        <f t="shared" si="86"/>
        <v>19.645641432461961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70">
        <f t="shared" si="56"/>
        <v>449.27109216153792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153.59418465942997</v>
      </c>
      <c r="T131" s="62">
        <f t="shared" si="88"/>
        <v>313.61727210988198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14.186762752328788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4.7248417443600177E-13</v>
      </c>
      <c r="AC131" s="24">
        <f t="shared" si="57"/>
        <v>14.18676275232926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2.2737367544323206E-13</v>
      </c>
      <c r="AJ131" s="14">
        <f>AI131*VLOOKUP('Données projet'!$B$10,Paramètres!$A$1:$I$89,3,0)*VLOOKUP('Données projet'!$B$10,Paramètres!$A$1:$I$89,5,0)</f>
        <v>1.3596945791505279E-13</v>
      </c>
      <c r="AK131" s="14">
        <f t="shared" si="89"/>
        <v>1.9708830566360721E-12</v>
      </c>
      <c r="AL131" s="22">
        <f t="shared" si="58"/>
        <v>3.669434796176543E-12</v>
      </c>
      <c r="AM131" s="62">
        <f t="shared" si="59"/>
        <v>293.33333333333701</v>
      </c>
      <c r="AN131" s="62">
        <f ca="1">AVERAGE(OFFSET($AM$3,0,0,'Données projet'!$E$10+1,1))-AVERAGE(OFFSET($H$3,0,0,'Données projet'!$E$10+1,1))</f>
        <v>288.15107951401188</v>
      </c>
      <c r="AO131" s="62">
        <f t="shared" si="90"/>
        <v>217.57508587672368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1.0686858951389284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2.4359908825925968E-14</v>
      </c>
      <c r="AX131" s="23">
        <f t="shared" si="60"/>
        <v>1.0686858951389528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3.4106051316484809E-13</v>
      </c>
      <c r="BE131" s="14">
        <f>BD131*VLOOKUP('Données projet'!$B$11,Paramètres!$A$1:$I$89,3,0)*VLOOKUP('Données projet'!$B$11,Paramètres!$A$1:$I$89,5,0)</f>
        <v>1.5961632016114892E-13</v>
      </c>
      <c r="BF131" s="14">
        <f t="shared" si="91"/>
        <v>2.2708641912150958E-12</v>
      </c>
      <c r="BG131" s="22">
        <f t="shared" si="61"/>
        <v>4.2330868906469593E-12</v>
      </c>
      <c r="BH131" s="62">
        <f t="shared" si="62"/>
        <v>293.33333333333752</v>
      </c>
      <c r="BI131" s="62">
        <f ca="1">AVERAGE(OFFSET($BH$3,0,0,'Données projet'!$E$11+1,1))-AVERAGE(OFFSET($H$3,0,0,'Données projet'!$E$11+1,1))</f>
        <v>221.07273841880755</v>
      </c>
      <c r="BJ131" s="62">
        <f t="shared" si="92"/>
        <v>164.23448598618114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-2.2737367544323206E-13</v>
      </c>
      <c r="BZ131" s="14">
        <f>BY131*VLOOKUP('Données projet'!$B$12,Paramètres!$A$1:$I$89,3,0)*VLOOKUP('Données projet'!$B$12,Paramètres!$A$1:$I$89,5,0)</f>
        <v>-1.8089849618263545E-13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219.2279518699109</v>
      </c>
      <c r="CE131" s="62">
        <f t="shared" si="94"/>
        <v>219.59799863414099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1.0891209294857493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1.0891209294857493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2">
        <f t="shared" si="86"/>
        <v>19.78119626646561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70">
        <f t="shared" ref="H132:H195" si="110">(B132+E132+F132)*44/12+(C132+D132)*0.475*44/12</f>
        <v>450.45813349742764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153.59418465942997</v>
      </c>
      <c r="T132" s="62">
        <f t="shared" si="88"/>
        <v>313.61727210988198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13.908568987826479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3.3409676374702446E-13</v>
      </c>
      <c r="AC132" s="24">
        <f t="shared" ref="AC132:AC153" si="111">SUM(Z132:AB132)</f>
        <v>13.908568987826813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2.2737367544323206E-13</v>
      </c>
      <c r="AJ132" s="14">
        <f>AI132*VLOOKUP('Données projet'!$B$10,Paramètres!$A$1:$I$89,3,0)*VLOOKUP('Données projet'!$B$10,Paramètres!$A$1:$I$89,5,0)</f>
        <v>1.3596945791505279E-13</v>
      </c>
      <c r="AK132" s="14">
        <f t="shared" si="89"/>
        <v>1.9708830566360721E-12</v>
      </c>
      <c r="AL132" s="22">
        <f t="shared" ref="AL132:AL153" si="112">(AJ132+AK132)*0.475*44/12</f>
        <v>3.669434796176543E-12</v>
      </c>
      <c r="AM132" s="62">
        <f t="shared" ref="AM132:AM195" si="113">AL132+(AD132+AE132)*44/12</f>
        <v>293.33333333333701</v>
      </c>
      <c r="AN132" s="62">
        <f ca="1">AVERAGE(OFFSET($AM$3,0,0,'Données projet'!$E$10+1,1))-AVERAGE(OFFSET($H$3,0,0,'Données projet'!$E$10+1,1))</f>
        <v>288.15107951401188</v>
      </c>
      <c r="AO132" s="62">
        <f t="shared" si="90"/>
        <v>217.57508587672368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1.0477296165692869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1.7225056719898281E-14</v>
      </c>
      <c r="AX132" s="23">
        <f t="shared" ref="AX132:AX153" si="114">SUM(AU132:AW132)</f>
        <v>1.0477296165693042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3.4106051316484809E-13</v>
      </c>
      <c r="BE132" s="14">
        <f>BD132*VLOOKUP('Données projet'!$B$11,Paramètres!$A$1:$I$89,3,0)*VLOOKUP('Données projet'!$B$11,Paramètres!$A$1:$I$89,5,0)</f>
        <v>1.5961632016114892E-13</v>
      </c>
      <c r="BF132" s="14">
        <f t="shared" si="91"/>
        <v>2.2708641912150958E-12</v>
      </c>
      <c r="BG132" s="22">
        <f t="shared" ref="BG132:BG153" si="115">(BE132+BF132)*0.475*44/12</f>
        <v>4.2330868906469593E-12</v>
      </c>
      <c r="BH132" s="62">
        <f t="shared" ref="BH132:BH195" si="116">BG132+(AY132+AZ132)*44/12</f>
        <v>293.33333333333752</v>
      </c>
      <c r="BI132" s="62">
        <f ca="1">AVERAGE(OFFSET($BH$3,0,0,'Données projet'!$E$11+1,1))-AVERAGE(OFFSET($H$3,0,0,'Données projet'!$E$11+1,1))</f>
        <v>221.07273841880755</v>
      </c>
      <c r="BJ132" s="62">
        <f t="shared" si="92"/>
        <v>164.23448598618114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-2.2737367544323206E-13</v>
      </c>
      <c r="BZ132" s="14">
        <f>BY132*VLOOKUP('Données projet'!$B$12,Paramètres!$A$1:$I$89,3,0)*VLOOKUP('Données projet'!$B$12,Paramètres!$A$1:$I$89,5,0)</f>
        <v>-1.8089849618263545E-13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219.2279518699109</v>
      </c>
      <c r="CE132" s="62">
        <f t="shared" si="94"/>
        <v>219.59799863414099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1.0677639323567067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1.0677639323567067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2">
        <f t="shared" ref="D133:D196" si="140">IFERROR(EXP(-1.0587+0.8836*LN(C133)+0.284),0)</f>
        <v>19.916628839746853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70">
        <f t="shared" si="110"/>
        <v>451.64496189589244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153.59418465942997</v>
      </c>
      <c r="T133" s="62">
        <f t="shared" ref="T133:T196" si="142">$T$3</f>
        <v>313.61727210988198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13.635830433364619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2.3624208721800089E-13</v>
      </c>
      <c r="AC133" s="24">
        <f t="shared" si="111"/>
        <v>13.635830433364855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2.2737367544323206E-13</v>
      </c>
      <c r="AJ133" s="14">
        <f>AI133*VLOOKUP('Données projet'!$B$10,Paramètres!$A$1:$I$89,3,0)*VLOOKUP('Données projet'!$B$10,Paramètres!$A$1:$I$89,5,0)</f>
        <v>1.3596945791505279E-13</v>
      </c>
      <c r="AK133" s="14">
        <f t="shared" ref="AK133:AK153" si="143">EXP(-1.0587+0.8836*LN(AJ133)+0.284)</f>
        <v>1.9708830566360721E-12</v>
      </c>
      <c r="AL133" s="22">
        <f t="shared" si="112"/>
        <v>3.669434796176543E-12</v>
      </c>
      <c r="AM133" s="62">
        <f t="shared" si="113"/>
        <v>293.33333333333701</v>
      </c>
      <c r="AN133" s="62">
        <f ca="1">AVERAGE(OFFSET($AM$3,0,0,'Données projet'!$E$10+1,1))-AVERAGE(OFFSET($H$3,0,0,'Données projet'!$E$10+1,1))</f>
        <v>288.15107951401188</v>
      </c>
      <c r="AO133" s="62">
        <f t="shared" ref="AO133:AO196" si="144">$AO$3</f>
        <v>217.57508587672368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1.0271842778403282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1.2179954412962984E-14</v>
      </c>
      <c r="AX133" s="23">
        <f t="shared" si="114"/>
        <v>1.0271842778403404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3.4106051316484809E-13</v>
      </c>
      <c r="BE133" s="14">
        <f>BD133*VLOOKUP('Données projet'!$B$11,Paramètres!$A$1:$I$89,3,0)*VLOOKUP('Données projet'!$B$11,Paramètres!$A$1:$I$89,5,0)</f>
        <v>1.5961632016114892E-13</v>
      </c>
      <c r="BF133" s="14">
        <f t="shared" ref="BF133:BF153" si="145">EXP(-1.0587+0.8836*LN(BE133)+0.284)</f>
        <v>2.2708641912150958E-12</v>
      </c>
      <c r="BG133" s="22">
        <f t="shared" si="115"/>
        <v>4.2330868906469593E-12</v>
      </c>
      <c r="BH133" s="62">
        <f t="shared" si="116"/>
        <v>293.33333333333752</v>
      </c>
      <c r="BI133" s="62">
        <f ca="1">AVERAGE(OFFSET($BH$3,0,0,'Données projet'!$E$11+1,1))-AVERAGE(OFFSET($H$3,0,0,'Données projet'!$E$11+1,1))</f>
        <v>221.07273841880755</v>
      </c>
      <c r="BJ133" s="62">
        <f t="shared" ref="BJ133:BJ196" si="146">$BJ$3</f>
        <v>164.23448598618114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-2.2737367544323206E-13</v>
      </c>
      <c r="BZ133" s="14">
        <f>BY133*VLOOKUP('Données projet'!$B$12,Paramètres!$A$1:$I$89,3,0)*VLOOKUP('Données projet'!$B$12,Paramètres!$A$1:$I$89,5,0)</f>
        <v>-1.8089849618263545E-13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219.2279518699109</v>
      </c>
      <c r="CE133" s="62">
        <f t="shared" ref="CE133:CE196" si="148">$CE$3</f>
        <v>219.59799863414099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1.0468257329148827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1.0468257329148827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2">
        <f t="shared" si="140"/>
        <v>20.051940201794032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70">
        <f t="shared" si="110"/>
        <v>452.83157918479128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153.59418465942997</v>
      </c>
      <c r="T134" s="62">
        <f t="shared" si="142"/>
        <v>313.61727210988198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13.368440115601665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1.6704838187351223E-13</v>
      </c>
      <c r="AC134" s="24">
        <f t="shared" si="111"/>
        <v>13.368440115601832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2.2737367544323206E-13</v>
      </c>
      <c r="AJ134" s="14">
        <f>AI134*VLOOKUP('Données projet'!$B$10,Paramètres!$A$1:$I$89,3,0)*VLOOKUP('Données projet'!$B$10,Paramètres!$A$1:$I$89,5,0)</f>
        <v>1.3596945791505279E-13</v>
      </c>
      <c r="AK134" s="14">
        <f t="shared" si="143"/>
        <v>1.9708830566360721E-12</v>
      </c>
      <c r="AL134" s="22">
        <f t="shared" si="112"/>
        <v>3.669434796176543E-12</v>
      </c>
      <c r="AM134" s="62">
        <f t="shared" si="113"/>
        <v>293.33333333333701</v>
      </c>
      <c r="AN134" s="62">
        <f ca="1">AVERAGE(OFFSET($AM$3,0,0,'Données projet'!$E$10+1,1))-AVERAGE(OFFSET($H$3,0,0,'Données projet'!$E$10+1,1))</f>
        <v>288.15107951401188</v>
      </c>
      <c r="AO134" s="62">
        <f t="shared" si="144"/>
        <v>217.57508587672368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1.007041820672425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8.6125283599491404E-15</v>
      </c>
      <c r="AX134" s="23">
        <f t="shared" si="114"/>
        <v>1.0070418206724336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3.4106051316484809E-13</v>
      </c>
      <c r="BE134" s="14">
        <f>BD134*VLOOKUP('Données projet'!$B$11,Paramètres!$A$1:$I$89,3,0)*VLOOKUP('Données projet'!$B$11,Paramètres!$A$1:$I$89,5,0)</f>
        <v>1.5961632016114892E-13</v>
      </c>
      <c r="BF134" s="14">
        <f t="shared" si="145"/>
        <v>2.2708641912150958E-12</v>
      </c>
      <c r="BG134" s="22">
        <f t="shared" si="115"/>
        <v>4.2330868906469593E-12</v>
      </c>
      <c r="BH134" s="62">
        <f t="shared" si="116"/>
        <v>293.33333333333752</v>
      </c>
      <c r="BI134" s="62">
        <f ca="1">AVERAGE(OFFSET($BH$3,0,0,'Données projet'!$E$11+1,1))-AVERAGE(OFFSET($H$3,0,0,'Données projet'!$E$11+1,1))</f>
        <v>221.07273841880755</v>
      </c>
      <c r="BJ134" s="62">
        <f t="shared" si="146"/>
        <v>164.23448598618114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-2.2737367544323206E-13</v>
      </c>
      <c r="BZ134" s="14">
        <f>BY134*VLOOKUP('Données projet'!$B$12,Paramètres!$A$1:$I$89,3,0)*VLOOKUP('Données projet'!$B$12,Paramètres!$A$1:$I$89,5,0)</f>
        <v>-1.8089849618263545E-13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219.2279518699109</v>
      </c>
      <c r="CE134" s="62">
        <f t="shared" si="148"/>
        <v>219.59799863414099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1.0262981187930722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1.0262981187930722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2">
        <f t="shared" si="140"/>
        <v>20.187131385147271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70">
        <f t="shared" si="110"/>
        <v>454.01798716246486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153.59418465942997</v>
      </c>
      <c r="T135" s="62">
        <f t="shared" si="142"/>
        <v>313.61727210988198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13.106293158878051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1.1812104360900044E-13</v>
      </c>
      <c r="AC135" s="24">
        <f t="shared" si="111"/>
        <v>13.106293158878168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2.2737367544323206E-13</v>
      </c>
      <c r="AJ135" s="14">
        <f>AI135*VLOOKUP('Données projet'!$B$10,Paramètres!$A$1:$I$89,3,0)*VLOOKUP('Données projet'!$B$10,Paramètres!$A$1:$I$89,5,0)</f>
        <v>1.3596945791505279E-13</v>
      </c>
      <c r="AK135" s="14">
        <f t="shared" si="143"/>
        <v>1.9708830566360721E-12</v>
      </c>
      <c r="AL135" s="22">
        <f t="shared" si="112"/>
        <v>3.669434796176543E-12</v>
      </c>
      <c r="AM135" s="62">
        <f t="shared" si="113"/>
        <v>293.33333333333701</v>
      </c>
      <c r="AN135" s="62">
        <f ca="1">AVERAGE(OFFSET($AM$3,0,0,'Données projet'!$E$10+1,1))-AVERAGE(OFFSET($H$3,0,0,'Données projet'!$E$10+1,1))</f>
        <v>288.15107951401188</v>
      </c>
      <c r="AO135" s="62">
        <f t="shared" si="144"/>
        <v>217.57508587672368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0.98729434480389866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6.0899772064814919E-15</v>
      </c>
      <c r="AX135" s="23">
        <f t="shared" si="114"/>
        <v>0.98729434480390477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3.4106051316484809E-13</v>
      </c>
      <c r="BE135" s="14">
        <f>BD135*VLOOKUP('Données projet'!$B$11,Paramètres!$A$1:$I$89,3,0)*VLOOKUP('Données projet'!$B$11,Paramètres!$A$1:$I$89,5,0)</f>
        <v>1.5961632016114892E-13</v>
      </c>
      <c r="BF135" s="14">
        <f t="shared" si="145"/>
        <v>2.2708641912150958E-12</v>
      </c>
      <c r="BG135" s="22">
        <f t="shared" si="115"/>
        <v>4.2330868906469593E-12</v>
      </c>
      <c r="BH135" s="62">
        <f t="shared" si="116"/>
        <v>293.33333333333752</v>
      </c>
      <c r="BI135" s="62">
        <f ca="1">AVERAGE(OFFSET($BH$3,0,0,'Données projet'!$E$11+1,1))-AVERAGE(OFFSET($H$3,0,0,'Données projet'!$E$11+1,1))</f>
        <v>221.07273841880755</v>
      </c>
      <c r="BJ135" s="62">
        <f t="shared" si="146"/>
        <v>164.23448598618114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-2.2737367544323206E-13</v>
      </c>
      <c r="BZ135" s="14">
        <f>BY135*VLOOKUP('Données projet'!$B$12,Paramètres!$A$1:$I$89,3,0)*VLOOKUP('Données projet'!$B$12,Paramètres!$A$1:$I$89,5,0)</f>
        <v>-1.8089849618263545E-13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219.2279518699109</v>
      </c>
      <c r="CE135" s="62">
        <f t="shared" si="148"/>
        <v>219.59799863414099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1.0061730386635821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1.0061730386635821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2">
        <f t="shared" si="140"/>
        <v>20.322203405798462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70">
        <f t="shared" si="110"/>
        <v>455.20418759843233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153.59418465942997</v>
      </c>
      <c r="T136" s="62">
        <f t="shared" si="142"/>
        <v>313.61727210988198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12.849286744081933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8.3524190936756116E-14</v>
      </c>
      <c r="AC136" s="24">
        <f t="shared" si="111"/>
        <v>12.849286744082017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2.2737367544323206E-13</v>
      </c>
      <c r="AJ136" s="14">
        <f>AI136*VLOOKUP('Données projet'!$B$10,Paramètres!$A$1:$I$89,3,0)*VLOOKUP('Données projet'!$B$10,Paramètres!$A$1:$I$89,5,0)</f>
        <v>1.3596945791505279E-13</v>
      </c>
      <c r="AK136" s="14">
        <f t="shared" si="143"/>
        <v>1.9708830566360721E-12</v>
      </c>
      <c r="AL136" s="22">
        <f t="shared" si="112"/>
        <v>3.669434796176543E-12</v>
      </c>
      <c r="AM136" s="62">
        <f t="shared" si="113"/>
        <v>293.33333333333701</v>
      </c>
      <c r="AN136" s="62">
        <f ca="1">AVERAGE(OFFSET($AM$3,0,0,'Données projet'!$E$10+1,1))-AVERAGE(OFFSET($H$3,0,0,'Données projet'!$E$10+1,1))</f>
        <v>288.15107951401188</v>
      </c>
      <c r="AO136" s="62">
        <f t="shared" si="144"/>
        <v>217.57508587672368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0.96793410489238318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4.3062641799745702E-15</v>
      </c>
      <c r="AX136" s="23">
        <f t="shared" si="114"/>
        <v>0.96793410489238751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3.4106051316484809E-13</v>
      </c>
      <c r="BE136" s="14">
        <f>BD136*VLOOKUP('Données projet'!$B$11,Paramètres!$A$1:$I$89,3,0)*VLOOKUP('Données projet'!$B$11,Paramètres!$A$1:$I$89,5,0)</f>
        <v>1.5961632016114892E-13</v>
      </c>
      <c r="BF136" s="14">
        <f t="shared" si="145"/>
        <v>2.2708641912150958E-12</v>
      </c>
      <c r="BG136" s="22">
        <f t="shared" si="115"/>
        <v>4.2330868906469593E-12</v>
      </c>
      <c r="BH136" s="62">
        <f t="shared" si="116"/>
        <v>293.33333333333752</v>
      </c>
      <c r="BI136" s="62">
        <f ca="1">AVERAGE(OFFSET($BH$3,0,0,'Données projet'!$E$11+1,1))-AVERAGE(OFFSET($H$3,0,0,'Données projet'!$E$11+1,1))</f>
        <v>221.07273841880755</v>
      </c>
      <c r="BJ136" s="62">
        <f t="shared" si="146"/>
        <v>164.23448598618114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-2.2737367544323206E-13</v>
      </c>
      <c r="BZ136" s="14">
        <f>BY136*VLOOKUP('Données projet'!$B$12,Paramètres!$A$1:$I$89,3,0)*VLOOKUP('Données projet'!$B$12,Paramètres!$A$1:$I$89,5,0)</f>
        <v>-1.8089849618263545E-13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219.2279518699109</v>
      </c>
      <c r="CE136" s="62">
        <f t="shared" si="148"/>
        <v>219.59799863414099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0.98644259908034448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0.98644259908034448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2">
        <f t="shared" si="140"/>
        <v>20.457157263578868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70">
        <f t="shared" si="110"/>
        <v>456.39018223406657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153.59418465942997</v>
      </c>
      <c r="T137" s="62">
        <f t="shared" si="142"/>
        <v>313.61727210988198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12.597320068321531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5.9060521804500221E-14</v>
      </c>
      <c r="AC137" s="24">
        <f t="shared" si="111"/>
        <v>12.59732006832159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2.2737367544323206E-13</v>
      </c>
      <c r="AJ137" s="14">
        <f>AI137*VLOOKUP('Données projet'!$B$10,Paramètres!$A$1:$I$89,3,0)*VLOOKUP('Données projet'!$B$10,Paramètres!$A$1:$I$89,5,0)</f>
        <v>1.3596945791505279E-13</v>
      </c>
      <c r="AK137" s="14">
        <f t="shared" si="143"/>
        <v>1.9708830566360721E-12</v>
      </c>
      <c r="AL137" s="22">
        <f t="shared" si="112"/>
        <v>3.669434796176543E-12</v>
      </c>
      <c r="AM137" s="62">
        <f t="shared" si="113"/>
        <v>293.33333333333701</v>
      </c>
      <c r="AN137" s="62">
        <f ca="1">AVERAGE(OFFSET($AM$3,0,0,'Données projet'!$E$10+1,1))-AVERAGE(OFFSET($H$3,0,0,'Données projet'!$E$10+1,1))</f>
        <v>288.15107951401188</v>
      </c>
      <c r="AO137" s="62">
        <f t="shared" si="144"/>
        <v>217.57508587672368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0.94895350747695217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3.044988603240746E-15</v>
      </c>
      <c r="AX137" s="23">
        <f t="shared" si="114"/>
        <v>0.94895350747695517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3.4106051316484809E-13</v>
      </c>
      <c r="BE137" s="14">
        <f>BD137*VLOOKUP('Données projet'!$B$11,Paramètres!$A$1:$I$89,3,0)*VLOOKUP('Données projet'!$B$11,Paramètres!$A$1:$I$89,5,0)</f>
        <v>1.5961632016114892E-13</v>
      </c>
      <c r="BF137" s="14">
        <f t="shared" si="145"/>
        <v>2.2708641912150958E-12</v>
      </c>
      <c r="BG137" s="22">
        <f t="shared" si="115"/>
        <v>4.2330868906469593E-12</v>
      </c>
      <c r="BH137" s="62">
        <f t="shared" si="116"/>
        <v>293.33333333333752</v>
      </c>
      <c r="BI137" s="62">
        <f ca="1">AVERAGE(OFFSET($BH$3,0,0,'Données projet'!$E$11+1,1))-AVERAGE(OFFSET($H$3,0,0,'Données projet'!$E$11+1,1))</f>
        <v>221.07273841880755</v>
      </c>
      <c r="BJ137" s="62">
        <f t="shared" si="146"/>
        <v>164.23448598618114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-2.2737367544323206E-13</v>
      </c>
      <c r="BZ137" s="14">
        <f>BY137*VLOOKUP('Données projet'!$B$12,Paramètres!$A$1:$I$89,3,0)*VLOOKUP('Données projet'!$B$12,Paramètres!$A$1:$I$89,5,0)</f>
        <v>-1.8089849618263545E-13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219.2279518699109</v>
      </c>
      <c r="CE137" s="62">
        <f t="shared" si="148"/>
        <v>219.59799863414099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0.96709906138295432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0.96709906138295432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2">
        <f t="shared" si="140"/>
        <v>20.591993942534774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70">
        <f t="shared" si="110"/>
        <v>457.57597278324812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153.59418465942997</v>
      </c>
      <c r="T138" s="62">
        <f t="shared" si="142"/>
        <v>313.61727210988198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12.350294305388294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4.1762095468378058E-14</v>
      </c>
      <c r="AC138" s="24">
        <f t="shared" si="111"/>
        <v>12.350294305388337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2.2737367544323206E-13</v>
      </c>
      <c r="AJ138" s="14">
        <f>AI138*VLOOKUP('Données projet'!$B$10,Paramètres!$A$1:$I$89,3,0)*VLOOKUP('Données projet'!$B$10,Paramètres!$A$1:$I$89,5,0)</f>
        <v>1.3596945791505279E-13</v>
      </c>
      <c r="AK138" s="14">
        <f t="shared" si="143"/>
        <v>1.9708830566360721E-12</v>
      </c>
      <c r="AL138" s="22">
        <f t="shared" si="112"/>
        <v>3.669434796176543E-12</v>
      </c>
      <c r="AM138" s="62">
        <f t="shared" si="113"/>
        <v>293.33333333333701</v>
      </c>
      <c r="AN138" s="62">
        <f ca="1">AVERAGE(OFFSET($AM$3,0,0,'Données projet'!$E$10+1,1))-AVERAGE(OFFSET($H$3,0,0,'Données projet'!$E$10+1,1))</f>
        <v>288.15107951401188</v>
      </c>
      <c r="AO138" s="62">
        <f t="shared" si="144"/>
        <v>217.57508587672368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0.93034510799981651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2.1531320899872851E-15</v>
      </c>
      <c r="AX138" s="23">
        <f t="shared" si="114"/>
        <v>0.93034510799981862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3.4106051316484809E-13</v>
      </c>
      <c r="BE138" s="14">
        <f>BD138*VLOOKUP('Données projet'!$B$11,Paramètres!$A$1:$I$89,3,0)*VLOOKUP('Données projet'!$B$11,Paramètres!$A$1:$I$89,5,0)</f>
        <v>1.5961632016114892E-13</v>
      </c>
      <c r="BF138" s="14">
        <f t="shared" si="145"/>
        <v>2.2708641912150958E-12</v>
      </c>
      <c r="BG138" s="22">
        <f t="shared" si="115"/>
        <v>4.2330868906469593E-12</v>
      </c>
      <c r="BH138" s="62">
        <f t="shared" si="116"/>
        <v>293.33333333333752</v>
      </c>
      <c r="BI138" s="62">
        <f ca="1">AVERAGE(OFFSET($BH$3,0,0,'Données projet'!$E$11+1,1))-AVERAGE(OFFSET($H$3,0,0,'Données projet'!$E$11+1,1))</f>
        <v>221.07273841880755</v>
      </c>
      <c r="BJ138" s="62">
        <f t="shared" si="146"/>
        <v>164.23448598618114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-2.2737367544323206E-13</v>
      </c>
      <c r="BZ138" s="14">
        <f>BY138*VLOOKUP('Données projet'!$B$12,Paramètres!$A$1:$I$89,3,0)*VLOOKUP('Données projet'!$B$12,Paramètres!$A$1:$I$89,5,0)</f>
        <v>-1.8089849618263545E-13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219.2279518699109</v>
      </c>
      <c r="CE138" s="62">
        <f t="shared" si="148"/>
        <v>219.59799863414099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0.94813483866141701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0.94813483866141701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2">
        <f t="shared" si="140"/>
        <v>20.726714411291841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70">
        <f t="shared" si="110"/>
        <v>458.76156093300006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153.59418465942997</v>
      </c>
      <c r="T139" s="62">
        <f t="shared" si="142"/>
        <v>313.61727210988198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12.10811256699534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2.9530260902250111E-14</v>
      </c>
      <c r="AC139" s="24">
        <f t="shared" si="111"/>
        <v>12.10811256699537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2.2737367544323206E-13</v>
      </c>
      <c r="AJ139" s="14">
        <f>AI139*VLOOKUP('Données projet'!$B$10,Paramètres!$A$1:$I$89,3,0)*VLOOKUP('Données projet'!$B$10,Paramètres!$A$1:$I$89,5,0)</f>
        <v>1.3596945791505279E-13</v>
      </c>
      <c r="AK139" s="14">
        <f t="shared" si="143"/>
        <v>1.9708830566360721E-12</v>
      </c>
      <c r="AL139" s="22">
        <f t="shared" si="112"/>
        <v>3.669434796176543E-12</v>
      </c>
      <c r="AM139" s="62">
        <f t="shared" si="113"/>
        <v>293.33333333333701</v>
      </c>
      <c r="AN139" s="62">
        <f ca="1">AVERAGE(OFFSET($AM$3,0,0,'Données projet'!$E$10+1,1))-AVERAGE(OFFSET($H$3,0,0,'Données projet'!$E$10+1,1))</f>
        <v>288.15107951401188</v>
      </c>
      <c r="AO139" s="62">
        <f t="shared" si="144"/>
        <v>217.57508587672368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0.91210160788642447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1.522494301620373E-15</v>
      </c>
      <c r="AX139" s="23">
        <f t="shared" si="114"/>
        <v>0.91210160788642602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3.4106051316484809E-13</v>
      </c>
      <c r="BE139" s="14">
        <f>BD139*VLOOKUP('Données projet'!$B$11,Paramètres!$A$1:$I$89,3,0)*VLOOKUP('Données projet'!$B$11,Paramètres!$A$1:$I$89,5,0)</f>
        <v>1.5961632016114892E-13</v>
      </c>
      <c r="BF139" s="14">
        <f t="shared" si="145"/>
        <v>2.2708641912150958E-12</v>
      </c>
      <c r="BG139" s="22">
        <f t="shared" si="115"/>
        <v>4.2330868906469593E-12</v>
      </c>
      <c r="BH139" s="62">
        <f t="shared" si="116"/>
        <v>293.33333333333752</v>
      </c>
      <c r="BI139" s="62">
        <f ca="1">AVERAGE(OFFSET($BH$3,0,0,'Données projet'!$E$11+1,1))-AVERAGE(OFFSET($H$3,0,0,'Données projet'!$E$11+1,1))</f>
        <v>221.07273841880755</v>
      </c>
      <c r="BJ139" s="62">
        <f t="shared" si="146"/>
        <v>164.23448598618114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-2.2737367544323206E-13</v>
      </c>
      <c r="BZ139" s="14">
        <f>BY139*VLOOKUP('Données projet'!$B$12,Paramètres!$A$1:$I$89,3,0)*VLOOKUP('Données projet'!$B$12,Paramètres!$A$1:$I$89,5,0)</f>
        <v>-1.8089849618263545E-13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219.2279518699109</v>
      </c>
      <c r="CE139" s="62">
        <f t="shared" si="148"/>
        <v>219.59799863414099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0.92954249278041534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0.92954249278041534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2">
        <f t="shared" si="140"/>
        <v>20.861319623408168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70">
        <f t="shared" si="110"/>
        <v>459.94694834410268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153.59418465942997</v>
      </c>
      <c r="T140" s="62">
        <f t="shared" si="142"/>
        <v>313.61727210988198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11.870679864775997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2.0881047734189029E-14</v>
      </c>
      <c r="AC140" s="24">
        <f t="shared" si="111"/>
        <v>11.870679864776019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2.2737367544323206E-13</v>
      </c>
      <c r="AJ140" s="14">
        <f>AI140*VLOOKUP('Données projet'!$B$10,Paramètres!$A$1:$I$89,3,0)*VLOOKUP('Données projet'!$B$10,Paramètres!$A$1:$I$89,5,0)</f>
        <v>1.3596945791505279E-13</v>
      </c>
      <c r="AK140" s="14">
        <f t="shared" si="143"/>
        <v>1.9708830566360721E-12</v>
      </c>
      <c r="AL140" s="22">
        <f t="shared" si="112"/>
        <v>3.669434796176543E-12</v>
      </c>
      <c r="AM140" s="62">
        <f t="shared" si="113"/>
        <v>293.33333333333701</v>
      </c>
      <c r="AN140" s="62">
        <f ca="1">AVERAGE(OFFSET($AM$3,0,0,'Données projet'!$E$10+1,1))-AVERAGE(OFFSET($H$3,0,0,'Données projet'!$E$10+1,1))</f>
        <v>288.15107951401188</v>
      </c>
      <c r="AO140" s="62">
        <f t="shared" si="144"/>
        <v>217.57508587672368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0.89421585168281981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1.0765660449936426E-15</v>
      </c>
      <c r="AX140" s="23">
        <f t="shared" si="114"/>
        <v>0.89421585168282092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3.4106051316484809E-13</v>
      </c>
      <c r="BE140" s="14">
        <f>BD140*VLOOKUP('Données projet'!$B$11,Paramètres!$A$1:$I$89,3,0)*VLOOKUP('Données projet'!$B$11,Paramètres!$A$1:$I$89,5,0)</f>
        <v>1.5961632016114892E-13</v>
      </c>
      <c r="BF140" s="14">
        <f t="shared" si="145"/>
        <v>2.2708641912150958E-12</v>
      </c>
      <c r="BG140" s="22">
        <f t="shared" si="115"/>
        <v>4.2330868906469593E-12</v>
      </c>
      <c r="BH140" s="62">
        <f t="shared" si="116"/>
        <v>293.33333333333752</v>
      </c>
      <c r="BI140" s="62">
        <f ca="1">AVERAGE(OFFSET($BH$3,0,0,'Données projet'!$E$11+1,1))-AVERAGE(OFFSET($H$3,0,0,'Données projet'!$E$11+1,1))</f>
        <v>221.07273841880755</v>
      </c>
      <c r="BJ140" s="62">
        <f t="shared" si="146"/>
        <v>164.23448598618114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-2.2737367544323206E-13</v>
      </c>
      <c r="BZ140" s="14">
        <f>BY140*VLOOKUP('Données projet'!$B$12,Paramètres!$A$1:$I$89,3,0)*VLOOKUP('Données projet'!$B$12,Paramètres!$A$1:$I$89,5,0)</f>
        <v>-1.8089849618263545E-13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219.2279518699109</v>
      </c>
      <c r="CE140" s="62">
        <f t="shared" si="148"/>
        <v>219.59799863414099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0.91131473146192887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0.91131473146192887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2">
        <f t="shared" si="140"/>
        <v>20.995810517717057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70">
        <f t="shared" si="110"/>
        <v>461.13213665169064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153.59418465942997</v>
      </c>
      <c r="T141" s="62">
        <f t="shared" si="142"/>
        <v>313.61727210988198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11.637903073027527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1.4765130451125055E-14</v>
      </c>
      <c r="AC141" s="24">
        <f t="shared" si="111"/>
        <v>11.637903073027541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2.2737367544323206E-13</v>
      </c>
      <c r="AJ141" s="14">
        <f>AI141*VLOOKUP('Données projet'!$B$10,Paramètres!$A$1:$I$89,3,0)*VLOOKUP('Données projet'!$B$10,Paramètres!$A$1:$I$89,5,0)</f>
        <v>1.3596945791505279E-13</v>
      </c>
      <c r="AK141" s="14">
        <f t="shared" si="143"/>
        <v>1.9708830566360721E-12</v>
      </c>
      <c r="AL141" s="22">
        <f t="shared" si="112"/>
        <v>3.669434796176543E-12</v>
      </c>
      <c r="AM141" s="62">
        <f t="shared" si="113"/>
        <v>293.33333333333701</v>
      </c>
      <c r="AN141" s="62">
        <f ca="1">AVERAGE(OFFSET($AM$3,0,0,'Données projet'!$E$10+1,1))-AVERAGE(OFFSET($H$3,0,0,'Données projet'!$E$10+1,1))</f>
        <v>288.15107951401188</v>
      </c>
      <c r="AO141" s="62">
        <f t="shared" si="144"/>
        <v>217.57508587672368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0.87668082424913374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7.6124715081018649E-16</v>
      </c>
      <c r="AX141" s="23">
        <f t="shared" si="114"/>
        <v>0.87668082424913452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3.4106051316484809E-13</v>
      </c>
      <c r="BE141" s="14">
        <f>BD141*VLOOKUP('Données projet'!$B$11,Paramètres!$A$1:$I$89,3,0)*VLOOKUP('Données projet'!$B$11,Paramètres!$A$1:$I$89,5,0)</f>
        <v>1.5961632016114892E-13</v>
      </c>
      <c r="BF141" s="14">
        <f t="shared" si="145"/>
        <v>2.2708641912150958E-12</v>
      </c>
      <c r="BG141" s="22">
        <f t="shared" si="115"/>
        <v>4.2330868906469593E-12</v>
      </c>
      <c r="BH141" s="62">
        <f t="shared" si="116"/>
        <v>293.33333333333752</v>
      </c>
      <c r="BI141" s="62">
        <f ca="1">AVERAGE(OFFSET($BH$3,0,0,'Données projet'!$E$11+1,1))-AVERAGE(OFFSET($H$3,0,0,'Données projet'!$E$11+1,1))</f>
        <v>221.07273841880755</v>
      </c>
      <c r="BJ141" s="62">
        <f t="shared" si="146"/>
        <v>164.23448598618114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-2.2737367544323206E-13</v>
      </c>
      <c r="BZ141" s="14">
        <f>BY141*VLOOKUP('Données projet'!$B$12,Paramètres!$A$1:$I$89,3,0)*VLOOKUP('Données projet'!$B$12,Paramètres!$A$1:$I$89,5,0)</f>
        <v>-1.8089849618263545E-13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219.2279518699109</v>
      </c>
      <c r="CE141" s="62">
        <f t="shared" si="148"/>
        <v>219.59799863414099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0.89344440542506132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0.89344440542506132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2">
        <f t="shared" si="140"/>
        <v>21.130188018659304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70">
        <f t="shared" si="110"/>
        <v>462.31712746583173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153.59418465942997</v>
      </c>
      <c r="T142" s="62">
        <f t="shared" si="142"/>
        <v>313.61727210988198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11.40969089218542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1.0440523867094514E-14</v>
      </c>
      <c r="AC142" s="24">
        <f t="shared" si="111"/>
        <v>11.409690892185431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2.2737367544323206E-13</v>
      </c>
      <c r="AJ142" s="14">
        <f>AI142*VLOOKUP('Données projet'!$B$10,Paramètres!$A$1:$I$89,3,0)*VLOOKUP('Données projet'!$B$10,Paramètres!$A$1:$I$89,5,0)</f>
        <v>1.3596945791505279E-13</v>
      </c>
      <c r="AK142" s="14">
        <f t="shared" si="143"/>
        <v>1.9708830566360721E-12</v>
      </c>
      <c r="AL142" s="22">
        <f t="shared" si="112"/>
        <v>3.669434796176543E-12</v>
      </c>
      <c r="AM142" s="62">
        <f t="shared" si="113"/>
        <v>293.33333333333701</v>
      </c>
      <c r="AN142" s="62">
        <f ca="1">AVERAGE(OFFSET($AM$3,0,0,'Données projet'!$E$10+1,1))-AVERAGE(OFFSET($H$3,0,0,'Données projet'!$E$10+1,1))</f>
        <v>288.15107951401188</v>
      </c>
      <c r="AO142" s="62">
        <f t="shared" si="144"/>
        <v>217.57508587672368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0.85948964800811156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5.3828302249682128E-16</v>
      </c>
      <c r="AX142" s="23">
        <f t="shared" si="114"/>
        <v>0.85948964800811212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3.4106051316484809E-13</v>
      </c>
      <c r="BE142" s="14">
        <f>BD142*VLOOKUP('Données projet'!$B$11,Paramètres!$A$1:$I$89,3,0)*VLOOKUP('Données projet'!$B$11,Paramètres!$A$1:$I$89,5,0)</f>
        <v>1.5961632016114892E-13</v>
      </c>
      <c r="BF142" s="14">
        <f t="shared" si="145"/>
        <v>2.2708641912150958E-12</v>
      </c>
      <c r="BG142" s="22">
        <f t="shared" si="115"/>
        <v>4.2330868906469593E-12</v>
      </c>
      <c r="BH142" s="62">
        <f t="shared" si="116"/>
        <v>293.33333333333752</v>
      </c>
      <c r="BI142" s="62">
        <f ca="1">AVERAGE(OFFSET($BH$3,0,0,'Données projet'!$E$11+1,1))-AVERAGE(OFFSET($H$3,0,0,'Données projet'!$E$11+1,1))</f>
        <v>221.07273841880755</v>
      </c>
      <c r="BJ142" s="62">
        <f t="shared" si="146"/>
        <v>164.23448598618114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-2.2737367544323206E-13</v>
      </c>
      <c r="BZ142" s="14">
        <f>BY142*VLOOKUP('Données projet'!$B$12,Paramètres!$A$1:$I$89,3,0)*VLOOKUP('Données projet'!$B$12,Paramètres!$A$1:$I$89,5,0)</f>
        <v>-1.8089849618263545E-13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219.2279518699109</v>
      </c>
      <c r="CE142" s="62">
        <f t="shared" si="148"/>
        <v>219.59799863414099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0.87592450558195412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0.87592450558195412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2">
        <f t="shared" si="140"/>
        <v>21.264453036605797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70">
        <f t="shared" si="110"/>
        <v>463.50192237208853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153.59418465942997</v>
      </c>
      <c r="T143" s="62">
        <f t="shared" si="142"/>
        <v>313.61727210988198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11.185953813013942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7.3825652255625277E-15</v>
      </c>
      <c r="AC143" s="24">
        <f t="shared" si="111"/>
        <v>11.185953813013949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2.2737367544323206E-13</v>
      </c>
      <c r="AJ143" s="14">
        <f>AI143*VLOOKUP('Données projet'!$B$10,Paramètres!$A$1:$I$89,3,0)*VLOOKUP('Données projet'!$B$10,Paramètres!$A$1:$I$89,5,0)</f>
        <v>1.3596945791505279E-13</v>
      </c>
      <c r="AK143" s="14">
        <f t="shared" si="143"/>
        <v>1.9708830566360721E-12</v>
      </c>
      <c r="AL143" s="22">
        <f t="shared" si="112"/>
        <v>3.669434796176543E-12</v>
      </c>
      <c r="AM143" s="62">
        <f t="shared" si="113"/>
        <v>293.33333333333701</v>
      </c>
      <c r="AN143" s="62">
        <f ca="1">AVERAGE(OFFSET($AM$3,0,0,'Données projet'!$E$10+1,1))-AVERAGE(OFFSET($H$3,0,0,'Données projet'!$E$10+1,1))</f>
        <v>288.15107951401188</v>
      </c>
      <c r="AO143" s="62">
        <f t="shared" si="144"/>
        <v>217.57508587672368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0.84263558024759366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3.8062357540509325E-16</v>
      </c>
      <c r="AX143" s="23">
        <f t="shared" si="114"/>
        <v>0.842635580247594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3.4106051316484809E-13</v>
      </c>
      <c r="BE143" s="14">
        <f>BD143*VLOOKUP('Données projet'!$B$11,Paramètres!$A$1:$I$89,3,0)*VLOOKUP('Données projet'!$B$11,Paramètres!$A$1:$I$89,5,0)</f>
        <v>1.5961632016114892E-13</v>
      </c>
      <c r="BF143" s="14">
        <f t="shared" si="145"/>
        <v>2.2708641912150958E-12</v>
      </c>
      <c r="BG143" s="22">
        <f t="shared" si="115"/>
        <v>4.2330868906469593E-12</v>
      </c>
      <c r="BH143" s="62">
        <f t="shared" si="116"/>
        <v>293.33333333333752</v>
      </c>
      <c r="BI143" s="62">
        <f ca="1">AVERAGE(OFFSET($BH$3,0,0,'Données projet'!$E$11+1,1))-AVERAGE(OFFSET($H$3,0,0,'Données projet'!$E$11+1,1))</f>
        <v>221.07273841880755</v>
      </c>
      <c r="BJ143" s="62">
        <f t="shared" si="146"/>
        <v>164.23448598618114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-2.2737367544323206E-13</v>
      </c>
      <c r="BZ143" s="14">
        <f>BY143*VLOOKUP('Données projet'!$B$12,Paramètres!$A$1:$I$89,3,0)*VLOOKUP('Données projet'!$B$12,Paramètres!$A$1:$I$89,5,0)</f>
        <v>-1.8089849618263545E-13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219.2279518699109</v>
      </c>
      <c r="CE143" s="62">
        <f t="shared" si="148"/>
        <v>219.59799863414099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0.8587481602886865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0.8587481602886865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2">
        <f t="shared" si="140"/>
        <v>21.39860646817062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70">
        <f t="shared" si="110"/>
        <v>464.68652293206395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153.59418465942997</v>
      </c>
      <c r="T144" s="62">
        <f t="shared" si="142"/>
        <v>313.61727210988198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10.966604081498874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5.2202619335472572E-15</v>
      </c>
      <c r="AC144" s="24">
        <f t="shared" si="111"/>
        <v>10.966604081498879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2.2737367544323206E-13</v>
      </c>
      <c r="AJ144" s="14">
        <f>AI144*VLOOKUP('Données projet'!$B$10,Paramètres!$A$1:$I$89,3,0)*VLOOKUP('Données projet'!$B$10,Paramètres!$A$1:$I$89,5,0)</f>
        <v>1.3596945791505279E-13</v>
      </c>
      <c r="AK144" s="14">
        <f t="shared" si="143"/>
        <v>1.9708830566360721E-12</v>
      </c>
      <c r="AL144" s="22">
        <f t="shared" si="112"/>
        <v>3.669434796176543E-12</v>
      </c>
      <c r="AM144" s="62">
        <f t="shared" si="113"/>
        <v>293.33333333333701</v>
      </c>
      <c r="AN144" s="62">
        <f ca="1">AVERAGE(OFFSET($AM$3,0,0,'Données projet'!$E$10+1,1))-AVERAGE(OFFSET($H$3,0,0,'Données projet'!$E$10+1,1))</f>
        <v>288.15107951401188</v>
      </c>
      <c r="AO144" s="62">
        <f t="shared" si="144"/>
        <v>217.57508587672368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0.82611201047589322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2.6914151124841064E-16</v>
      </c>
      <c r="AX144" s="23">
        <f t="shared" si="114"/>
        <v>0.82611201047589344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3.4106051316484809E-13</v>
      </c>
      <c r="BE144" s="14">
        <f>BD144*VLOOKUP('Données projet'!$B$11,Paramètres!$A$1:$I$89,3,0)*VLOOKUP('Données projet'!$B$11,Paramètres!$A$1:$I$89,5,0)</f>
        <v>1.5961632016114892E-13</v>
      </c>
      <c r="BF144" s="14">
        <f t="shared" si="145"/>
        <v>2.2708641912150958E-12</v>
      </c>
      <c r="BG144" s="22">
        <f t="shared" si="115"/>
        <v>4.2330868906469593E-12</v>
      </c>
      <c r="BH144" s="62">
        <f t="shared" si="116"/>
        <v>293.33333333333752</v>
      </c>
      <c r="BI144" s="62">
        <f ca="1">AVERAGE(OFFSET($BH$3,0,0,'Données projet'!$E$11+1,1))-AVERAGE(OFFSET($H$3,0,0,'Données projet'!$E$11+1,1))</f>
        <v>221.07273841880755</v>
      </c>
      <c r="BJ144" s="62">
        <f t="shared" si="146"/>
        <v>164.23448598618114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-2.2737367544323206E-13</v>
      </c>
      <c r="BZ144" s="14">
        <f>BY144*VLOOKUP('Données projet'!$B$12,Paramètres!$A$1:$I$89,3,0)*VLOOKUP('Données projet'!$B$12,Paramètres!$A$1:$I$89,5,0)</f>
        <v>-1.8089849618263545E-13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219.2279518699109</v>
      </c>
      <c r="CE144" s="62">
        <f t="shared" si="148"/>
        <v>219.59799863414099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0.84190863265008364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0.84190863265008364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2">
        <f t="shared" si="140"/>
        <v>21.532649196514924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70">
        <f t="shared" si="110"/>
        <v>465.87093068393028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153.59418465942997</v>
      </c>
      <c r="T145" s="62">
        <f t="shared" si="142"/>
        <v>313.61727210988198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10.75155566442869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3.6912826127812638E-15</v>
      </c>
      <c r="AC145" s="24">
        <f t="shared" si="111"/>
        <v>10.751555664428693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2.2737367544323206E-13</v>
      </c>
      <c r="AJ145" s="14">
        <f>AI145*VLOOKUP('Données projet'!$B$10,Paramètres!$A$1:$I$89,3,0)*VLOOKUP('Données projet'!$B$10,Paramètres!$A$1:$I$89,5,0)</f>
        <v>1.3596945791505279E-13</v>
      </c>
      <c r="AK145" s="14">
        <f t="shared" si="143"/>
        <v>1.9708830566360721E-12</v>
      </c>
      <c r="AL145" s="22">
        <f t="shared" si="112"/>
        <v>3.669434796176543E-12</v>
      </c>
      <c r="AM145" s="62">
        <f t="shared" si="113"/>
        <v>293.33333333333701</v>
      </c>
      <c r="AN145" s="62">
        <f ca="1">AVERAGE(OFFSET($AM$3,0,0,'Données projet'!$E$10+1,1))-AVERAGE(OFFSET($H$3,0,0,'Données projet'!$E$10+1,1))</f>
        <v>288.15107951401188</v>
      </c>
      <c r="AO145" s="62">
        <f t="shared" si="144"/>
        <v>217.57508587672368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0.80991245782903343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1.9031178770254662E-16</v>
      </c>
      <c r="AX145" s="23">
        <f t="shared" si="114"/>
        <v>0.80991245782903365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3.4106051316484809E-13</v>
      </c>
      <c r="BE145" s="14">
        <f>BD145*VLOOKUP('Données projet'!$B$11,Paramètres!$A$1:$I$89,3,0)*VLOOKUP('Données projet'!$B$11,Paramètres!$A$1:$I$89,5,0)</f>
        <v>1.5961632016114892E-13</v>
      </c>
      <c r="BF145" s="14">
        <f t="shared" si="145"/>
        <v>2.2708641912150958E-12</v>
      </c>
      <c r="BG145" s="22">
        <f t="shared" si="115"/>
        <v>4.2330868906469593E-12</v>
      </c>
      <c r="BH145" s="62">
        <f t="shared" si="116"/>
        <v>293.33333333333752</v>
      </c>
      <c r="BI145" s="62">
        <f ca="1">AVERAGE(OFFSET($BH$3,0,0,'Données projet'!$E$11+1,1))-AVERAGE(OFFSET($H$3,0,0,'Données projet'!$E$11+1,1))</f>
        <v>221.07273841880755</v>
      </c>
      <c r="BJ145" s="62">
        <f t="shared" si="146"/>
        <v>164.23448598618114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-2.2737367544323206E-13</v>
      </c>
      <c r="BZ145" s="14">
        <f>BY145*VLOOKUP('Données projet'!$B$12,Paramètres!$A$1:$I$89,3,0)*VLOOKUP('Données projet'!$B$12,Paramètres!$A$1:$I$89,5,0)</f>
        <v>-1.8089849618263545E-13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219.2279518699109</v>
      </c>
      <c r="CE145" s="62">
        <f t="shared" si="148"/>
        <v>219.59799863414099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0.82539931787737619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0.82539931787737619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2">
        <f t="shared" si="140"/>
        <v>21.666582091642102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70">
        <f t="shared" si="110"/>
        <v>467.0551471429435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153.59418465942997</v>
      </c>
      <c r="T146" s="62">
        <f t="shared" si="142"/>
        <v>313.61727210988198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10.54072421565067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2.6101309667736286E-15</v>
      </c>
      <c r="AC146" s="24">
        <f t="shared" si="111"/>
        <v>10.540724215650672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2.2737367544323206E-13</v>
      </c>
      <c r="AJ146" s="14">
        <f>AI146*VLOOKUP('Données projet'!$B$10,Paramètres!$A$1:$I$89,3,0)*VLOOKUP('Données projet'!$B$10,Paramètres!$A$1:$I$89,5,0)</f>
        <v>1.3596945791505279E-13</v>
      </c>
      <c r="AK146" s="14">
        <f t="shared" si="143"/>
        <v>1.9708830566360721E-12</v>
      </c>
      <c r="AL146" s="22">
        <f t="shared" si="112"/>
        <v>3.669434796176543E-12</v>
      </c>
      <c r="AM146" s="62">
        <f t="shared" si="113"/>
        <v>293.33333333333701</v>
      </c>
      <c r="AN146" s="62">
        <f ca="1">AVERAGE(OFFSET($AM$3,0,0,'Données projet'!$E$10+1,1))-AVERAGE(OFFSET($H$3,0,0,'Données projet'!$E$10+1,1))</f>
        <v>288.15107951401188</v>
      </c>
      <c r="AO146" s="62">
        <f t="shared" si="144"/>
        <v>217.57508587672368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0.79403056852882714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1.3457075562420532E-16</v>
      </c>
      <c r="AX146" s="23">
        <f t="shared" si="114"/>
        <v>0.79403056852882725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3.4106051316484809E-13</v>
      </c>
      <c r="BE146" s="14">
        <f>BD146*VLOOKUP('Données projet'!$B$11,Paramètres!$A$1:$I$89,3,0)*VLOOKUP('Données projet'!$B$11,Paramètres!$A$1:$I$89,5,0)</f>
        <v>1.5961632016114892E-13</v>
      </c>
      <c r="BF146" s="14">
        <f t="shared" si="145"/>
        <v>2.2708641912150958E-12</v>
      </c>
      <c r="BG146" s="22">
        <f t="shared" si="115"/>
        <v>4.2330868906469593E-12</v>
      </c>
      <c r="BH146" s="62">
        <f t="shared" si="116"/>
        <v>293.33333333333752</v>
      </c>
      <c r="BI146" s="62">
        <f ca="1">AVERAGE(OFFSET($BH$3,0,0,'Données projet'!$E$11+1,1))-AVERAGE(OFFSET($H$3,0,0,'Données projet'!$E$11+1,1))</f>
        <v>221.07273841880755</v>
      </c>
      <c r="BJ146" s="62">
        <f t="shared" si="146"/>
        <v>164.23448598618114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-2.2737367544323206E-13</v>
      </c>
      <c r="BZ146" s="14">
        <f>BY146*VLOOKUP('Données projet'!$B$12,Paramètres!$A$1:$I$89,3,0)*VLOOKUP('Données projet'!$B$12,Paramètres!$A$1:$I$89,5,0)</f>
        <v>-1.8089849618263545E-13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219.2279518699109</v>
      </c>
      <c r="CE146" s="62">
        <f t="shared" si="148"/>
        <v>219.59799863414099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0.80921374069767382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0.80921374069767382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2">
        <f t="shared" si="140"/>
        <v>21.800406010684483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70">
        <f t="shared" si="110"/>
        <v>468.23917380194229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153.59418465942997</v>
      </c>
      <c r="T147" s="62">
        <f t="shared" si="142"/>
        <v>313.61727210988198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10.3340270429887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1.8456413063906319E-15</v>
      </c>
      <c r="AC147" s="24">
        <f t="shared" si="111"/>
        <v>10.334027042988701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2.2737367544323206E-13</v>
      </c>
      <c r="AJ147" s="14">
        <f>AI147*VLOOKUP('Données projet'!$B$10,Paramètres!$A$1:$I$89,3,0)*VLOOKUP('Données projet'!$B$10,Paramètres!$A$1:$I$89,5,0)</f>
        <v>1.3596945791505279E-13</v>
      </c>
      <c r="AK147" s="14">
        <f t="shared" si="143"/>
        <v>1.9708830566360721E-12</v>
      </c>
      <c r="AL147" s="22">
        <f t="shared" si="112"/>
        <v>3.669434796176543E-12</v>
      </c>
      <c r="AM147" s="62">
        <f t="shared" si="113"/>
        <v>293.33333333333701</v>
      </c>
      <c r="AN147" s="62">
        <f ca="1">AVERAGE(OFFSET($AM$3,0,0,'Données projet'!$E$10+1,1))-AVERAGE(OFFSET($H$3,0,0,'Données projet'!$E$10+1,1))</f>
        <v>288.15107951401188</v>
      </c>
      <c r="AO147" s="62">
        <f t="shared" si="144"/>
        <v>217.57508587672368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0.7784601133908019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9.5155893851273312E-17</v>
      </c>
      <c r="AX147" s="23">
        <f t="shared" si="114"/>
        <v>0.77846011339080201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3.4106051316484809E-13</v>
      </c>
      <c r="BE147" s="14">
        <f>BD147*VLOOKUP('Données projet'!$B$11,Paramètres!$A$1:$I$89,3,0)*VLOOKUP('Données projet'!$B$11,Paramètres!$A$1:$I$89,5,0)</f>
        <v>1.5961632016114892E-13</v>
      </c>
      <c r="BF147" s="14">
        <f t="shared" si="145"/>
        <v>2.2708641912150958E-12</v>
      </c>
      <c r="BG147" s="22">
        <f t="shared" si="115"/>
        <v>4.2330868906469593E-12</v>
      </c>
      <c r="BH147" s="62">
        <f t="shared" si="116"/>
        <v>293.33333333333752</v>
      </c>
      <c r="BI147" s="62">
        <f ca="1">AVERAGE(OFFSET($BH$3,0,0,'Données projet'!$E$11+1,1))-AVERAGE(OFFSET($H$3,0,0,'Données projet'!$E$11+1,1))</f>
        <v>221.07273841880755</v>
      </c>
      <c r="BJ147" s="62">
        <f t="shared" si="146"/>
        <v>164.23448598618114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-2.2737367544323206E-13</v>
      </c>
      <c r="BZ147" s="14">
        <f>BY147*VLOOKUP('Données projet'!$B$12,Paramètres!$A$1:$I$89,3,0)*VLOOKUP('Données projet'!$B$12,Paramètres!$A$1:$I$89,5,0)</f>
        <v>-1.8089849618263545E-13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219.2279518699109</v>
      </c>
      <c r="CE147" s="62">
        <f t="shared" si="148"/>
        <v>219.59799863414099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0.79334555281423813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0.79334555281423813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2">
        <f t="shared" si="140"/>
        <v>21.934121798181632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70">
        <f t="shared" si="110"/>
        <v>469.42301213183316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153.59418465942997</v>
      </c>
      <c r="T148" s="62">
        <f t="shared" si="142"/>
        <v>313.61727210988198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10.131383075809804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1.3050654833868143E-15</v>
      </c>
      <c r="AC148" s="24">
        <f t="shared" si="111"/>
        <v>10.131383075809806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2.2737367544323206E-13</v>
      </c>
      <c r="AJ148" s="14">
        <f>AI148*VLOOKUP('Données projet'!$B$10,Paramètres!$A$1:$I$89,3,0)*VLOOKUP('Données projet'!$B$10,Paramètres!$A$1:$I$89,5,0)</f>
        <v>1.3596945791505279E-13</v>
      </c>
      <c r="AK148" s="14">
        <f t="shared" si="143"/>
        <v>1.9708830566360721E-12</v>
      </c>
      <c r="AL148" s="22">
        <f t="shared" si="112"/>
        <v>3.669434796176543E-12</v>
      </c>
      <c r="AM148" s="62">
        <f t="shared" si="113"/>
        <v>293.33333333333701</v>
      </c>
      <c r="AN148" s="62">
        <f ca="1">AVERAGE(OFFSET($AM$3,0,0,'Données projet'!$E$10+1,1))-AVERAGE(OFFSET($H$3,0,0,'Données projet'!$E$10+1,1))</f>
        <v>288.15107951401188</v>
      </c>
      <c r="AO148" s="62">
        <f t="shared" si="144"/>
        <v>217.57508587672368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0.76319498538099351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6.7285377812102659E-17</v>
      </c>
      <c r="AX148" s="23">
        <f t="shared" si="114"/>
        <v>0.76319498538099362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3.4106051316484809E-13</v>
      </c>
      <c r="BE148" s="14">
        <f>BD148*VLOOKUP('Données projet'!$B$11,Paramètres!$A$1:$I$89,3,0)*VLOOKUP('Données projet'!$B$11,Paramètres!$A$1:$I$89,5,0)</f>
        <v>1.5961632016114892E-13</v>
      </c>
      <c r="BF148" s="14">
        <f t="shared" si="145"/>
        <v>2.2708641912150958E-12</v>
      </c>
      <c r="BG148" s="22">
        <f t="shared" si="115"/>
        <v>4.2330868906469593E-12</v>
      </c>
      <c r="BH148" s="62">
        <f t="shared" si="116"/>
        <v>293.33333333333752</v>
      </c>
      <c r="BI148" s="62">
        <f ca="1">AVERAGE(OFFSET($BH$3,0,0,'Données projet'!$E$11+1,1))-AVERAGE(OFFSET($H$3,0,0,'Données projet'!$E$11+1,1))</f>
        <v>221.07273841880755</v>
      </c>
      <c r="BJ148" s="62">
        <f t="shared" si="146"/>
        <v>164.23448598618114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-2.2737367544323206E-13</v>
      </c>
      <c r="BZ148" s="14">
        <f>BY148*VLOOKUP('Données projet'!$B$12,Paramètres!$A$1:$I$89,3,0)*VLOOKUP('Données projet'!$B$12,Paramètres!$A$1:$I$89,5,0)</f>
        <v>-1.8089849618263545E-13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219.2279518699109</v>
      </c>
      <c r="CE148" s="62">
        <f t="shared" si="148"/>
        <v>219.59799863414099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0.77778853041655771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0.77778853041655771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2">
        <f t="shared" si="140"/>
        <v>22.067730286351065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70">
        <f t="shared" si="110"/>
        <v>470.60666358206163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153.59418465942997</v>
      </c>
      <c r="T149" s="62">
        <f t="shared" si="142"/>
        <v>313.61727210988198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9.9327128332266721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9.2282065319531596E-16</v>
      </c>
      <c r="AC149" s="24">
        <f t="shared" si="111"/>
        <v>9.9327128332266739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2.2737367544323206E-13</v>
      </c>
      <c r="AJ149" s="14">
        <f>AI149*VLOOKUP('Données projet'!$B$10,Paramètres!$A$1:$I$89,3,0)*VLOOKUP('Données projet'!$B$10,Paramètres!$A$1:$I$89,5,0)</f>
        <v>1.3596945791505279E-13</v>
      </c>
      <c r="AK149" s="14">
        <f t="shared" si="143"/>
        <v>1.9708830566360721E-12</v>
      </c>
      <c r="AL149" s="22">
        <f t="shared" si="112"/>
        <v>3.669434796176543E-12</v>
      </c>
      <c r="AM149" s="62">
        <f t="shared" si="113"/>
        <v>293.33333333333701</v>
      </c>
      <c r="AN149" s="62">
        <f ca="1">AVERAGE(OFFSET($AM$3,0,0,'Données projet'!$E$10+1,1))-AVERAGE(OFFSET($H$3,0,0,'Données projet'!$E$10+1,1))</f>
        <v>288.15107951401188</v>
      </c>
      <c r="AO149" s="62">
        <f t="shared" si="144"/>
        <v>217.57508587672368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0.74822919722064873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4.7577946925636656E-17</v>
      </c>
      <c r="AX149" s="23">
        <f t="shared" si="114"/>
        <v>0.74822919722064873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3.4106051316484809E-13</v>
      </c>
      <c r="BE149" s="14">
        <f>BD149*VLOOKUP('Données projet'!$B$11,Paramètres!$A$1:$I$89,3,0)*VLOOKUP('Données projet'!$B$11,Paramètres!$A$1:$I$89,5,0)</f>
        <v>1.5961632016114892E-13</v>
      </c>
      <c r="BF149" s="14">
        <f t="shared" si="145"/>
        <v>2.2708641912150958E-12</v>
      </c>
      <c r="BG149" s="22">
        <f t="shared" si="115"/>
        <v>4.2330868906469593E-12</v>
      </c>
      <c r="BH149" s="62">
        <f t="shared" si="116"/>
        <v>293.33333333333752</v>
      </c>
      <c r="BI149" s="62">
        <f ca="1">AVERAGE(OFFSET($BH$3,0,0,'Données projet'!$E$11+1,1))-AVERAGE(OFFSET($H$3,0,0,'Données projet'!$E$11+1,1))</f>
        <v>221.07273841880755</v>
      </c>
      <c r="BJ149" s="62">
        <f t="shared" si="146"/>
        <v>164.23448598618114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-2.2737367544323206E-13</v>
      </c>
      <c r="BZ149" s="14">
        <f>BY149*VLOOKUP('Données projet'!$B$12,Paramètres!$A$1:$I$89,3,0)*VLOOKUP('Données projet'!$B$12,Paramètres!$A$1:$I$89,5,0)</f>
        <v>-1.8089849618263545E-13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219.2279518699109</v>
      </c>
      <c r="CE149" s="62">
        <f t="shared" si="148"/>
        <v>219.59799863414099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0.76253657173924905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0.76253657173924905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2">
        <f t="shared" si="140"/>
        <v>22.201232295351069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70">
        <f t="shared" si="110"/>
        <v>471.79012958106995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153.59418465942997</v>
      </c>
      <c r="T150" s="62">
        <f t="shared" si="142"/>
        <v>313.61727210988198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9.7379383929237129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6.5253274169340715E-16</v>
      </c>
      <c r="AC150" s="24">
        <f t="shared" si="111"/>
        <v>9.7379383929237129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2.2737367544323206E-13</v>
      </c>
      <c r="AJ150" s="14">
        <f>AI150*VLOOKUP('Données projet'!$B$10,Paramètres!$A$1:$I$89,3,0)*VLOOKUP('Données projet'!$B$10,Paramètres!$A$1:$I$89,5,0)</f>
        <v>1.3596945791505279E-13</v>
      </c>
      <c r="AK150" s="14">
        <f t="shared" si="143"/>
        <v>1.9708830566360721E-12</v>
      </c>
      <c r="AL150" s="22">
        <f t="shared" si="112"/>
        <v>3.669434796176543E-12</v>
      </c>
      <c r="AM150" s="62">
        <f t="shared" si="113"/>
        <v>293.33333333333701</v>
      </c>
      <c r="AN150" s="62">
        <f ca="1">AVERAGE(OFFSET($AM$3,0,0,'Données projet'!$E$10+1,1))-AVERAGE(OFFSET($H$3,0,0,'Données projet'!$E$10+1,1))</f>
        <v>288.15107951401188</v>
      </c>
      <c r="AO150" s="62">
        <f t="shared" si="144"/>
        <v>217.57508587672368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0.7335568790378989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3.364268890605133E-17</v>
      </c>
      <c r="AX150" s="23">
        <f t="shared" si="114"/>
        <v>0.7335568790378989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3.4106051316484809E-13</v>
      </c>
      <c r="BE150" s="14">
        <f>BD150*VLOOKUP('Données projet'!$B$11,Paramètres!$A$1:$I$89,3,0)*VLOOKUP('Données projet'!$B$11,Paramètres!$A$1:$I$89,5,0)</f>
        <v>1.5961632016114892E-13</v>
      </c>
      <c r="BF150" s="14">
        <f t="shared" si="145"/>
        <v>2.2708641912150958E-12</v>
      </c>
      <c r="BG150" s="22">
        <f t="shared" si="115"/>
        <v>4.2330868906469593E-12</v>
      </c>
      <c r="BH150" s="62">
        <f t="shared" si="116"/>
        <v>293.33333333333752</v>
      </c>
      <c r="BI150" s="62">
        <f ca="1">AVERAGE(OFFSET($BH$3,0,0,'Données projet'!$E$11+1,1))-AVERAGE(OFFSET($H$3,0,0,'Données projet'!$E$11+1,1))</f>
        <v>221.07273841880755</v>
      </c>
      <c r="BJ150" s="62">
        <f t="shared" si="146"/>
        <v>164.23448598618114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-2.2737367544323206E-13</v>
      </c>
      <c r="BZ150" s="14">
        <f>BY150*VLOOKUP('Données projet'!$B$12,Paramètres!$A$1:$I$89,3,0)*VLOOKUP('Données projet'!$B$12,Paramètres!$A$1:$I$89,5,0)</f>
        <v>-1.8089849618263545E-13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219.2279518699109</v>
      </c>
      <c r="CE150" s="62">
        <f t="shared" si="148"/>
        <v>219.59799863414099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0.74758369466882624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0.74758369466882624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2">
        <f t="shared" si="140"/>
        <v>22.334628633536237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70">
        <f t="shared" si="110"/>
        <v>472.9734115367425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153.59418465942997</v>
      </c>
      <c r="T151" s="62">
        <f t="shared" si="142"/>
        <v>313.61727210988198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9.5469833605944157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4.6141032659765798E-16</v>
      </c>
      <c r="AC151" s="24">
        <f t="shared" si="111"/>
        <v>9.5469833605944157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2.2737367544323206E-13</v>
      </c>
      <c r="AJ151" s="14">
        <f>AI151*VLOOKUP('Données projet'!$B$10,Paramètres!$A$1:$I$89,3,0)*VLOOKUP('Données projet'!$B$10,Paramètres!$A$1:$I$89,5,0)</f>
        <v>1.3596945791505279E-13</v>
      </c>
      <c r="AK151" s="14">
        <f t="shared" si="143"/>
        <v>1.9708830566360721E-12</v>
      </c>
      <c r="AL151" s="22">
        <f t="shared" si="112"/>
        <v>3.669434796176543E-12</v>
      </c>
      <c r="AM151" s="62">
        <f t="shared" si="113"/>
        <v>293.33333333333701</v>
      </c>
      <c r="AN151" s="62">
        <f ca="1">AVERAGE(OFFSET($AM$3,0,0,'Données projet'!$E$10+1,1))-AVERAGE(OFFSET($H$3,0,0,'Données projet'!$E$10+1,1))</f>
        <v>288.15107951401188</v>
      </c>
      <c r="AO151" s="62">
        <f t="shared" si="144"/>
        <v>217.57508587672368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0.71917227606548229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2.3788973462818328E-17</v>
      </c>
      <c r="AX151" s="23">
        <f t="shared" si="114"/>
        <v>0.71917227606548229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3.4106051316484809E-13</v>
      </c>
      <c r="BE151" s="14">
        <f>BD151*VLOOKUP('Données projet'!$B$11,Paramètres!$A$1:$I$89,3,0)*VLOOKUP('Données projet'!$B$11,Paramètres!$A$1:$I$89,5,0)</f>
        <v>1.5961632016114892E-13</v>
      </c>
      <c r="BF151" s="14">
        <f t="shared" si="145"/>
        <v>2.2708641912150958E-12</v>
      </c>
      <c r="BG151" s="22">
        <f t="shared" si="115"/>
        <v>4.2330868906469593E-12</v>
      </c>
      <c r="BH151" s="62">
        <f t="shared" si="116"/>
        <v>293.33333333333752</v>
      </c>
      <c r="BI151" s="62">
        <f ca="1">AVERAGE(OFFSET($BH$3,0,0,'Données projet'!$E$11+1,1))-AVERAGE(OFFSET($H$3,0,0,'Données projet'!$E$11+1,1))</f>
        <v>221.07273841880755</v>
      </c>
      <c r="BJ151" s="62">
        <f t="shared" si="146"/>
        <v>164.23448598618114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-2.2737367544323206E-13</v>
      </c>
      <c r="BZ151" s="14">
        <f>BY151*VLOOKUP('Données projet'!$B$12,Paramètres!$A$1:$I$89,3,0)*VLOOKUP('Données projet'!$B$12,Paramètres!$A$1:$I$89,5,0)</f>
        <v>-1.8089849618263545E-13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219.2279518699109</v>
      </c>
      <c r="CE151" s="62">
        <f t="shared" si="148"/>
        <v>219.59799863414099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0.73292403439739995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0.73292403439739995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2">
        <f t="shared" si="140"/>
        <v>22.467920097706067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70">
        <f t="shared" si="110"/>
        <v>474.15651083683827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153.59418465942997</v>
      </c>
      <c r="T152" s="62">
        <f t="shared" si="142"/>
        <v>313.61727210988198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9.359772839978028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3.2626637084670358E-16</v>
      </c>
      <c r="AC152" s="24">
        <f t="shared" si="111"/>
        <v>9.359772839978028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2.2737367544323206E-13</v>
      </c>
      <c r="AJ152" s="14">
        <f>AI152*VLOOKUP('Données projet'!$B$10,Paramètres!$A$1:$I$89,3,0)*VLOOKUP('Données projet'!$B$10,Paramètres!$A$1:$I$89,5,0)</f>
        <v>1.3596945791505279E-13</v>
      </c>
      <c r="AK152" s="14">
        <f t="shared" si="143"/>
        <v>1.9708830566360721E-12</v>
      </c>
      <c r="AL152" s="22">
        <f t="shared" si="112"/>
        <v>3.669434796176543E-12</v>
      </c>
      <c r="AM152" s="62">
        <f t="shared" si="113"/>
        <v>293.33333333333701</v>
      </c>
      <c r="AN152" s="62">
        <f ca="1">AVERAGE(OFFSET($AM$3,0,0,'Données projet'!$E$10+1,1))-AVERAGE(OFFSET($H$3,0,0,'Données projet'!$E$10+1,1))</f>
        <v>288.15107951401188</v>
      </c>
      <c r="AO152" s="62">
        <f t="shared" si="144"/>
        <v>217.57508587672368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0.7050697463836133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1.6821344453025665E-17</v>
      </c>
      <c r="AX152" s="23">
        <f t="shared" si="114"/>
        <v>0.7050697463836133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3.4106051316484809E-13</v>
      </c>
      <c r="BE152" s="14">
        <f>BD152*VLOOKUP('Données projet'!$B$11,Paramètres!$A$1:$I$89,3,0)*VLOOKUP('Données projet'!$B$11,Paramètres!$A$1:$I$89,5,0)</f>
        <v>1.5961632016114892E-13</v>
      </c>
      <c r="BF152" s="14">
        <f t="shared" si="145"/>
        <v>2.2708641912150958E-12</v>
      </c>
      <c r="BG152" s="22">
        <f t="shared" si="115"/>
        <v>4.2330868906469593E-12</v>
      </c>
      <c r="BH152" s="62">
        <f t="shared" si="116"/>
        <v>293.33333333333752</v>
      </c>
      <c r="BI152" s="62">
        <f ca="1">AVERAGE(OFFSET($BH$3,0,0,'Données projet'!$E$11+1,1))-AVERAGE(OFFSET($H$3,0,0,'Données projet'!$E$11+1,1))</f>
        <v>221.07273841880755</v>
      </c>
      <c r="BJ152" s="62">
        <f t="shared" si="146"/>
        <v>164.23448598618114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-2.2737367544323206E-13</v>
      </c>
      <c r="BZ152" s="14">
        <f>BY152*VLOOKUP('Données projet'!$B$12,Paramètres!$A$1:$I$89,3,0)*VLOOKUP('Données projet'!$B$12,Paramètres!$A$1:$I$89,5,0)</f>
        <v>-1.8089849618263545E-13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219.2279518699109</v>
      </c>
      <c r="CE152" s="62">
        <f t="shared" si="148"/>
        <v>219.59799863414099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0.71855184112238646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0.71855184112238646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2">
        <f t="shared" si="140"/>
        <v>22.601107473346371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70">
        <f t="shared" si="110"/>
        <v>475.33942884941183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153.59418465942997</v>
      </c>
      <c r="T153" s="62">
        <f t="shared" si="142"/>
        <v>313.61727210988198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9.1762334034837849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2.3070516329882899E-16</v>
      </c>
      <c r="AC153" s="24">
        <f t="shared" si="111"/>
        <v>9.1762334034837849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2.2737367544323206E-13</v>
      </c>
      <c r="AJ153" s="14">
        <f>AI153*VLOOKUP('Données projet'!$B$10,Paramètres!$A$1:$I$89,3,0)*VLOOKUP('Données projet'!$B$10,Paramètres!$A$1:$I$89,5,0)</f>
        <v>1.3596945791505279E-13</v>
      </c>
      <c r="AK153" s="14">
        <f t="shared" si="143"/>
        <v>1.9708830566360721E-12</v>
      </c>
      <c r="AL153" s="22">
        <f t="shared" si="112"/>
        <v>3.669434796176543E-12</v>
      </c>
      <c r="AM153" s="62">
        <f t="shared" si="113"/>
        <v>293.33333333333701</v>
      </c>
      <c r="AN153" s="62">
        <f ca="1">AVERAGE(OFFSET($AM$3,0,0,'Données projet'!$E$10+1,1))-AVERAGE(OFFSET($H$3,0,0,'Données projet'!$E$10+1,1))</f>
        <v>288.15107951401188</v>
      </c>
      <c r="AO153" s="62">
        <f t="shared" si="144"/>
        <v>217.57508587672368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0.69124375870711208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1.1894486731409164E-17</v>
      </c>
      <c r="AX153" s="23">
        <f t="shared" si="114"/>
        <v>0.69124375870711208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3.4106051316484809E-13</v>
      </c>
      <c r="BE153" s="14">
        <f>BD153*VLOOKUP('Données projet'!$B$11,Paramètres!$A$1:$I$89,3,0)*VLOOKUP('Données projet'!$B$11,Paramètres!$A$1:$I$89,5,0)</f>
        <v>1.5961632016114892E-13</v>
      </c>
      <c r="BF153" s="14">
        <f t="shared" si="145"/>
        <v>2.2708641912150958E-12</v>
      </c>
      <c r="BG153" s="22">
        <f t="shared" si="115"/>
        <v>4.2330868906469593E-12</v>
      </c>
      <c r="BH153" s="62">
        <f t="shared" si="116"/>
        <v>293.33333333333752</v>
      </c>
      <c r="BI153" s="62">
        <f ca="1">AVERAGE(OFFSET($BH$3,0,0,'Données projet'!$E$11+1,1))-AVERAGE(OFFSET($H$3,0,0,'Données projet'!$E$11+1,1))</f>
        <v>221.07273841880755</v>
      </c>
      <c r="BJ153" s="62">
        <f t="shared" si="146"/>
        <v>164.23448598618114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-2.2737367544323206E-13</v>
      </c>
      <c r="BZ153" s="14">
        <f>BY153*VLOOKUP('Données projet'!$B$12,Paramètres!$A$1:$I$89,3,0)*VLOOKUP('Données projet'!$B$12,Paramètres!$A$1:$I$89,5,0)</f>
        <v>-1.8089849618263545E-13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219.2279518699109</v>
      </c>
      <c r="CE153" s="62">
        <f t="shared" si="148"/>
        <v>219.59799863414099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0.70446147779132362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0.70446147779132362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2">
        <f t="shared" si="140"/>
        <v>22.734191534864422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70">
        <f t="shared" si="110"/>
        <v>476.52216692322241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153.59418465942997</v>
      </c>
      <c r="T154" s="62">
        <f t="shared" si="142"/>
        <v>313.61727210988198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8.9962930633911906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1.6313318542335179E-16</v>
      </c>
      <c r="AC154" s="24">
        <f t="shared" ref="AC154:AC203" si="163">SUM(Z154:AB154)</f>
        <v>8.9962930633911906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2.2737367544323206E-13</v>
      </c>
      <c r="AJ154" s="14">
        <f>AI154*VLOOKUP('Données projet'!$B$10,Paramètres!$A$1:$I$89,3,0)*VLOOKUP('Données projet'!$B$10,Paramètres!$A$1:$I$89,5,0)</f>
        <v>1.3596945791505279E-13</v>
      </c>
      <c r="AK154" s="14">
        <f t="shared" ref="AK154:AK203" si="164">EXP(-1.0587+0.8836*LN(AJ154)+0.284)</f>
        <v>1.9708830566360721E-12</v>
      </c>
      <c r="AL154" s="22">
        <f t="shared" ref="AL154:AL203" si="165">(AJ154+AK154)*0.475*44/12</f>
        <v>3.669434796176543E-12</v>
      </c>
      <c r="AM154" s="62">
        <f t="shared" si="113"/>
        <v>293.33333333333701</v>
      </c>
      <c r="AN154" s="62">
        <f ca="1">AVERAGE(OFFSET($AM$3,0,0,'Données projet'!$E$10+1,1))-AVERAGE(OFFSET($H$3,0,0,'Données projet'!$E$10+1,1))</f>
        <v>288.15107951401188</v>
      </c>
      <c r="AO154" s="62">
        <f t="shared" si="144"/>
        <v>217.57508587672368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0.67768889021592715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8.4106722265128324E-18</v>
      </c>
      <c r="AX154" s="23">
        <f t="shared" ref="AX154:AX203" si="166">SUM(AU154:AW154)</f>
        <v>0.67768889021592715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3.4106051316484809E-13</v>
      </c>
      <c r="BE154" s="14">
        <f>BD154*VLOOKUP('Données projet'!$B$11,Paramètres!$A$1:$I$89,3,0)*VLOOKUP('Données projet'!$B$11,Paramètres!$A$1:$I$89,5,0)</f>
        <v>1.5961632016114892E-13</v>
      </c>
      <c r="BF154" s="14">
        <f t="shared" ref="BF154:BF203" si="167">EXP(-1.0587+0.8836*LN(BE154)+0.284)</f>
        <v>2.2708641912150958E-12</v>
      </c>
      <c r="BG154" s="22">
        <f t="shared" ref="BG154:BG203" si="168">(BE154+BF154)*0.475*44/12</f>
        <v>4.2330868906469593E-12</v>
      </c>
      <c r="BH154" s="62">
        <f t="shared" si="116"/>
        <v>293.33333333333752</v>
      </c>
      <c r="BI154" s="62">
        <f ca="1">AVERAGE(OFFSET($BH$3,0,0,'Données projet'!$E$11+1,1))-AVERAGE(OFFSET($H$3,0,0,'Données projet'!$E$11+1,1))</f>
        <v>221.07273841880755</v>
      </c>
      <c r="BJ154" s="62">
        <f t="shared" si="146"/>
        <v>164.23448598618114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-2.2737367544323206E-13</v>
      </c>
      <c r="BZ154" s="14">
        <f>BY154*VLOOKUP('Données projet'!$B$12,Paramètres!$A$1:$I$89,3,0)*VLOOKUP('Données projet'!$B$12,Paramètres!$A$1:$I$89,5,0)</f>
        <v>-1.8089849618263545E-13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219.2279518699109</v>
      </c>
      <c r="CE154" s="62">
        <f t="shared" si="148"/>
        <v>219.59799863414099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0.69064741789090989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0.69064741789090989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2">
        <f t="shared" si="140"/>
        <v>22.867173045817363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70">
        <f t="shared" si="110"/>
        <v>477.70472638813214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153.59418465942997</v>
      </c>
      <c r="T155" s="62">
        <f t="shared" si="142"/>
        <v>313.61727210988198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8.8198812436150416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1.153525816494145E-16</v>
      </c>
      <c r="AC155" s="24">
        <f t="shared" si="163"/>
        <v>8.8198812436150416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2.2737367544323206E-13</v>
      </c>
      <c r="AJ155" s="14">
        <f>AI155*VLOOKUP('Données projet'!$B$10,Paramètres!$A$1:$I$89,3,0)*VLOOKUP('Données projet'!$B$10,Paramètres!$A$1:$I$89,5,0)</f>
        <v>1.3596945791505279E-13</v>
      </c>
      <c r="AK155" s="14">
        <f t="shared" si="164"/>
        <v>1.9708830566360721E-12</v>
      </c>
      <c r="AL155" s="22">
        <f t="shared" si="165"/>
        <v>3.669434796176543E-12</v>
      </c>
      <c r="AM155" s="62">
        <f t="shared" si="113"/>
        <v>293.33333333333701</v>
      </c>
      <c r="AN155" s="62">
        <f ca="1">AVERAGE(OFFSET($AM$3,0,0,'Données projet'!$E$10+1,1))-AVERAGE(OFFSET($H$3,0,0,'Données projet'!$E$10+1,1))</f>
        <v>288.15107951401188</v>
      </c>
      <c r="AO155" s="62">
        <f t="shared" si="144"/>
        <v>217.57508587672368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0.664399824428201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5.947243365704582E-18</v>
      </c>
      <c r="AX155" s="23">
        <f t="shared" si="166"/>
        <v>0.664399824428201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3.4106051316484809E-13</v>
      </c>
      <c r="BE155" s="14">
        <f>BD155*VLOOKUP('Données projet'!$B$11,Paramètres!$A$1:$I$89,3,0)*VLOOKUP('Données projet'!$B$11,Paramètres!$A$1:$I$89,5,0)</f>
        <v>1.5961632016114892E-13</v>
      </c>
      <c r="BF155" s="14">
        <f t="shared" si="167"/>
        <v>2.2708641912150958E-12</v>
      </c>
      <c r="BG155" s="22">
        <f t="shared" si="168"/>
        <v>4.2330868906469593E-12</v>
      </c>
      <c r="BH155" s="62">
        <f t="shared" si="116"/>
        <v>293.33333333333752</v>
      </c>
      <c r="BI155" s="62">
        <f ca="1">AVERAGE(OFFSET($BH$3,0,0,'Données projet'!$E$11+1,1))-AVERAGE(OFFSET($H$3,0,0,'Données projet'!$E$11+1,1))</f>
        <v>221.07273841880755</v>
      </c>
      <c r="BJ155" s="62">
        <f t="shared" si="146"/>
        <v>164.23448598618114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-2.2737367544323206E-13</v>
      </c>
      <c r="BZ155" s="14">
        <f>BY155*VLOOKUP('Données projet'!$B$12,Paramètres!$A$1:$I$89,3,0)*VLOOKUP('Données projet'!$B$12,Paramètres!$A$1:$I$89,5,0)</f>
        <v>-1.8089849618263545E-13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219.2279518699109</v>
      </c>
      <c r="CE155" s="62">
        <f t="shared" si="148"/>
        <v>219.59799863414099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0.67710424327939878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0.67710424327939878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2">
        <f t="shared" si="140"/>
        <v>23.000052759134679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70">
        <f t="shared" si="110"/>
        <v>478.88710855549317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153.59418465942997</v>
      </c>
      <c r="T156" s="62">
        <f t="shared" si="142"/>
        <v>313.61727210988198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8.6469287520241185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8.1566592711675894E-17</v>
      </c>
      <c r="AC156" s="24">
        <f t="shared" si="163"/>
        <v>8.6469287520241185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2.2737367544323206E-13</v>
      </c>
      <c r="AJ156" s="14">
        <f>AI156*VLOOKUP('Données projet'!$B$10,Paramètres!$A$1:$I$89,3,0)*VLOOKUP('Données projet'!$B$10,Paramètres!$A$1:$I$89,5,0)</f>
        <v>1.3596945791505279E-13</v>
      </c>
      <c r="AK156" s="14">
        <f t="shared" si="164"/>
        <v>1.9708830566360721E-12</v>
      </c>
      <c r="AL156" s="22">
        <f t="shared" si="165"/>
        <v>3.669434796176543E-12</v>
      </c>
      <c r="AM156" s="62">
        <f t="shared" si="113"/>
        <v>293.33333333333701</v>
      </c>
      <c r="AN156" s="62">
        <f ca="1">AVERAGE(OFFSET($AM$3,0,0,'Données projet'!$E$10+1,1))-AVERAGE(OFFSET($H$3,0,0,'Données projet'!$E$10+1,1))</f>
        <v>288.15107951401188</v>
      </c>
      <c r="AO156" s="62">
        <f t="shared" si="144"/>
        <v>217.57508587672368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0.65137134911504235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4.2053361132564162E-18</v>
      </c>
      <c r="AX156" s="23">
        <f t="shared" si="166"/>
        <v>0.65137134911504235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3.4106051316484809E-13</v>
      </c>
      <c r="BE156" s="14">
        <f>BD156*VLOOKUP('Données projet'!$B$11,Paramètres!$A$1:$I$89,3,0)*VLOOKUP('Données projet'!$B$11,Paramètres!$A$1:$I$89,5,0)</f>
        <v>1.5961632016114892E-13</v>
      </c>
      <c r="BF156" s="14">
        <f t="shared" si="167"/>
        <v>2.2708641912150958E-12</v>
      </c>
      <c r="BG156" s="22">
        <f t="shared" si="168"/>
        <v>4.2330868906469593E-12</v>
      </c>
      <c r="BH156" s="62">
        <f t="shared" si="116"/>
        <v>293.33333333333752</v>
      </c>
      <c r="BI156" s="62">
        <f ca="1">AVERAGE(OFFSET($BH$3,0,0,'Données projet'!$E$11+1,1))-AVERAGE(OFFSET($H$3,0,0,'Données projet'!$E$11+1,1))</f>
        <v>221.07273841880755</v>
      </c>
      <c r="BJ156" s="62">
        <f t="shared" si="146"/>
        <v>164.23448598618114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-2.2737367544323206E-13</v>
      </c>
      <c r="BZ156" s="14">
        <f>BY156*VLOOKUP('Données projet'!$B$12,Paramètres!$A$1:$I$89,3,0)*VLOOKUP('Données projet'!$B$12,Paramètres!$A$1:$I$89,5,0)</f>
        <v>-1.8089849618263545E-13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219.2279518699109</v>
      </c>
      <c r="CE156" s="62">
        <f t="shared" si="148"/>
        <v>219.59799863414099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0.66382664206149855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0.66382664206149855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2">
        <f t="shared" si="140"/>
        <v>23.132831417334586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70">
        <f t="shared" si="110"/>
        <v>480.06931471852465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153.59418465942997</v>
      </c>
      <c r="T157" s="62">
        <f t="shared" si="142"/>
        <v>313.61727210988198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8.4773677533026888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5.7676290824707248E-17</v>
      </c>
      <c r="AC157" s="24">
        <f t="shared" si="163"/>
        <v>8.4773677533026888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2.2737367544323206E-13</v>
      </c>
      <c r="AJ157" s="14">
        <f>AI157*VLOOKUP('Données projet'!$B$10,Paramètres!$A$1:$I$89,3,0)*VLOOKUP('Données projet'!$B$10,Paramètres!$A$1:$I$89,5,0)</f>
        <v>1.3596945791505279E-13</v>
      </c>
      <c r="AK157" s="14">
        <f t="shared" si="164"/>
        <v>1.9708830566360721E-12</v>
      </c>
      <c r="AL157" s="22">
        <f t="shared" si="165"/>
        <v>3.669434796176543E-12</v>
      </c>
      <c r="AM157" s="62">
        <f t="shared" si="113"/>
        <v>293.33333333333701</v>
      </c>
      <c r="AN157" s="62">
        <f ca="1">AVERAGE(OFFSET($AM$3,0,0,'Données projet'!$E$10+1,1))-AVERAGE(OFFSET($H$3,0,0,'Données projet'!$E$10+1,1))</f>
        <v>288.15107951401188</v>
      </c>
      <c r="AO157" s="62">
        <f t="shared" si="144"/>
        <v>217.57508587672368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0.63859835425618949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2.973621682852291E-18</v>
      </c>
      <c r="AX157" s="23">
        <f t="shared" si="166"/>
        <v>0.63859835425618949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3.4106051316484809E-13</v>
      </c>
      <c r="BE157" s="14">
        <f>BD157*VLOOKUP('Données projet'!$B$11,Paramètres!$A$1:$I$89,3,0)*VLOOKUP('Données projet'!$B$11,Paramètres!$A$1:$I$89,5,0)</f>
        <v>1.5961632016114892E-13</v>
      </c>
      <c r="BF157" s="14">
        <f t="shared" si="167"/>
        <v>2.2708641912150958E-12</v>
      </c>
      <c r="BG157" s="22">
        <f t="shared" si="168"/>
        <v>4.2330868906469593E-12</v>
      </c>
      <c r="BH157" s="62">
        <f t="shared" si="116"/>
        <v>293.33333333333752</v>
      </c>
      <c r="BI157" s="62">
        <f ca="1">AVERAGE(OFFSET($BH$3,0,0,'Données projet'!$E$11+1,1))-AVERAGE(OFFSET($H$3,0,0,'Données projet'!$E$11+1,1))</f>
        <v>221.07273841880755</v>
      </c>
      <c r="BJ157" s="62">
        <f t="shared" si="146"/>
        <v>164.23448598618114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-2.2737367544323206E-13</v>
      </c>
      <c r="BZ157" s="14">
        <f>BY157*VLOOKUP('Données projet'!$B$12,Paramètres!$A$1:$I$89,3,0)*VLOOKUP('Données projet'!$B$12,Paramètres!$A$1:$I$89,5,0)</f>
        <v>-1.8089849618263545E-13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219.2279518699109</v>
      </c>
      <c r="CE157" s="62">
        <f t="shared" si="148"/>
        <v>219.59799863414099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0.65080940650494423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0.65080940650494423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2">
        <f t="shared" si="140"/>
        <v>23.265509752734562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70">
        <f t="shared" si="110"/>
        <v>481.25134615267967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153.59418465942997</v>
      </c>
      <c r="T158" s="62">
        <f t="shared" si="142"/>
        <v>313.61727210988198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8.3111317423441893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4.0783296355837947E-17</v>
      </c>
      <c r="AC158" s="24">
        <f t="shared" si="163"/>
        <v>8.3111317423441893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2.2737367544323206E-13</v>
      </c>
      <c r="AJ158" s="14">
        <f>AI158*VLOOKUP('Données projet'!$B$10,Paramètres!$A$1:$I$89,3,0)*VLOOKUP('Données projet'!$B$10,Paramètres!$A$1:$I$89,5,0)</f>
        <v>1.3596945791505279E-13</v>
      </c>
      <c r="AK158" s="14">
        <f t="shared" si="164"/>
        <v>1.9708830566360721E-12</v>
      </c>
      <c r="AL158" s="22">
        <f t="shared" si="165"/>
        <v>3.669434796176543E-12</v>
      </c>
      <c r="AM158" s="62">
        <f t="shared" si="113"/>
        <v>293.33333333333701</v>
      </c>
      <c r="AN158" s="62">
        <f ca="1">AVERAGE(OFFSET($AM$3,0,0,'Données projet'!$E$10+1,1))-AVERAGE(OFFSET($H$3,0,0,'Données projet'!$E$10+1,1))</f>
        <v>288.15107951401188</v>
      </c>
      <c r="AO158" s="62">
        <f t="shared" si="144"/>
        <v>217.57508587672368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0.62607583003576117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2.1026680566282081E-18</v>
      </c>
      <c r="AX158" s="23">
        <f t="shared" si="166"/>
        <v>0.62607583003576117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3.4106051316484809E-13</v>
      </c>
      <c r="BE158" s="14">
        <f>BD158*VLOOKUP('Données projet'!$B$11,Paramètres!$A$1:$I$89,3,0)*VLOOKUP('Données projet'!$B$11,Paramètres!$A$1:$I$89,5,0)</f>
        <v>1.5961632016114892E-13</v>
      </c>
      <c r="BF158" s="14">
        <f t="shared" si="167"/>
        <v>2.2708641912150958E-12</v>
      </c>
      <c r="BG158" s="22">
        <f t="shared" si="168"/>
        <v>4.2330868906469593E-12</v>
      </c>
      <c r="BH158" s="62">
        <f t="shared" si="116"/>
        <v>293.33333333333752</v>
      </c>
      <c r="BI158" s="62">
        <f ca="1">AVERAGE(OFFSET($BH$3,0,0,'Données projet'!$E$11+1,1))-AVERAGE(OFFSET($H$3,0,0,'Données projet'!$E$11+1,1))</f>
        <v>221.07273841880755</v>
      </c>
      <c r="BJ158" s="62">
        <f t="shared" si="146"/>
        <v>164.23448598618114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-2.2737367544323206E-13</v>
      </c>
      <c r="BZ158" s="14">
        <f>BY158*VLOOKUP('Données projet'!$B$12,Paramètres!$A$1:$I$89,3,0)*VLOOKUP('Données projet'!$B$12,Paramètres!$A$1:$I$89,5,0)</f>
        <v>-1.8089849618263545E-13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219.2279518699109</v>
      </c>
      <c r="CE158" s="62">
        <f t="shared" si="148"/>
        <v>219.59799863414099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0.63804743099792427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0.63804743099792427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2">
        <f t="shared" si="140"/>
        <v>23.398088487656484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70">
        <f t="shared" si="110"/>
        <v>482.433204116002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153.59418465942997</v>
      </c>
      <c r="T159" s="62">
        <f t="shared" si="142"/>
        <v>313.61727210988198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8.1481555181666323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2.8838145412353624E-17</v>
      </c>
      <c r="AC159" s="24">
        <f t="shared" si="163"/>
        <v>8.1481555181666323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2.2737367544323206E-13</v>
      </c>
      <c r="AJ159" s="14">
        <f>AI159*VLOOKUP('Données projet'!$B$10,Paramètres!$A$1:$I$89,3,0)*VLOOKUP('Données projet'!$B$10,Paramètres!$A$1:$I$89,5,0)</f>
        <v>1.3596945791505279E-13</v>
      </c>
      <c r="AK159" s="14">
        <f t="shared" si="164"/>
        <v>1.9708830566360721E-12</v>
      </c>
      <c r="AL159" s="22">
        <f t="shared" si="165"/>
        <v>3.669434796176543E-12</v>
      </c>
      <c r="AM159" s="62">
        <f t="shared" si="113"/>
        <v>293.33333333333701</v>
      </c>
      <c r="AN159" s="62">
        <f ca="1">AVERAGE(OFFSET($AM$3,0,0,'Données projet'!$E$10+1,1))-AVERAGE(OFFSET($H$3,0,0,'Données projet'!$E$10+1,1))</f>
        <v>288.15107951401188</v>
      </c>
      <c r="AO159" s="62">
        <f t="shared" si="144"/>
        <v>217.57508587672368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0.61379886487730984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1.4868108414261455E-18</v>
      </c>
      <c r="AX159" s="23">
        <f t="shared" si="166"/>
        <v>0.61379886487730984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3.4106051316484809E-13</v>
      </c>
      <c r="BE159" s="14">
        <f>BD159*VLOOKUP('Données projet'!$B$11,Paramètres!$A$1:$I$89,3,0)*VLOOKUP('Données projet'!$B$11,Paramètres!$A$1:$I$89,5,0)</f>
        <v>1.5961632016114892E-13</v>
      </c>
      <c r="BF159" s="14">
        <f t="shared" si="167"/>
        <v>2.2708641912150958E-12</v>
      </c>
      <c r="BG159" s="22">
        <f t="shared" si="168"/>
        <v>4.2330868906469593E-12</v>
      </c>
      <c r="BH159" s="62">
        <f t="shared" si="116"/>
        <v>293.33333333333752</v>
      </c>
      <c r="BI159" s="62">
        <f ca="1">AVERAGE(OFFSET($BH$3,0,0,'Données projet'!$E$11+1,1))-AVERAGE(OFFSET($H$3,0,0,'Données projet'!$E$11+1,1))</f>
        <v>221.07273841880755</v>
      </c>
      <c r="BJ159" s="62">
        <f t="shared" si="146"/>
        <v>164.23448598618114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-2.2737367544323206E-13</v>
      </c>
      <c r="BZ159" s="14">
        <f>BY159*VLOOKUP('Données projet'!$B$12,Paramètres!$A$1:$I$89,3,0)*VLOOKUP('Données projet'!$B$12,Paramètres!$A$1:$I$89,5,0)</f>
        <v>-1.8089849618263545E-13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219.2279518699109</v>
      </c>
      <c r="CE159" s="62">
        <f t="shared" si="148"/>
        <v>219.59799863414099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0.6255357100465605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0.6255357100465605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2">
        <f t="shared" si="140"/>
        <v>23.530568334626178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70">
        <f t="shared" si="110"/>
        <v>483.61488984947425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153.59418465942997</v>
      </c>
      <c r="T160" s="62">
        <f t="shared" si="142"/>
        <v>313.61727210988198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7.9883751583395153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2.0391648177918974E-17</v>
      </c>
      <c r="AC160" s="24">
        <f t="shared" si="163"/>
        <v>7.9883751583395153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2.2737367544323206E-13</v>
      </c>
      <c r="AJ160" s="14">
        <f>AI160*VLOOKUP('Données projet'!$B$10,Paramètres!$A$1:$I$89,3,0)*VLOOKUP('Données projet'!$B$10,Paramètres!$A$1:$I$89,5,0)</f>
        <v>1.3596945791505279E-13</v>
      </c>
      <c r="AK160" s="14">
        <f t="shared" si="164"/>
        <v>1.9708830566360721E-12</v>
      </c>
      <c r="AL160" s="22">
        <f t="shared" si="165"/>
        <v>3.669434796176543E-12</v>
      </c>
      <c r="AM160" s="62">
        <f t="shared" si="113"/>
        <v>293.33333333333701</v>
      </c>
      <c r="AN160" s="62">
        <f ca="1">AVERAGE(OFFSET($AM$3,0,0,'Données projet'!$E$10+1,1))-AVERAGE(OFFSET($H$3,0,0,'Données projet'!$E$10+1,1))</f>
        <v>288.15107951401188</v>
      </c>
      <c r="AO160" s="62">
        <f t="shared" si="144"/>
        <v>217.57508587672368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0.60176264351740638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1.0513340283141041E-18</v>
      </c>
      <c r="AX160" s="23">
        <f t="shared" si="166"/>
        <v>0.60176264351740638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3.4106051316484809E-13</v>
      </c>
      <c r="BE160" s="14">
        <f>BD160*VLOOKUP('Données projet'!$B$11,Paramètres!$A$1:$I$89,3,0)*VLOOKUP('Données projet'!$B$11,Paramètres!$A$1:$I$89,5,0)</f>
        <v>1.5961632016114892E-13</v>
      </c>
      <c r="BF160" s="14">
        <f t="shared" si="167"/>
        <v>2.2708641912150958E-12</v>
      </c>
      <c r="BG160" s="22">
        <f t="shared" si="168"/>
        <v>4.2330868906469593E-12</v>
      </c>
      <c r="BH160" s="62">
        <f t="shared" si="116"/>
        <v>293.33333333333752</v>
      </c>
      <c r="BI160" s="62">
        <f ca="1">AVERAGE(OFFSET($BH$3,0,0,'Données projet'!$E$11+1,1))-AVERAGE(OFFSET($H$3,0,0,'Données projet'!$E$11+1,1))</f>
        <v>221.07273841880755</v>
      </c>
      <c r="BJ160" s="62">
        <f t="shared" si="146"/>
        <v>164.23448598618114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-2.2737367544323206E-13</v>
      </c>
      <c r="BZ160" s="14">
        <f>BY160*VLOOKUP('Données projet'!$B$12,Paramètres!$A$1:$I$89,3,0)*VLOOKUP('Données projet'!$B$12,Paramètres!$A$1:$I$89,5,0)</f>
        <v>-1.8089849618263545E-13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219.2279518699109</v>
      </c>
      <c r="CE160" s="62">
        <f t="shared" si="148"/>
        <v>219.59799863414099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0.6132693363116567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0.6132693363116567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2">
        <f t="shared" si="140"/>
        <v>23.662949996567761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70">
        <f t="shared" si="110"/>
        <v>484.79640457735582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153.59418465942997</v>
      </c>
      <c r="T161" s="62">
        <f t="shared" si="142"/>
        <v>313.61727210988198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7.831727993912212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1.4419072706176812E-17</v>
      </c>
      <c r="AC161" s="24">
        <f t="shared" si="163"/>
        <v>7.831727993912212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2.2737367544323206E-13</v>
      </c>
      <c r="AJ161" s="14">
        <f>AI161*VLOOKUP('Données projet'!$B$10,Paramètres!$A$1:$I$89,3,0)*VLOOKUP('Données projet'!$B$10,Paramètres!$A$1:$I$89,5,0)</f>
        <v>1.3596945791505279E-13</v>
      </c>
      <c r="AK161" s="14">
        <f t="shared" si="164"/>
        <v>1.9708830566360721E-12</v>
      </c>
      <c r="AL161" s="22">
        <f t="shared" si="165"/>
        <v>3.669434796176543E-12</v>
      </c>
      <c r="AM161" s="62">
        <f t="shared" si="113"/>
        <v>293.33333333333701</v>
      </c>
      <c r="AN161" s="62">
        <f ca="1">AVERAGE(OFFSET($AM$3,0,0,'Données projet'!$E$10+1,1))-AVERAGE(OFFSET($H$3,0,0,'Données projet'!$E$10+1,1))</f>
        <v>288.15107951401188</v>
      </c>
      <c r="AO161" s="62">
        <f t="shared" si="144"/>
        <v>217.57508587672368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0.58996244511700047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7.4340542071307275E-19</v>
      </c>
      <c r="AX161" s="23">
        <f t="shared" si="166"/>
        <v>0.58996244511700047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3.4106051316484809E-13</v>
      </c>
      <c r="BE161" s="14">
        <f>BD161*VLOOKUP('Données projet'!$B$11,Paramètres!$A$1:$I$89,3,0)*VLOOKUP('Données projet'!$B$11,Paramètres!$A$1:$I$89,5,0)</f>
        <v>1.5961632016114892E-13</v>
      </c>
      <c r="BF161" s="14">
        <f t="shared" si="167"/>
        <v>2.2708641912150958E-12</v>
      </c>
      <c r="BG161" s="22">
        <f t="shared" si="168"/>
        <v>4.2330868906469593E-12</v>
      </c>
      <c r="BH161" s="62">
        <f t="shared" si="116"/>
        <v>293.33333333333752</v>
      </c>
      <c r="BI161" s="62">
        <f ca="1">AVERAGE(OFFSET($BH$3,0,0,'Données projet'!$E$11+1,1))-AVERAGE(OFFSET($H$3,0,0,'Données projet'!$E$11+1,1))</f>
        <v>221.07273841880755</v>
      </c>
      <c r="BJ161" s="62">
        <f t="shared" si="146"/>
        <v>164.23448598618114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-2.2737367544323206E-13</v>
      </c>
      <c r="BZ161" s="14">
        <f>BY161*VLOOKUP('Données projet'!$B$12,Paramètres!$A$1:$I$89,3,0)*VLOOKUP('Données projet'!$B$12,Paramètres!$A$1:$I$89,5,0)</f>
        <v>-1.8089849618263545E-13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219.2279518699109</v>
      </c>
      <c r="CE161" s="62">
        <f t="shared" si="148"/>
        <v>219.59799863414099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0.60124349868394511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0.60124349868394511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2">
        <f t="shared" si="140"/>
        <v>23.795234166993069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70">
        <f t="shared" si="110"/>
        <v>485.97774950751329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153.59418465942997</v>
      </c>
      <c r="T162" s="62">
        <f t="shared" si="142"/>
        <v>313.61727210988198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7.6781525848339918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1.0195824088959487E-17</v>
      </c>
      <c r="AC162" s="24">
        <f t="shared" si="163"/>
        <v>7.6781525848339918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2.2737367544323206E-13</v>
      </c>
      <c r="AJ162" s="14">
        <f>AI162*VLOOKUP('Données projet'!$B$10,Paramètres!$A$1:$I$89,3,0)*VLOOKUP('Données projet'!$B$10,Paramètres!$A$1:$I$89,5,0)</f>
        <v>1.3596945791505279E-13</v>
      </c>
      <c r="AK162" s="14">
        <f t="shared" si="164"/>
        <v>1.9708830566360721E-12</v>
      </c>
      <c r="AL162" s="22">
        <f t="shared" si="165"/>
        <v>3.669434796176543E-12</v>
      </c>
      <c r="AM162" s="62">
        <f t="shared" si="113"/>
        <v>293.33333333333701</v>
      </c>
      <c r="AN162" s="62">
        <f ca="1">AVERAGE(OFFSET($AM$3,0,0,'Données projet'!$E$10+1,1))-AVERAGE(OFFSET($H$3,0,0,'Données projet'!$E$10+1,1))</f>
        <v>288.15107951401188</v>
      </c>
      <c r="AO162" s="62">
        <f t="shared" si="144"/>
        <v>217.57508587672368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0.57839364140981619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5.2566701415705203E-19</v>
      </c>
      <c r="AX162" s="23">
        <f t="shared" si="166"/>
        <v>0.57839364140981619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3.4106051316484809E-13</v>
      </c>
      <c r="BE162" s="14">
        <f>BD162*VLOOKUP('Données projet'!$B$11,Paramètres!$A$1:$I$89,3,0)*VLOOKUP('Données projet'!$B$11,Paramètres!$A$1:$I$89,5,0)</f>
        <v>1.5961632016114892E-13</v>
      </c>
      <c r="BF162" s="14">
        <f t="shared" si="167"/>
        <v>2.2708641912150958E-12</v>
      </c>
      <c r="BG162" s="22">
        <f t="shared" si="168"/>
        <v>4.2330868906469593E-12</v>
      </c>
      <c r="BH162" s="62">
        <f t="shared" si="116"/>
        <v>293.33333333333752</v>
      </c>
      <c r="BI162" s="62">
        <f ca="1">AVERAGE(OFFSET($BH$3,0,0,'Données projet'!$E$11+1,1))-AVERAGE(OFFSET($H$3,0,0,'Données projet'!$E$11+1,1))</f>
        <v>221.07273841880755</v>
      </c>
      <c r="BJ162" s="62">
        <f t="shared" si="146"/>
        <v>164.23448598618114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-2.2737367544323206E-13</v>
      </c>
      <c r="BZ162" s="14">
        <f>BY162*VLOOKUP('Données projet'!$B$12,Paramètres!$A$1:$I$89,3,0)*VLOOKUP('Données projet'!$B$12,Paramètres!$A$1:$I$89,5,0)</f>
        <v>-1.8089849618263545E-13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219.2279518699109</v>
      </c>
      <c r="CE162" s="62">
        <f t="shared" si="148"/>
        <v>219.59799863414099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0.58945348039707635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0.58945348039707635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2">
        <f t="shared" si="140"/>
        <v>23.927421530185995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70">
        <f t="shared" si="110"/>
        <v>487.15892583174093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153.59418465942997</v>
      </c>
      <c r="T163" s="62">
        <f t="shared" si="142"/>
        <v>313.61727210988198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7.5275886958560454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7.2095363530884059E-18</v>
      </c>
      <c r="AC163" s="24">
        <f t="shared" si="163"/>
        <v>7.5275886958560454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2.2737367544323206E-13</v>
      </c>
      <c r="AJ163" s="14">
        <f>AI163*VLOOKUP('Données projet'!$B$10,Paramètres!$A$1:$I$89,3,0)*VLOOKUP('Données projet'!$B$10,Paramètres!$A$1:$I$89,5,0)</f>
        <v>1.3596945791505279E-13</v>
      </c>
      <c r="AK163" s="14">
        <f t="shared" si="164"/>
        <v>1.9708830566360721E-12</v>
      </c>
      <c r="AL163" s="22">
        <f t="shared" si="165"/>
        <v>3.669434796176543E-12</v>
      </c>
      <c r="AM163" s="62">
        <f t="shared" si="113"/>
        <v>293.33333333333701</v>
      </c>
      <c r="AN163" s="62">
        <f ca="1">AVERAGE(OFFSET($AM$3,0,0,'Données projet'!$E$10+1,1))-AVERAGE(OFFSET($H$3,0,0,'Données projet'!$E$10+1,1))</f>
        <v>288.15107951401188</v>
      </c>
      <c r="AO163" s="62">
        <f t="shared" si="144"/>
        <v>217.57508587672368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0.56705169488705631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3.7170271035653637E-19</v>
      </c>
      <c r="AX163" s="23">
        <f t="shared" si="166"/>
        <v>0.56705169488705631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3.4106051316484809E-13</v>
      </c>
      <c r="BE163" s="14">
        <f>BD163*VLOOKUP('Données projet'!$B$11,Paramètres!$A$1:$I$89,3,0)*VLOOKUP('Données projet'!$B$11,Paramètres!$A$1:$I$89,5,0)</f>
        <v>1.5961632016114892E-13</v>
      </c>
      <c r="BF163" s="14">
        <f t="shared" si="167"/>
        <v>2.2708641912150958E-12</v>
      </c>
      <c r="BG163" s="22">
        <f t="shared" si="168"/>
        <v>4.2330868906469593E-12</v>
      </c>
      <c r="BH163" s="62">
        <f t="shared" si="116"/>
        <v>293.33333333333752</v>
      </c>
      <c r="BI163" s="62">
        <f ca="1">AVERAGE(OFFSET($BH$3,0,0,'Données projet'!$E$11+1,1))-AVERAGE(OFFSET($H$3,0,0,'Données projet'!$E$11+1,1))</f>
        <v>221.07273841880755</v>
      </c>
      <c r="BJ163" s="62">
        <f t="shared" si="146"/>
        <v>164.23448598618114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-2.2737367544323206E-13</v>
      </c>
      <c r="BZ163" s="14">
        <f>BY163*VLOOKUP('Données projet'!$B$12,Paramètres!$A$1:$I$89,3,0)*VLOOKUP('Données projet'!$B$12,Paramètres!$A$1:$I$89,5,0)</f>
        <v>-1.8089849618263545E-13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219.2279518699109</v>
      </c>
      <c r="CE163" s="62">
        <f t="shared" si="148"/>
        <v>219.59799863414099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0.57789465717761201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0.57789465717761201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2">
        <f t="shared" si="140"/>
        <v>24.059512761382141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70">
        <f t="shared" si="110"/>
        <v>488.33993472607426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153.59418465942997</v>
      </c>
      <c r="T164" s="62">
        <f t="shared" si="142"/>
        <v>313.61727210988198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7.3799772729060518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5.0979120444797434E-18</v>
      </c>
      <c r="AC164" s="24">
        <f t="shared" si="163"/>
        <v>7.3799772729060518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2.2737367544323206E-13</v>
      </c>
      <c r="AJ164" s="14">
        <f>AI164*VLOOKUP('Données projet'!$B$10,Paramètres!$A$1:$I$89,3,0)*VLOOKUP('Données projet'!$B$10,Paramètres!$A$1:$I$89,5,0)</f>
        <v>1.3596945791505279E-13</v>
      </c>
      <c r="AK164" s="14">
        <f t="shared" si="164"/>
        <v>1.9708830566360721E-12</v>
      </c>
      <c r="AL164" s="22">
        <f t="shared" si="165"/>
        <v>3.669434796176543E-12</v>
      </c>
      <c r="AM164" s="62">
        <f t="shared" si="113"/>
        <v>293.33333333333701</v>
      </c>
      <c r="AN164" s="62">
        <f ca="1">AVERAGE(OFFSET($AM$3,0,0,'Données projet'!$E$10+1,1))-AVERAGE(OFFSET($H$3,0,0,'Données projet'!$E$10+1,1))</f>
        <v>288.15107951401188</v>
      </c>
      <c r="AO164" s="62">
        <f t="shared" si="144"/>
        <v>217.57508587672368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0.55593215701770349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2.6283350707852601E-19</v>
      </c>
      <c r="AX164" s="23">
        <f t="shared" si="166"/>
        <v>0.55593215701770349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3.4106051316484809E-13</v>
      </c>
      <c r="BE164" s="14">
        <f>BD164*VLOOKUP('Données projet'!$B$11,Paramètres!$A$1:$I$89,3,0)*VLOOKUP('Données projet'!$B$11,Paramètres!$A$1:$I$89,5,0)</f>
        <v>1.5961632016114892E-13</v>
      </c>
      <c r="BF164" s="14">
        <f t="shared" si="167"/>
        <v>2.2708641912150958E-12</v>
      </c>
      <c r="BG164" s="22">
        <f t="shared" si="168"/>
        <v>4.2330868906469593E-12</v>
      </c>
      <c r="BH164" s="62">
        <f t="shared" si="116"/>
        <v>293.33333333333752</v>
      </c>
      <c r="BI164" s="62">
        <f ca="1">AVERAGE(OFFSET($BH$3,0,0,'Données projet'!$E$11+1,1))-AVERAGE(OFFSET($H$3,0,0,'Données projet'!$E$11+1,1))</f>
        <v>221.07273841880755</v>
      </c>
      <c r="BJ164" s="62">
        <f t="shared" si="146"/>
        <v>164.23448598618114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-2.2737367544323206E-13</v>
      </c>
      <c r="BZ164" s="14">
        <f>BY164*VLOOKUP('Données projet'!$B$12,Paramètres!$A$1:$I$89,3,0)*VLOOKUP('Données projet'!$B$12,Paramètres!$A$1:$I$89,5,0)</f>
        <v>-1.8089849618263545E-13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219.2279518699109</v>
      </c>
      <c r="CE164" s="62">
        <f t="shared" si="148"/>
        <v>219.59799863414099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0.56656249543129533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0.56656249543129533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2">
        <f t="shared" si="140"/>
        <v>24.191508526944009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70">
        <f t="shared" si="110"/>
        <v>489.52077735109452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153.59418465942997</v>
      </c>
      <c r="T165" s="62">
        <f t="shared" si="142"/>
        <v>313.61727210988198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7.2352604199260302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3.604768176544203E-18</v>
      </c>
      <c r="AC165" s="24">
        <f t="shared" si="163"/>
        <v>7.2352604199260302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2.2737367544323206E-13</v>
      </c>
      <c r="AJ165" s="14">
        <f>AI165*VLOOKUP('Données projet'!$B$10,Paramètres!$A$1:$I$89,3,0)*VLOOKUP('Données projet'!$B$10,Paramètres!$A$1:$I$89,5,0)</f>
        <v>1.3596945791505279E-13</v>
      </c>
      <c r="AK165" s="14">
        <f t="shared" si="164"/>
        <v>1.9708830566360721E-12</v>
      </c>
      <c r="AL165" s="22">
        <f t="shared" si="165"/>
        <v>3.669434796176543E-12</v>
      </c>
      <c r="AM165" s="62">
        <f t="shared" si="113"/>
        <v>293.33333333333701</v>
      </c>
      <c r="AN165" s="62">
        <f ca="1">AVERAGE(OFFSET($AM$3,0,0,'Données projet'!$E$10+1,1))-AVERAGE(OFFSET($H$3,0,0,'Données projet'!$E$10+1,1))</f>
        <v>288.15107951401188</v>
      </c>
      <c r="AO165" s="62">
        <f t="shared" si="144"/>
        <v>217.57508587672368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0.54503066650372023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1.8585135517826819E-19</v>
      </c>
      <c r="AX165" s="23">
        <f t="shared" si="166"/>
        <v>0.54503066650372023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3.4106051316484809E-13</v>
      </c>
      <c r="BE165" s="14">
        <f>BD165*VLOOKUP('Données projet'!$B$11,Paramètres!$A$1:$I$89,3,0)*VLOOKUP('Données projet'!$B$11,Paramètres!$A$1:$I$89,5,0)</f>
        <v>1.5961632016114892E-13</v>
      </c>
      <c r="BF165" s="14">
        <f t="shared" si="167"/>
        <v>2.2708641912150958E-12</v>
      </c>
      <c r="BG165" s="22">
        <f t="shared" si="168"/>
        <v>4.2330868906469593E-12</v>
      </c>
      <c r="BH165" s="62">
        <f t="shared" si="116"/>
        <v>293.33333333333752</v>
      </c>
      <c r="BI165" s="62">
        <f ca="1">AVERAGE(OFFSET($BH$3,0,0,'Données projet'!$E$11+1,1))-AVERAGE(OFFSET($H$3,0,0,'Données projet'!$E$11+1,1))</f>
        <v>221.07273841880755</v>
      </c>
      <c r="BJ165" s="62">
        <f t="shared" si="146"/>
        <v>164.23448598618114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-2.2737367544323206E-13</v>
      </c>
      <c r="BZ165" s="14">
        <f>BY165*VLOOKUP('Données projet'!$B$12,Paramètres!$A$1:$I$89,3,0)*VLOOKUP('Données projet'!$B$12,Paramètres!$A$1:$I$89,5,0)</f>
        <v>-1.8089849618263545E-13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219.2279518699109</v>
      </c>
      <c r="CE165" s="62">
        <f t="shared" si="148"/>
        <v>219.59799863414099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0.55545255046488773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0.55545255046488773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2">
        <f t="shared" si="140"/>
        <v>24.323409484531542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70">
        <f t="shared" si="110"/>
        <v>490.70145485222611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153.59418465942997</v>
      </c>
      <c r="T166" s="62">
        <f t="shared" si="142"/>
        <v>313.61727210988198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7.0933813761643822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2.5489560222398717E-18</v>
      </c>
      <c r="AC166" s="24">
        <f t="shared" si="163"/>
        <v>7.0933813761643822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2.2737367544323206E-13</v>
      </c>
      <c r="AJ166" s="14">
        <f>AI166*VLOOKUP('Données projet'!$B$10,Paramètres!$A$1:$I$89,3,0)*VLOOKUP('Données projet'!$B$10,Paramètres!$A$1:$I$89,5,0)</f>
        <v>1.3596945791505279E-13</v>
      </c>
      <c r="AK166" s="14">
        <f t="shared" si="164"/>
        <v>1.9708830566360721E-12</v>
      </c>
      <c r="AL166" s="22">
        <f t="shared" si="165"/>
        <v>3.669434796176543E-12</v>
      </c>
      <c r="AM166" s="62">
        <f t="shared" si="113"/>
        <v>293.33333333333701</v>
      </c>
      <c r="AN166" s="62">
        <f ca="1">AVERAGE(OFFSET($AM$3,0,0,'Données projet'!$E$10+1,1))-AVERAGE(OFFSET($H$3,0,0,'Données projet'!$E$10+1,1))</f>
        <v>288.15107951401188</v>
      </c>
      <c r="AO166" s="62">
        <f t="shared" si="144"/>
        <v>217.57508587672368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0.53434294756946354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1.3141675353926301E-19</v>
      </c>
      <c r="AX166" s="23">
        <f t="shared" si="166"/>
        <v>0.53434294756946354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3.4106051316484809E-13</v>
      </c>
      <c r="BE166" s="14">
        <f>BD166*VLOOKUP('Données projet'!$B$11,Paramètres!$A$1:$I$89,3,0)*VLOOKUP('Données projet'!$B$11,Paramètres!$A$1:$I$89,5,0)</f>
        <v>1.5961632016114892E-13</v>
      </c>
      <c r="BF166" s="14">
        <f t="shared" si="167"/>
        <v>2.2708641912150958E-12</v>
      </c>
      <c r="BG166" s="22">
        <f t="shared" si="168"/>
        <v>4.2330868906469593E-12</v>
      </c>
      <c r="BH166" s="62">
        <f t="shared" si="116"/>
        <v>293.33333333333752</v>
      </c>
      <c r="BI166" s="62">
        <f ca="1">AVERAGE(OFFSET($BH$3,0,0,'Données projet'!$E$11+1,1))-AVERAGE(OFFSET($H$3,0,0,'Données projet'!$E$11+1,1))</f>
        <v>221.07273841880755</v>
      </c>
      <c r="BJ166" s="62">
        <f t="shared" si="146"/>
        <v>164.23448598618114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-2.2737367544323206E-13</v>
      </c>
      <c r="BZ166" s="14">
        <f>BY166*VLOOKUP('Données projet'!$B$12,Paramètres!$A$1:$I$89,3,0)*VLOOKUP('Données projet'!$B$12,Paramètres!$A$1:$I$89,5,0)</f>
        <v>-1.8089849618263545E-13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219.2279518699109</v>
      </c>
      <c r="CE166" s="62">
        <f t="shared" si="148"/>
        <v>219.59799863414099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0.54456046474287412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0.54456046474287412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2">
        <f t="shared" si="140"/>
        <v>24.455216283268463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70">
        <f t="shared" si="110"/>
        <v>491.88196836002629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153.59418465942997</v>
      </c>
      <c r="T167" s="62">
        <f t="shared" si="142"/>
        <v>313.61727210988198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6.954284493913228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1.8023840882721015E-18</v>
      </c>
      <c r="AC167" s="24">
        <f t="shared" si="163"/>
        <v>6.954284493913228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2.2737367544323206E-13</v>
      </c>
      <c r="AJ167" s="14">
        <f>AI167*VLOOKUP('Données projet'!$B$10,Paramètres!$A$1:$I$89,3,0)*VLOOKUP('Données projet'!$B$10,Paramètres!$A$1:$I$89,5,0)</f>
        <v>1.3596945791505279E-13</v>
      </c>
      <c r="AK167" s="14">
        <f t="shared" si="164"/>
        <v>1.9708830566360721E-12</v>
      </c>
      <c r="AL167" s="22">
        <f t="shared" si="165"/>
        <v>3.669434796176543E-12</v>
      </c>
      <c r="AM167" s="62">
        <f t="shared" si="113"/>
        <v>293.33333333333701</v>
      </c>
      <c r="AN167" s="62">
        <f ca="1">AVERAGE(OFFSET($AM$3,0,0,'Données projet'!$E$10+1,1))-AVERAGE(OFFSET($H$3,0,0,'Données projet'!$E$10+1,1))</f>
        <v>288.15107951401188</v>
      </c>
      <c r="AO167" s="62">
        <f t="shared" si="144"/>
        <v>217.57508587672368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0.52386480828464277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9.2925677589134093E-20</v>
      </c>
      <c r="AX167" s="23">
        <f t="shared" si="166"/>
        <v>0.52386480828464277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3.4106051316484809E-13</v>
      </c>
      <c r="BE167" s="14">
        <f>BD167*VLOOKUP('Données projet'!$B$11,Paramètres!$A$1:$I$89,3,0)*VLOOKUP('Données projet'!$B$11,Paramètres!$A$1:$I$89,5,0)</f>
        <v>1.5961632016114892E-13</v>
      </c>
      <c r="BF167" s="14">
        <f t="shared" si="167"/>
        <v>2.2708641912150958E-12</v>
      </c>
      <c r="BG167" s="22">
        <f t="shared" si="168"/>
        <v>4.2330868906469593E-12</v>
      </c>
      <c r="BH167" s="62">
        <f t="shared" si="116"/>
        <v>293.33333333333752</v>
      </c>
      <c r="BI167" s="62">
        <f ca="1">AVERAGE(OFFSET($BH$3,0,0,'Données projet'!$E$11+1,1))-AVERAGE(OFFSET($H$3,0,0,'Données projet'!$E$11+1,1))</f>
        <v>221.07273841880755</v>
      </c>
      <c r="BJ167" s="62">
        <f t="shared" si="146"/>
        <v>164.23448598618114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-2.2737367544323206E-13</v>
      </c>
      <c r="BZ167" s="14">
        <f>BY167*VLOOKUP('Données projet'!$B$12,Paramètres!$A$1:$I$89,3,0)*VLOOKUP('Données projet'!$B$12,Paramètres!$A$1:$I$89,5,0)</f>
        <v>-1.8089849618263545E-13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219.2279518699109</v>
      </c>
      <c r="CE167" s="62">
        <f t="shared" si="148"/>
        <v>219.59799863414099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0.53388196617835282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0.53388196617835282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2">
        <f t="shared" si="140"/>
        <v>24.586929563904505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70">
        <f t="shared" si="110"/>
        <v>493.06231899046742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153.59418465942997</v>
      </c>
      <c r="T168" s="62">
        <f t="shared" si="142"/>
        <v>313.61727210988198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6.8179152166822981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1.2744780111199358E-18</v>
      </c>
      <c r="AC168" s="24">
        <f t="shared" si="163"/>
        <v>6.8179152166822981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2.2737367544323206E-13</v>
      </c>
      <c r="AJ168" s="14">
        <f>AI168*VLOOKUP('Données projet'!$B$10,Paramètres!$A$1:$I$89,3,0)*VLOOKUP('Données projet'!$B$10,Paramètres!$A$1:$I$89,5,0)</f>
        <v>1.3596945791505279E-13</v>
      </c>
      <c r="AK168" s="14">
        <f t="shared" si="164"/>
        <v>1.9708830566360721E-12</v>
      </c>
      <c r="AL168" s="22">
        <f t="shared" si="165"/>
        <v>3.669434796176543E-12</v>
      </c>
      <c r="AM168" s="62">
        <f t="shared" si="113"/>
        <v>293.33333333333701</v>
      </c>
      <c r="AN168" s="62">
        <f ca="1">AVERAGE(OFFSET($AM$3,0,0,'Données projet'!$E$10+1,1))-AVERAGE(OFFSET($H$3,0,0,'Données projet'!$E$10+1,1))</f>
        <v>288.15107951401188</v>
      </c>
      <c r="AO168" s="62">
        <f t="shared" si="144"/>
        <v>217.57508587672368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0.51359213892016342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6.5708376769631503E-20</v>
      </c>
      <c r="AX168" s="23">
        <f t="shared" si="166"/>
        <v>0.51359213892016342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3.4106051316484809E-13</v>
      </c>
      <c r="BE168" s="14">
        <f>BD168*VLOOKUP('Données projet'!$B$11,Paramètres!$A$1:$I$89,3,0)*VLOOKUP('Données projet'!$B$11,Paramètres!$A$1:$I$89,5,0)</f>
        <v>1.5961632016114892E-13</v>
      </c>
      <c r="BF168" s="14">
        <f t="shared" si="167"/>
        <v>2.2708641912150958E-12</v>
      </c>
      <c r="BG168" s="22">
        <f t="shared" si="168"/>
        <v>4.2330868906469593E-12</v>
      </c>
      <c r="BH168" s="62">
        <f t="shared" si="116"/>
        <v>293.33333333333752</v>
      </c>
      <c r="BI168" s="62">
        <f ca="1">AVERAGE(OFFSET($BH$3,0,0,'Données projet'!$E$11+1,1))-AVERAGE(OFFSET($H$3,0,0,'Données projet'!$E$11+1,1))</f>
        <v>221.07273841880755</v>
      </c>
      <c r="BJ168" s="62">
        <f t="shared" si="146"/>
        <v>164.23448598618114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-2.2737367544323206E-13</v>
      </c>
      <c r="BZ168" s="14">
        <f>BY168*VLOOKUP('Données projet'!$B$12,Paramètres!$A$1:$I$89,3,0)*VLOOKUP('Données projet'!$B$12,Paramètres!$A$1:$I$89,5,0)</f>
        <v>-1.8089849618263545E-13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219.2279518699109</v>
      </c>
      <c r="CE168" s="62">
        <f t="shared" si="148"/>
        <v>219.59799863414099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0.52341286645744078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0.52341286645744078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2">
        <f t="shared" si="140"/>
        <v>24.718549958973419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70">
        <f t="shared" si="110"/>
        <v>494.24250784521246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153.59418465942997</v>
      </c>
      <c r="T169" s="62">
        <f t="shared" si="142"/>
        <v>313.61727210988198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6.6842200578008208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9.0119204413605074E-19</v>
      </c>
      <c r="AC169" s="24">
        <f t="shared" si="163"/>
        <v>6.6842200578008208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2.2737367544323206E-13</v>
      </c>
      <c r="AJ169" s="14">
        <f>AI169*VLOOKUP('Données projet'!$B$10,Paramètres!$A$1:$I$89,3,0)*VLOOKUP('Données projet'!$B$10,Paramètres!$A$1:$I$89,5,0)</f>
        <v>1.3596945791505279E-13</v>
      </c>
      <c r="AK169" s="14">
        <f t="shared" si="164"/>
        <v>1.9708830566360721E-12</v>
      </c>
      <c r="AL169" s="22">
        <f t="shared" si="165"/>
        <v>3.669434796176543E-12</v>
      </c>
      <c r="AM169" s="62">
        <f t="shared" si="113"/>
        <v>293.33333333333701</v>
      </c>
      <c r="AN169" s="62">
        <f ca="1">AVERAGE(OFFSET($AM$3,0,0,'Données projet'!$E$10+1,1))-AVERAGE(OFFSET($H$3,0,0,'Données projet'!$E$10+1,1))</f>
        <v>288.15107951401188</v>
      </c>
      <c r="AO169" s="62">
        <f t="shared" si="144"/>
        <v>217.57508587672368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0.50352091033621182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4.6462838794567047E-20</v>
      </c>
      <c r="AX169" s="23">
        <f t="shared" si="166"/>
        <v>0.50352091033621182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3.4106051316484809E-13</v>
      </c>
      <c r="BE169" s="14">
        <f>BD169*VLOOKUP('Données projet'!$B$11,Paramètres!$A$1:$I$89,3,0)*VLOOKUP('Données projet'!$B$11,Paramètres!$A$1:$I$89,5,0)</f>
        <v>1.5961632016114892E-13</v>
      </c>
      <c r="BF169" s="14">
        <f t="shared" si="167"/>
        <v>2.2708641912150958E-12</v>
      </c>
      <c r="BG169" s="22">
        <f t="shared" si="168"/>
        <v>4.2330868906469593E-12</v>
      </c>
      <c r="BH169" s="62">
        <f t="shared" si="116"/>
        <v>293.33333333333752</v>
      </c>
      <c r="BI169" s="62">
        <f ca="1">AVERAGE(OFFSET($BH$3,0,0,'Données projet'!$E$11+1,1))-AVERAGE(OFFSET($H$3,0,0,'Données projet'!$E$11+1,1))</f>
        <v>221.07273841880755</v>
      </c>
      <c r="BJ169" s="62">
        <f t="shared" si="146"/>
        <v>164.23448598618114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-2.2737367544323206E-13</v>
      </c>
      <c r="BZ169" s="14">
        <f>BY169*VLOOKUP('Données projet'!$B$12,Paramètres!$A$1:$I$89,3,0)*VLOOKUP('Données projet'!$B$12,Paramètres!$A$1:$I$89,5,0)</f>
        <v>-1.8089849618263545E-13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219.2279518699109</v>
      </c>
      <c r="CE169" s="62">
        <f t="shared" si="148"/>
        <v>219.59799863414099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0.51314905939653555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0.51314905939653555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2">
        <f t="shared" si="140"/>
        <v>24.850078092947228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70">
        <f t="shared" si="110"/>
        <v>495.42253601188349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153.59418465942997</v>
      </c>
      <c r="T170" s="62">
        <f t="shared" si="142"/>
        <v>313.61727210988198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6.5531465794390149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6.3723900555996792E-19</v>
      </c>
      <c r="AC170" s="24">
        <f t="shared" si="163"/>
        <v>6.5531465794390149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2.2737367544323206E-13</v>
      </c>
      <c r="AJ170" s="14">
        <f>AI170*VLOOKUP('Données projet'!$B$10,Paramètres!$A$1:$I$89,3,0)*VLOOKUP('Données projet'!$B$10,Paramètres!$A$1:$I$89,5,0)</f>
        <v>1.3596945791505279E-13</v>
      </c>
      <c r="AK170" s="14">
        <f t="shared" si="164"/>
        <v>1.9708830566360721E-12</v>
      </c>
      <c r="AL170" s="22">
        <f t="shared" si="165"/>
        <v>3.669434796176543E-12</v>
      </c>
      <c r="AM170" s="62">
        <f t="shared" si="113"/>
        <v>293.33333333333701</v>
      </c>
      <c r="AN170" s="62">
        <f ca="1">AVERAGE(OFFSET($AM$3,0,0,'Données projet'!$E$10+1,1))-AVERAGE(OFFSET($H$3,0,0,'Données projet'!$E$10+1,1))</f>
        <v>288.15107951401188</v>
      </c>
      <c r="AO170" s="62">
        <f t="shared" si="144"/>
        <v>217.57508587672368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0.49364717240194866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3.2854188384815752E-20</v>
      </c>
      <c r="AX170" s="23">
        <f t="shared" si="166"/>
        <v>0.49364717240194866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3.4106051316484809E-13</v>
      </c>
      <c r="BE170" s="14">
        <f>BD170*VLOOKUP('Données projet'!$B$11,Paramètres!$A$1:$I$89,3,0)*VLOOKUP('Données projet'!$B$11,Paramètres!$A$1:$I$89,5,0)</f>
        <v>1.5961632016114892E-13</v>
      </c>
      <c r="BF170" s="14">
        <f t="shared" si="167"/>
        <v>2.2708641912150958E-12</v>
      </c>
      <c r="BG170" s="22">
        <f t="shared" si="168"/>
        <v>4.2330868906469593E-12</v>
      </c>
      <c r="BH170" s="62">
        <f t="shared" si="116"/>
        <v>293.33333333333752</v>
      </c>
      <c r="BI170" s="62">
        <f ca="1">AVERAGE(OFFSET($BH$3,0,0,'Données projet'!$E$11+1,1))-AVERAGE(OFFSET($H$3,0,0,'Données projet'!$E$11+1,1))</f>
        <v>221.07273841880755</v>
      </c>
      <c r="BJ170" s="62">
        <f t="shared" si="146"/>
        <v>164.23448598618114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-2.2737367544323206E-13</v>
      </c>
      <c r="BZ170" s="14">
        <f>BY170*VLOOKUP('Données projet'!$B$12,Paramètres!$A$1:$I$89,3,0)*VLOOKUP('Données projet'!$B$12,Paramètres!$A$1:$I$89,5,0)</f>
        <v>-1.8089849618263545E-13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219.2279518699109</v>
      </c>
      <c r="CE170" s="62">
        <f t="shared" si="148"/>
        <v>219.59799863414099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0.50308651933179049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0.50308651933179049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2">
        <f t="shared" si="140"/>
        <v>24.981514582386627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70">
        <f t="shared" si="110"/>
        <v>496.60240456432382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153.59418465942997</v>
      </c>
      <c r="T171" s="62">
        <f t="shared" si="142"/>
        <v>313.61727210988198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6.4246433720409559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4.5059602206802537E-19</v>
      </c>
      <c r="AC171" s="24">
        <f t="shared" si="163"/>
        <v>6.4246433720409559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2.2737367544323206E-13</v>
      </c>
      <c r="AJ171" s="14">
        <f>AI171*VLOOKUP('Données projet'!$B$10,Paramètres!$A$1:$I$89,3,0)*VLOOKUP('Données projet'!$B$10,Paramètres!$A$1:$I$89,5,0)</f>
        <v>1.3596945791505279E-13</v>
      </c>
      <c r="AK171" s="14">
        <f t="shared" si="164"/>
        <v>1.9708830566360721E-12</v>
      </c>
      <c r="AL171" s="22">
        <f t="shared" si="165"/>
        <v>3.669434796176543E-12</v>
      </c>
      <c r="AM171" s="62">
        <f t="shared" si="113"/>
        <v>293.33333333333701</v>
      </c>
      <c r="AN171" s="62">
        <f ca="1">AVERAGE(OFFSET($AM$3,0,0,'Données projet'!$E$10+1,1))-AVERAGE(OFFSET($H$3,0,0,'Données projet'!$E$10+1,1))</f>
        <v>288.15107951401188</v>
      </c>
      <c r="AO171" s="62">
        <f t="shared" si="144"/>
        <v>217.57508587672368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0.48396705244619093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2.3231419397283523E-20</v>
      </c>
      <c r="AX171" s="23">
        <f t="shared" si="166"/>
        <v>0.48396705244619093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3.4106051316484809E-13</v>
      </c>
      <c r="BE171" s="14">
        <f>BD171*VLOOKUP('Données projet'!$B$11,Paramètres!$A$1:$I$89,3,0)*VLOOKUP('Données projet'!$B$11,Paramètres!$A$1:$I$89,5,0)</f>
        <v>1.5961632016114892E-13</v>
      </c>
      <c r="BF171" s="14">
        <f t="shared" si="167"/>
        <v>2.2708641912150958E-12</v>
      </c>
      <c r="BG171" s="22">
        <f t="shared" si="168"/>
        <v>4.2330868906469593E-12</v>
      </c>
      <c r="BH171" s="62">
        <f t="shared" si="116"/>
        <v>293.33333333333752</v>
      </c>
      <c r="BI171" s="62">
        <f ca="1">AVERAGE(OFFSET($BH$3,0,0,'Données projet'!$E$11+1,1))-AVERAGE(OFFSET($H$3,0,0,'Données projet'!$E$11+1,1))</f>
        <v>221.07273841880755</v>
      </c>
      <c r="BJ171" s="62">
        <f t="shared" si="146"/>
        <v>164.23448598618114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-2.2737367544323206E-13</v>
      </c>
      <c r="BZ171" s="14">
        <f>BY171*VLOOKUP('Données projet'!$B$12,Paramètres!$A$1:$I$89,3,0)*VLOOKUP('Données projet'!$B$12,Paramètres!$A$1:$I$89,5,0)</f>
        <v>-1.8089849618263545E-13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219.2279518699109</v>
      </c>
      <c r="CE171" s="62">
        <f t="shared" si="148"/>
        <v>219.59799863414099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0.49322129954017169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0.49322129954017169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2">
        <f t="shared" si="140"/>
        <v>25.112860036087632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70">
        <f t="shared" si="110"/>
        <v>497.78211456285305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153.59418465942997</v>
      </c>
      <c r="T172" s="62">
        <f t="shared" si="142"/>
        <v>313.61727210988198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6.2986600341607559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3.1861950277998396E-19</v>
      </c>
      <c r="AC172" s="24">
        <f t="shared" si="163"/>
        <v>6.2986600341607559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2.2737367544323206E-13</v>
      </c>
      <c r="AJ172" s="14">
        <f>AI172*VLOOKUP('Données projet'!$B$10,Paramètres!$A$1:$I$89,3,0)*VLOOKUP('Données projet'!$B$10,Paramètres!$A$1:$I$89,5,0)</f>
        <v>1.3596945791505279E-13</v>
      </c>
      <c r="AK172" s="14">
        <f t="shared" si="164"/>
        <v>1.9708830566360721E-12</v>
      </c>
      <c r="AL172" s="22">
        <f t="shared" si="165"/>
        <v>3.669434796176543E-12</v>
      </c>
      <c r="AM172" s="62">
        <f t="shared" si="113"/>
        <v>293.33333333333701</v>
      </c>
      <c r="AN172" s="62">
        <f ca="1">AVERAGE(OFFSET($AM$3,0,0,'Données projet'!$E$10+1,1))-AVERAGE(OFFSET($H$3,0,0,'Données projet'!$E$10+1,1))</f>
        <v>288.15107951401188</v>
      </c>
      <c r="AO172" s="62">
        <f t="shared" si="144"/>
        <v>217.57508587672368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0.47447675373847542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1.6427094192407876E-20</v>
      </c>
      <c r="AX172" s="23">
        <f t="shared" si="166"/>
        <v>0.47447675373847542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3.4106051316484809E-13</v>
      </c>
      <c r="BE172" s="14">
        <f>BD172*VLOOKUP('Données projet'!$B$11,Paramètres!$A$1:$I$89,3,0)*VLOOKUP('Données projet'!$B$11,Paramètres!$A$1:$I$89,5,0)</f>
        <v>1.5961632016114892E-13</v>
      </c>
      <c r="BF172" s="14">
        <f t="shared" si="167"/>
        <v>2.2708641912150958E-12</v>
      </c>
      <c r="BG172" s="22">
        <f t="shared" si="168"/>
        <v>4.2330868906469593E-12</v>
      </c>
      <c r="BH172" s="62">
        <f t="shared" si="116"/>
        <v>293.33333333333752</v>
      </c>
      <c r="BI172" s="62">
        <f ca="1">AVERAGE(OFFSET($BH$3,0,0,'Données projet'!$E$11+1,1))-AVERAGE(OFFSET($H$3,0,0,'Données projet'!$E$11+1,1))</f>
        <v>221.07273841880755</v>
      </c>
      <c r="BJ172" s="62">
        <f t="shared" si="146"/>
        <v>164.23448598618114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-2.2737367544323206E-13</v>
      </c>
      <c r="BZ172" s="14">
        <f>BY172*VLOOKUP('Données projet'!$B$12,Paramètres!$A$1:$I$89,3,0)*VLOOKUP('Données projet'!$B$12,Paramètres!$A$1:$I$89,5,0)</f>
        <v>-1.8089849618263545E-13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219.2279518699109</v>
      </c>
      <c r="CE172" s="62">
        <f t="shared" si="148"/>
        <v>219.59799863414099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0.4835495306914766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0.4835495306914766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2">
        <f t="shared" si="140"/>
        <v>25.244115055224771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70">
        <f t="shared" si="110"/>
        <v>498.96166705451697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153.59418465942997</v>
      </c>
      <c r="T173" s="62">
        <f t="shared" si="142"/>
        <v>313.61727210988198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6.1751471526941382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2.2529801103401269E-19</v>
      </c>
      <c r="AC173" s="24">
        <f t="shared" si="163"/>
        <v>6.1751471526941382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2.2737367544323206E-13</v>
      </c>
      <c r="AJ173" s="14">
        <f>AI173*VLOOKUP('Données projet'!$B$10,Paramètres!$A$1:$I$89,3,0)*VLOOKUP('Données projet'!$B$10,Paramètres!$A$1:$I$89,5,0)</f>
        <v>1.3596945791505279E-13</v>
      </c>
      <c r="AK173" s="14">
        <f t="shared" si="164"/>
        <v>1.9708830566360721E-12</v>
      </c>
      <c r="AL173" s="22">
        <f t="shared" si="165"/>
        <v>3.669434796176543E-12</v>
      </c>
      <c r="AM173" s="62">
        <f t="shared" si="113"/>
        <v>293.33333333333701</v>
      </c>
      <c r="AN173" s="62">
        <f ca="1">AVERAGE(OFFSET($AM$3,0,0,'Données projet'!$E$10+1,1))-AVERAGE(OFFSET($H$3,0,0,'Données projet'!$E$10+1,1))</f>
        <v>288.15107951401188</v>
      </c>
      <c r="AO173" s="62">
        <f t="shared" si="144"/>
        <v>217.57508587672368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0.46517255399990759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1.1615709698641762E-20</v>
      </c>
      <c r="AX173" s="23">
        <f t="shared" si="166"/>
        <v>0.46517255399990759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3.4106051316484809E-13</v>
      </c>
      <c r="BE173" s="14">
        <f>BD173*VLOOKUP('Données projet'!$B$11,Paramètres!$A$1:$I$89,3,0)*VLOOKUP('Données projet'!$B$11,Paramètres!$A$1:$I$89,5,0)</f>
        <v>1.5961632016114892E-13</v>
      </c>
      <c r="BF173" s="14">
        <f t="shared" si="167"/>
        <v>2.2708641912150958E-12</v>
      </c>
      <c r="BG173" s="22">
        <f t="shared" si="168"/>
        <v>4.2330868906469593E-12</v>
      </c>
      <c r="BH173" s="62">
        <f t="shared" si="116"/>
        <v>293.33333333333752</v>
      </c>
      <c r="BI173" s="62">
        <f ca="1">AVERAGE(OFFSET($BH$3,0,0,'Données projet'!$E$11+1,1))-AVERAGE(OFFSET($H$3,0,0,'Données projet'!$E$11+1,1))</f>
        <v>221.07273841880755</v>
      </c>
      <c r="BJ173" s="62">
        <f t="shared" si="146"/>
        <v>164.23448598618114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-2.2737367544323206E-13</v>
      </c>
      <c r="BZ173" s="14">
        <f>BY173*VLOOKUP('Données projet'!$B$12,Paramètres!$A$1:$I$89,3,0)*VLOOKUP('Données projet'!$B$12,Paramètres!$A$1:$I$89,5,0)</f>
        <v>-1.8089849618263545E-13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219.2279518699109</v>
      </c>
      <c r="CE173" s="62">
        <f t="shared" si="148"/>
        <v>219.59799863414099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0.47406741933070795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0.47406741933070795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2">
        <f t="shared" si="140"/>
        <v>25.375280233490745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70">
        <f t="shared" si="110"/>
        <v>500.1410630733302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153.59418465942997</v>
      </c>
      <c r="T174" s="62">
        <f t="shared" si="142"/>
        <v>313.61727210988198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6.054056283497661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1.5930975138999198E-19</v>
      </c>
      <c r="AC174" s="24">
        <f t="shared" si="163"/>
        <v>6.054056283497661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2.2737367544323206E-13</v>
      </c>
      <c r="AJ174" s="14">
        <f>AI174*VLOOKUP('Données projet'!$B$10,Paramètres!$A$1:$I$89,3,0)*VLOOKUP('Données projet'!$B$10,Paramètres!$A$1:$I$89,5,0)</f>
        <v>1.3596945791505279E-13</v>
      </c>
      <c r="AK174" s="14">
        <f t="shared" si="164"/>
        <v>1.9708830566360721E-12</v>
      </c>
      <c r="AL174" s="22">
        <f t="shared" si="165"/>
        <v>3.669434796176543E-12</v>
      </c>
      <c r="AM174" s="62">
        <f t="shared" si="113"/>
        <v>293.33333333333701</v>
      </c>
      <c r="AN174" s="62">
        <f ca="1">AVERAGE(OFFSET($AM$3,0,0,'Données projet'!$E$10+1,1))-AVERAGE(OFFSET($H$3,0,0,'Données projet'!$E$10+1,1))</f>
        <v>288.15107951401188</v>
      </c>
      <c r="AO174" s="62">
        <f t="shared" si="144"/>
        <v>217.57508587672368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0.45605080394321162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8.2135470962039379E-21</v>
      </c>
      <c r="AX174" s="23">
        <f t="shared" si="166"/>
        <v>0.45605080394321162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3.4106051316484809E-13</v>
      </c>
      <c r="BE174" s="14">
        <f>BD174*VLOOKUP('Données projet'!$B$11,Paramètres!$A$1:$I$89,3,0)*VLOOKUP('Données projet'!$B$11,Paramètres!$A$1:$I$89,5,0)</f>
        <v>1.5961632016114892E-13</v>
      </c>
      <c r="BF174" s="14">
        <f t="shared" si="167"/>
        <v>2.2708641912150958E-12</v>
      </c>
      <c r="BG174" s="22">
        <f t="shared" si="168"/>
        <v>4.2330868906469593E-12</v>
      </c>
      <c r="BH174" s="62">
        <f t="shared" si="116"/>
        <v>293.33333333333752</v>
      </c>
      <c r="BI174" s="62">
        <f ca="1">AVERAGE(OFFSET($BH$3,0,0,'Données projet'!$E$11+1,1))-AVERAGE(OFFSET($H$3,0,0,'Données projet'!$E$11+1,1))</f>
        <v>221.07273841880755</v>
      </c>
      <c r="BJ174" s="62">
        <f t="shared" si="146"/>
        <v>164.23448598618114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-2.2737367544323206E-13</v>
      </c>
      <c r="BZ174" s="14">
        <f>BY174*VLOOKUP('Données projet'!$B$12,Paramètres!$A$1:$I$89,3,0)*VLOOKUP('Données projet'!$B$12,Paramètres!$A$1:$I$89,5,0)</f>
        <v>-1.8089849618263545E-13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219.2279518699109</v>
      </c>
      <c r="CE174" s="62">
        <f t="shared" si="148"/>
        <v>219.59799863414099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0.46477124639020712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0.46477124639020712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2">
        <f t="shared" si="140"/>
        <v>25.506356157232712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70">
        <f t="shared" si="110"/>
        <v>501.32030364051411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153.59418465942997</v>
      </c>
      <c r="T175" s="62">
        <f t="shared" si="142"/>
        <v>313.61727210988198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5.9353399323879898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1.1264900551700634E-19</v>
      </c>
      <c r="AC175" s="24">
        <f t="shared" si="163"/>
        <v>5.9353399323879898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2.2737367544323206E-13</v>
      </c>
      <c r="AJ175" s="14">
        <f>AI175*VLOOKUP('Données projet'!$B$10,Paramètres!$A$1:$I$89,3,0)*VLOOKUP('Données projet'!$B$10,Paramètres!$A$1:$I$89,5,0)</f>
        <v>1.3596945791505279E-13</v>
      </c>
      <c r="AK175" s="14">
        <f t="shared" si="164"/>
        <v>1.9708830566360721E-12</v>
      </c>
      <c r="AL175" s="22">
        <f t="shared" si="165"/>
        <v>3.669434796176543E-12</v>
      </c>
      <c r="AM175" s="62">
        <f t="shared" si="113"/>
        <v>293.33333333333701</v>
      </c>
      <c r="AN175" s="62">
        <f ca="1">AVERAGE(OFFSET($AM$3,0,0,'Données projet'!$E$10+1,1))-AVERAGE(OFFSET($H$3,0,0,'Données projet'!$E$10+1,1))</f>
        <v>288.15107951401188</v>
      </c>
      <c r="AO175" s="62">
        <f t="shared" si="144"/>
        <v>217.57508587672368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0.44710792584140929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5.8078548493208808E-21</v>
      </c>
      <c r="AX175" s="23">
        <f t="shared" si="166"/>
        <v>0.44710792584140929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3.4106051316484809E-13</v>
      </c>
      <c r="BE175" s="14">
        <f>BD175*VLOOKUP('Données projet'!$B$11,Paramètres!$A$1:$I$89,3,0)*VLOOKUP('Données projet'!$B$11,Paramètres!$A$1:$I$89,5,0)</f>
        <v>1.5961632016114892E-13</v>
      </c>
      <c r="BF175" s="14">
        <f t="shared" si="167"/>
        <v>2.2708641912150958E-12</v>
      </c>
      <c r="BG175" s="22">
        <f t="shared" si="168"/>
        <v>4.2330868906469593E-12</v>
      </c>
      <c r="BH175" s="62">
        <f t="shared" si="116"/>
        <v>293.33333333333752</v>
      </c>
      <c r="BI175" s="62">
        <f ca="1">AVERAGE(OFFSET($BH$3,0,0,'Données projet'!$E$11+1,1))-AVERAGE(OFFSET($H$3,0,0,'Données projet'!$E$11+1,1))</f>
        <v>221.07273841880755</v>
      </c>
      <c r="BJ175" s="62">
        <f t="shared" si="146"/>
        <v>164.23448598618114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-2.2737367544323206E-13</v>
      </c>
      <c r="BZ175" s="14">
        <f>BY175*VLOOKUP('Données projet'!$B$12,Paramètres!$A$1:$I$89,3,0)*VLOOKUP('Données projet'!$B$12,Paramètres!$A$1:$I$89,5,0)</f>
        <v>-1.8089849618263545E-13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219.2279518699109</v>
      </c>
      <c r="CE175" s="62">
        <f t="shared" si="148"/>
        <v>219.59799863414099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0.45565736573096388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0.45565736573096388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2">
        <f t="shared" si="140"/>
        <v>25.637343405585391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70">
        <f t="shared" si="110"/>
        <v>502.49938976472833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153.59418465942997</v>
      </c>
      <c r="T176" s="62">
        <f t="shared" si="142"/>
        <v>313.61727210988198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5.8189515365137554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7.965487569499599E-20</v>
      </c>
      <c r="AC176" s="24">
        <f t="shared" si="163"/>
        <v>5.8189515365137554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2.2737367544323206E-13</v>
      </c>
      <c r="AJ176" s="14">
        <f>AI176*VLOOKUP('Données projet'!$B$10,Paramètres!$A$1:$I$89,3,0)*VLOOKUP('Données projet'!$B$10,Paramètres!$A$1:$I$89,5,0)</f>
        <v>1.3596945791505279E-13</v>
      </c>
      <c r="AK176" s="14">
        <f t="shared" si="164"/>
        <v>1.9708830566360721E-12</v>
      </c>
      <c r="AL176" s="22">
        <f t="shared" si="165"/>
        <v>3.669434796176543E-12</v>
      </c>
      <c r="AM176" s="62">
        <f t="shared" si="113"/>
        <v>293.33333333333701</v>
      </c>
      <c r="AN176" s="62">
        <f ca="1">AVERAGE(OFFSET($AM$3,0,0,'Données projet'!$E$10+1,1))-AVERAGE(OFFSET($H$3,0,0,'Données projet'!$E$10+1,1))</f>
        <v>288.15107951401188</v>
      </c>
      <c r="AO176" s="62">
        <f t="shared" si="144"/>
        <v>217.57508587672368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0.43834041212456626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4.106773548101969E-21</v>
      </c>
      <c r="AX176" s="23">
        <f t="shared" si="166"/>
        <v>0.43834041212456626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3.4106051316484809E-13</v>
      </c>
      <c r="BE176" s="14">
        <f>BD176*VLOOKUP('Données projet'!$B$11,Paramètres!$A$1:$I$89,3,0)*VLOOKUP('Données projet'!$B$11,Paramètres!$A$1:$I$89,5,0)</f>
        <v>1.5961632016114892E-13</v>
      </c>
      <c r="BF176" s="14">
        <f t="shared" si="167"/>
        <v>2.2708641912150958E-12</v>
      </c>
      <c r="BG176" s="22">
        <f t="shared" si="168"/>
        <v>4.2330868906469593E-12</v>
      </c>
      <c r="BH176" s="62">
        <f t="shared" si="116"/>
        <v>293.33333333333752</v>
      </c>
      <c r="BI176" s="62">
        <f ca="1">AVERAGE(OFFSET($BH$3,0,0,'Données projet'!$E$11+1,1))-AVERAGE(OFFSET($H$3,0,0,'Données projet'!$E$11+1,1))</f>
        <v>221.07273841880755</v>
      </c>
      <c r="BJ176" s="62">
        <f t="shared" si="146"/>
        <v>164.23448598618114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-2.2737367544323206E-13</v>
      </c>
      <c r="BZ176" s="14">
        <f>BY176*VLOOKUP('Données projet'!$B$12,Paramètres!$A$1:$I$89,3,0)*VLOOKUP('Données projet'!$B$12,Paramètres!$A$1:$I$89,5,0)</f>
        <v>-1.8089849618263545E-13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219.2279518699109</v>
      </c>
      <c r="CE176" s="62">
        <f t="shared" si="148"/>
        <v>219.59799863414099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0.4467222027125301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0.4467222027125301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2">
        <f t="shared" si="140"/>
        <v>25.768242550600831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70">
        <f t="shared" si="110"/>
        <v>503.67832244229692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153.59418465942997</v>
      </c>
      <c r="T177" s="62">
        <f t="shared" si="142"/>
        <v>313.61727210988198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5.7048454460927029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5.6324502758503171E-20</v>
      </c>
      <c r="AC177" s="24">
        <f t="shared" si="163"/>
        <v>5.7048454460927029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2.2737367544323206E-13</v>
      </c>
      <c r="AJ177" s="14">
        <f>AI177*VLOOKUP('Données projet'!$B$10,Paramètres!$A$1:$I$89,3,0)*VLOOKUP('Données projet'!$B$10,Paramètres!$A$1:$I$89,5,0)</f>
        <v>1.3596945791505279E-13</v>
      </c>
      <c r="AK177" s="14">
        <f t="shared" si="164"/>
        <v>1.9708830566360721E-12</v>
      </c>
      <c r="AL177" s="22">
        <f t="shared" si="165"/>
        <v>3.669434796176543E-12</v>
      </c>
      <c r="AM177" s="62">
        <f t="shared" si="113"/>
        <v>293.33333333333701</v>
      </c>
      <c r="AN177" s="62">
        <f ca="1">AVERAGE(OFFSET($AM$3,0,0,'Données projet'!$E$10+1,1))-AVERAGE(OFFSET($H$3,0,0,'Données projet'!$E$10+1,1))</f>
        <v>288.15107951401188</v>
      </c>
      <c r="AO177" s="62">
        <f t="shared" si="144"/>
        <v>217.57508587672368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0.42974482400405517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2.9039274246604404E-21</v>
      </c>
      <c r="AX177" s="23">
        <f t="shared" si="166"/>
        <v>0.42974482400405517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3.4106051316484809E-13</v>
      </c>
      <c r="BE177" s="14">
        <f>BD177*VLOOKUP('Données projet'!$B$11,Paramètres!$A$1:$I$89,3,0)*VLOOKUP('Données projet'!$B$11,Paramètres!$A$1:$I$89,5,0)</f>
        <v>1.5961632016114892E-13</v>
      </c>
      <c r="BF177" s="14">
        <f t="shared" si="167"/>
        <v>2.2708641912150958E-12</v>
      </c>
      <c r="BG177" s="22">
        <f t="shared" si="168"/>
        <v>4.2330868906469593E-12</v>
      </c>
      <c r="BH177" s="62">
        <f t="shared" si="116"/>
        <v>293.33333333333752</v>
      </c>
      <c r="BI177" s="62">
        <f ca="1">AVERAGE(OFFSET($BH$3,0,0,'Données projet'!$E$11+1,1))-AVERAGE(OFFSET($H$3,0,0,'Données projet'!$E$11+1,1))</f>
        <v>221.07273841880755</v>
      </c>
      <c r="BJ177" s="62">
        <f t="shared" si="146"/>
        <v>164.23448598618114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-2.2737367544323206E-13</v>
      </c>
      <c r="BZ177" s="14">
        <f>BY177*VLOOKUP('Données projet'!$B$12,Paramètres!$A$1:$I$89,3,0)*VLOOKUP('Données projet'!$B$12,Paramètres!$A$1:$I$89,5,0)</f>
        <v>-1.8089849618263545E-13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219.2279518699109</v>
      </c>
      <c r="CE177" s="62">
        <f t="shared" si="148"/>
        <v>219.59799863414099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0.4379622527909765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0.4379622527909765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2">
        <f t="shared" si="140"/>
        <v>25.89905415737541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70">
        <f t="shared" si="110"/>
        <v>504.85710265742932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153.59418465942997</v>
      </c>
      <c r="T178" s="62">
        <f t="shared" si="142"/>
        <v>313.61727210988198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5.5929769065069639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3.9827437847497995E-20</v>
      </c>
      <c r="AC178" s="24">
        <f t="shared" si="163"/>
        <v>5.5929769065069639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2.2737367544323206E-13</v>
      </c>
      <c r="AJ178" s="14">
        <f>AI178*VLOOKUP('Données projet'!$B$10,Paramètres!$A$1:$I$89,3,0)*VLOOKUP('Données projet'!$B$10,Paramètres!$A$1:$I$89,5,0)</f>
        <v>1.3596945791505279E-13</v>
      </c>
      <c r="AK178" s="14">
        <f t="shared" si="164"/>
        <v>1.9708830566360721E-12</v>
      </c>
      <c r="AL178" s="22">
        <f t="shared" si="165"/>
        <v>3.669434796176543E-12</v>
      </c>
      <c r="AM178" s="62">
        <f t="shared" si="113"/>
        <v>293.33333333333701</v>
      </c>
      <c r="AN178" s="62">
        <f ca="1">AVERAGE(OFFSET($AM$3,0,0,'Données projet'!$E$10+1,1))-AVERAGE(OFFSET($H$3,0,0,'Données projet'!$E$10+1,1))</f>
        <v>288.15107951401188</v>
      </c>
      <c r="AO178" s="62">
        <f t="shared" si="144"/>
        <v>217.57508587672368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0.42131779012379622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2.0533867740509845E-21</v>
      </c>
      <c r="AX178" s="23">
        <f t="shared" si="166"/>
        <v>0.42131779012379622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3.4106051316484809E-13</v>
      </c>
      <c r="BE178" s="14">
        <f>BD178*VLOOKUP('Données projet'!$B$11,Paramètres!$A$1:$I$89,3,0)*VLOOKUP('Données projet'!$B$11,Paramètres!$A$1:$I$89,5,0)</f>
        <v>1.5961632016114892E-13</v>
      </c>
      <c r="BF178" s="14">
        <f t="shared" si="167"/>
        <v>2.2708641912150958E-12</v>
      </c>
      <c r="BG178" s="22">
        <f t="shared" si="168"/>
        <v>4.2330868906469593E-12</v>
      </c>
      <c r="BH178" s="62">
        <f t="shared" si="116"/>
        <v>293.33333333333752</v>
      </c>
      <c r="BI178" s="62">
        <f ca="1">AVERAGE(OFFSET($BH$3,0,0,'Données projet'!$E$11+1,1))-AVERAGE(OFFSET($H$3,0,0,'Données projet'!$E$11+1,1))</f>
        <v>221.07273841880755</v>
      </c>
      <c r="BJ178" s="62">
        <f t="shared" si="146"/>
        <v>164.23448598618114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-2.2737367544323206E-13</v>
      </c>
      <c r="BZ178" s="14">
        <f>BY178*VLOOKUP('Données projet'!$B$12,Paramètres!$A$1:$I$89,3,0)*VLOOKUP('Données projet'!$B$12,Paramètres!$A$1:$I$89,5,0)</f>
        <v>-1.8089849618263545E-13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219.2279518699109</v>
      </c>
      <c r="CE178" s="62">
        <f t="shared" si="148"/>
        <v>219.59799863414099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0.4293740801443427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0.4293740801443427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2">
        <f t="shared" si="140"/>
        <v>26.029778784173445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70">
        <f t="shared" si="110"/>
        <v>506.03573138243593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153.59418465942997</v>
      </c>
      <c r="T179" s="62">
        <f t="shared" si="142"/>
        <v>313.61727210988198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5.4833020407494297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2.8162251379251586E-20</v>
      </c>
      <c r="AC179" s="24">
        <f t="shared" si="163"/>
        <v>5.4833020407494297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2.2737367544323206E-13</v>
      </c>
      <c r="AJ179" s="14">
        <f>AI179*VLOOKUP('Données projet'!$B$10,Paramètres!$A$1:$I$89,3,0)*VLOOKUP('Données projet'!$B$10,Paramètres!$A$1:$I$89,5,0)</f>
        <v>1.3596945791505279E-13</v>
      </c>
      <c r="AK179" s="14">
        <f t="shared" si="164"/>
        <v>1.9708830566360721E-12</v>
      </c>
      <c r="AL179" s="22">
        <f t="shared" si="165"/>
        <v>3.669434796176543E-12</v>
      </c>
      <c r="AM179" s="62">
        <f t="shared" si="113"/>
        <v>293.33333333333701</v>
      </c>
      <c r="AN179" s="62">
        <f ca="1">AVERAGE(OFFSET($AM$3,0,0,'Données projet'!$E$10+1,1))-AVERAGE(OFFSET($H$3,0,0,'Données projet'!$E$10+1,1))</f>
        <v>288.15107951401188</v>
      </c>
      <c r="AO179" s="62">
        <f t="shared" si="144"/>
        <v>217.57508587672368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0.41305600523794606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1.4519637123302202E-21</v>
      </c>
      <c r="AX179" s="23">
        <f t="shared" si="166"/>
        <v>0.41305600523794606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3.4106051316484809E-13</v>
      </c>
      <c r="BE179" s="14">
        <f>BD179*VLOOKUP('Données projet'!$B$11,Paramètres!$A$1:$I$89,3,0)*VLOOKUP('Données projet'!$B$11,Paramètres!$A$1:$I$89,5,0)</f>
        <v>1.5961632016114892E-13</v>
      </c>
      <c r="BF179" s="14">
        <f t="shared" si="167"/>
        <v>2.2708641912150958E-12</v>
      </c>
      <c r="BG179" s="22">
        <f t="shared" si="168"/>
        <v>4.2330868906469593E-12</v>
      </c>
      <c r="BH179" s="62">
        <f t="shared" si="116"/>
        <v>293.33333333333752</v>
      </c>
      <c r="BI179" s="62">
        <f ca="1">AVERAGE(OFFSET($BH$3,0,0,'Données projet'!$E$11+1,1))-AVERAGE(OFFSET($H$3,0,0,'Données projet'!$E$11+1,1))</f>
        <v>221.07273841880755</v>
      </c>
      <c r="BJ179" s="62">
        <f t="shared" si="146"/>
        <v>164.23448598618114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-2.2737367544323206E-13</v>
      </c>
      <c r="BZ179" s="14">
        <f>BY179*VLOOKUP('Données projet'!$B$12,Paramètres!$A$1:$I$89,3,0)*VLOOKUP('Données projet'!$B$12,Paramètres!$A$1:$I$89,5,0)</f>
        <v>-1.8089849618263545E-13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219.2279518699109</v>
      </c>
      <c r="CE179" s="62">
        <f t="shared" si="148"/>
        <v>219.59799863414099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0.42095431632504132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0.42095431632504132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2">
        <f t="shared" si="140"/>
        <v>26.160416982548288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70">
        <f t="shared" si="110"/>
        <v>507.21420957793879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153.59418465942997</v>
      </c>
      <c r="T180" s="62">
        <f t="shared" si="142"/>
        <v>313.61727210988198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5.3757778322143377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1.9913718923748998E-20</v>
      </c>
      <c r="AC180" s="24">
        <f t="shared" si="163"/>
        <v>5.3757778322143377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2.2737367544323206E-13</v>
      </c>
      <c r="AJ180" s="14">
        <f>AI180*VLOOKUP('Données projet'!$B$10,Paramètres!$A$1:$I$89,3,0)*VLOOKUP('Données projet'!$B$10,Paramètres!$A$1:$I$89,5,0)</f>
        <v>1.3596945791505279E-13</v>
      </c>
      <c r="AK180" s="14">
        <f t="shared" si="164"/>
        <v>1.9708830566360721E-12</v>
      </c>
      <c r="AL180" s="22">
        <f t="shared" si="165"/>
        <v>3.669434796176543E-12</v>
      </c>
      <c r="AM180" s="62">
        <f t="shared" si="113"/>
        <v>293.33333333333701</v>
      </c>
      <c r="AN180" s="62">
        <f ca="1">AVERAGE(OFFSET($AM$3,0,0,'Données projet'!$E$10+1,1))-AVERAGE(OFFSET($H$3,0,0,'Données projet'!$E$10+1,1))</f>
        <v>288.15107951401188</v>
      </c>
      <c r="AO180" s="62">
        <f t="shared" si="144"/>
        <v>217.57508587672368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0.40495622891451621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1.0266933870254922E-21</v>
      </c>
      <c r="AX180" s="23">
        <f t="shared" si="166"/>
        <v>0.40495622891451621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3.4106051316484809E-13</v>
      </c>
      <c r="BE180" s="14">
        <f>BD180*VLOOKUP('Données projet'!$B$11,Paramètres!$A$1:$I$89,3,0)*VLOOKUP('Données projet'!$B$11,Paramètres!$A$1:$I$89,5,0)</f>
        <v>1.5961632016114892E-13</v>
      </c>
      <c r="BF180" s="14">
        <f t="shared" si="167"/>
        <v>2.2708641912150958E-12</v>
      </c>
      <c r="BG180" s="22">
        <f t="shared" si="168"/>
        <v>4.2330868906469593E-12</v>
      </c>
      <c r="BH180" s="62">
        <f t="shared" si="116"/>
        <v>293.33333333333752</v>
      </c>
      <c r="BI180" s="62">
        <f ca="1">AVERAGE(OFFSET($BH$3,0,0,'Données projet'!$E$11+1,1))-AVERAGE(OFFSET($H$3,0,0,'Données projet'!$E$11+1,1))</f>
        <v>221.07273841880755</v>
      </c>
      <c r="BJ180" s="62">
        <f t="shared" si="146"/>
        <v>164.23448598618114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-2.2737367544323206E-13</v>
      </c>
      <c r="BZ180" s="14">
        <f>BY180*VLOOKUP('Données projet'!$B$12,Paramètres!$A$1:$I$89,3,0)*VLOOKUP('Données projet'!$B$12,Paramètres!$A$1:$I$89,5,0)</f>
        <v>-1.8089849618263545E-13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219.2279518699109</v>
      </c>
      <c r="CE180" s="62">
        <f t="shared" si="148"/>
        <v>219.59799863414099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0.4126996589386876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0.4126996589386876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2">
        <f t="shared" si="140"/>
        <v>26.290969297460425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70">
        <f t="shared" si="110"/>
        <v>508.39253819307743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153.59418465942997</v>
      </c>
      <c r="T181" s="62">
        <f t="shared" si="142"/>
        <v>313.61727210988198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5.2703621078253278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1.4081125689625793E-20</v>
      </c>
      <c r="AC181" s="24">
        <f t="shared" si="163"/>
        <v>5.2703621078253278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2.2737367544323206E-13</v>
      </c>
      <c r="AJ181" s="14">
        <f>AI181*VLOOKUP('Données projet'!$B$10,Paramètres!$A$1:$I$89,3,0)*VLOOKUP('Données projet'!$B$10,Paramètres!$A$1:$I$89,5,0)</f>
        <v>1.3596945791505279E-13</v>
      </c>
      <c r="AK181" s="14">
        <f t="shared" si="164"/>
        <v>1.9708830566360721E-12</v>
      </c>
      <c r="AL181" s="22">
        <f t="shared" si="165"/>
        <v>3.669434796176543E-12</v>
      </c>
      <c r="AM181" s="62">
        <f t="shared" si="113"/>
        <v>293.33333333333701</v>
      </c>
      <c r="AN181" s="62">
        <f ca="1">AVERAGE(OFFSET($AM$3,0,0,'Données projet'!$E$10+1,1))-AVERAGE(OFFSET($H$3,0,0,'Données projet'!$E$10+1,1))</f>
        <v>288.15107951401188</v>
      </c>
      <c r="AO181" s="62">
        <f t="shared" si="144"/>
        <v>217.57508587672368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0.39701528426441307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7.259818561651101E-22</v>
      </c>
      <c r="AX181" s="23">
        <f t="shared" si="166"/>
        <v>0.39701528426441307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3.4106051316484809E-13</v>
      </c>
      <c r="BE181" s="14">
        <f>BD181*VLOOKUP('Données projet'!$B$11,Paramètres!$A$1:$I$89,3,0)*VLOOKUP('Données projet'!$B$11,Paramètres!$A$1:$I$89,5,0)</f>
        <v>1.5961632016114892E-13</v>
      </c>
      <c r="BF181" s="14">
        <f t="shared" si="167"/>
        <v>2.2708641912150958E-12</v>
      </c>
      <c r="BG181" s="22">
        <f t="shared" si="168"/>
        <v>4.2330868906469593E-12</v>
      </c>
      <c r="BH181" s="62">
        <f t="shared" si="116"/>
        <v>293.33333333333752</v>
      </c>
      <c r="BI181" s="62">
        <f ca="1">AVERAGE(OFFSET($BH$3,0,0,'Données projet'!$E$11+1,1))-AVERAGE(OFFSET($H$3,0,0,'Données projet'!$E$11+1,1))</f>
        <v>221.07273841880755</v>
      </c>
      <c r="BJ181" s="62">
        <f t="shared" si="146"/>
        <v>164.23448598618114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-2.2737367544323206E-13</v>
      </c>
      <c r="BZ181" s="14">
        <f>BY181*VLOOKUP('Données projet'!$B$12,Paramètres!$A$1:$I$89,3,0)*VLOOKUP('Données projet'!$B$12,Paramètres!$A$1:$I$89,5,0)</f>
        <v>-1.8089849618263545E-13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219.2279518699109</v>
      </c>
      <c r="CE181" s="62">
        <f t="shared" si="148"/>
        <v>219.59799863414099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0.40460687034883641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0.40460687034883641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2">
        <f t="shared" si="140"/>
        <v>26.421436267392767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70">
        <f t="shared" si="110"/>
        <v>509.57071816570965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153.59418465942997</v>
      </c>
      <c r="T182" s="62">
        <f t="shared" si="142"/>
        <v>313.61727210988198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5.1670135214943436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9.9568594618744988E-21</v>
      </c>
      <c r="AC182" s="24">
        <f t="shared" si="163"/>
        <v>5.1670135214943436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2.2737367544323206E-13</v>
      </c>
      <c r="AJ182" s="14">
        <f>AI182*VLOOKUP('Données projet'!$B$10,Paramètres!$A$1:$I$89,3,0)*VLOOKUP('Données projet'!$B$10,Paramètres!$A$1:$I$89,5,0)</f>
        <v>1.3596945791505279E-13</v>
      </c>
      <c r="AK182" s="14">
        <f t="shared" si="164"/>
        <v>1.9708830566360721E-12</v>
      </c>
      <c r="AL182" s="22">
        <f t="shared" si="165"/>
        <v>3.669434796176543E-12</v>
      </c>
      <c r="AM182" s="62">
        <f t="shared" si="113"/>
        <v>293.33333333333701</v>
      </c>
      <c r="AN182" s="62">
        <f ca="1">AVERAGE(OFFSET($AM$3,0,0,'Données projet'!$E$10+1,1))-AVERAGE(OFFSET($H$3,0,0,'Données projet'!$E$10+1,1))</f>
        <v>288.15107951401188</v>
      </c>
      <c r="AO182" s="62">
        <f t="shared" si="144"/>
        <v>217.57508587672368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0.38923005669540045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5.1334669351274612E-22</v>
      </c>
      <c r="AX182" s="23">
        <f t="shared" si="166"/>
        <v>0.38923005669540045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3.4106051316484809E-13</v>
      </c>
      <c r="BE182" s="14">
        <f>BD182*VLOOKUP('Données projet'!$B$11,Paramètres!$A$1:$I$89,3,0)*VLOOKUP('Données projet'!$B$11,Paramètres!$A$1:$I$89,5,0)</f>
        <v>1.5961632016114892E-13</v>
      </c>
      <c r="BF182" s="14">
        <f t="shared" si="167"/>
        <v>2.2708641912150958E-12</v>
      </c>
      <c r="BG182" s="22">
        <f t="shared" si="168"/>
        <v>4.2330868906469593E-12</v>
      </c>
      <c r="BH182" s="62">
        <f t="shared" si="116"/>
        <v>293.33333333333752</v>
      </c>
      <c r="BI182" s="62">
        <f ca="1">AVERAGE(OFFSET($BH$3,0,0,'Données projet'!$E$11+1,1))-AVERAGE(OFFSET($H$3,0,0,'Données projet'!$E$11+1,1))</f>
        <v>221.07273841880755</v>
      </c>
      <c r="BJ182" s="62">
        <f t="shared" si="146"/>
        <v>164.23448598618114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-2.2737367544323206E-13</v>
      </c>
      <c r="BZ182" s="14">
        <f>BY182*VLOOKUP('Données projet'!$B$12,Paramètres!$A$1:$I$89,3,0)*VLOOKUP('Données projet'!$B$12,Paramètres!$A$1:$I$89,5,0)</f>
        <v>-1.8089849618263545E-13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219.2279518699109</v>
      </c>
      <c r="CE182" s="62">
        <f t="shared" si="148"/>
        <v>219.59799863414099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0.39667277640711857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0.39667277640711857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2">
        <f t="shared" si="140"/>
        <v>26.551818424463544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70">
        <f t="shared" si="110"/>
        <v>510.74875042260788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153.59418465942997</v>
      </c>
      <c r="T183" s="62">
        <f t="shared" si="142"/>
        <v>313.61727210988198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5.0656915379048959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7.0405628448128964E-21</v>
      </c>
      <c r="AC183" s="24">
        <f t="shared" si="163"/>
        <v>5.0656915379048959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2.2737367544323206E-13</v>
      </c>
      <c r="AJ183" s="14">
        <f>AI183*VLOOKUP('Données projet'!$B$10,Paramètres!$A$1:$I$89,3,0)*VLOOKUP('Données projet'!$B$10,Paramètres!$A$1:$I$89,5,0)</f>
        <v>1.3596945791505279E-13</v>
      </c>
      <c r="AK183" s="14">
        <f t="shared" si="164"/>
        <v>1.9708830566360721E-12</v>
      </c>
      <c r="AL183" s="22">
        <f t="shared" si="165"/>
        <v>3.669434796176543E-12</v>
      </c>
      <c r="AM183" s="62">
        <f t="shared" si="113"/>
        <v>293.33333333333701</v>
      </c>
      <c r="AN183" s="62">
        <f ca="1">AVERAGE(OFFSET($AM$3,0,0,'Données projet'!$E$10+1,1))-AVERAGE(OFFSET($H$3,0,0,'Données projet'!$E$10+1,1))</f>
        <v>288.15107951401188</v>
      </c>
      <c r="AO183" s="62">
        <f t="shared" si="144"/>
        <v>217.57508587672368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0.38159749269049625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3.6299092808255505E-22</v>
      </c>
      <c r="AX183" s="23">
        <f t="shared" si="166"/>
        <v>0.38159749269049625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3.4106051316484809E-13</v>
      </c>
      <c r="BE183" s="14">
        <f>BD183*VLOOKUP('Données projet'!$B$11,Paramètres!$A$1:$I$89,3,0)*VLOOKUP('Données projet'!$B$11,Paramètres!$A$1:$I$89,5,0)</f>
        <v>1.5961632016114892E-13</v>
      </c>
      <c r="BF183" s="14">
        <f t="shared" si="167"/>
        <v>2.2708641912150958E-12</v>
      </c>
      <c r="BG183" s="22">
        <f t="shared" si="168"/>
        <v>4.2330868906469593E-12</v>
      </c>
      <c r="BH183" s="62">
        <f t="shared" si="116"/>
        <v>293.33333333333752</v>
      </c>
      <c r="BI183" s="62">
        <f ca="1">AVERAGE(OFFSET($BH$3,0,0,'Données projet'!$E$11+1,1))-AVERAGE(OFFSET($H$3,0,0,'Données projet'!$E$11+1,1))</f>
        <v>221.07273841880755</v>
      </c>
      <c r="BJ183" s="62">
        <f t="shared" si="146"/>
        <v>164.23448598618114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-2.2737367544323206E-13</v>
      </c>
      <c r="BZ183" s="14">
        <f>BY183*VLOOKUP('Données projet'!$B$12,Paramètres!$A$1:$I$89,3,0)*VLOOKUP('Données projet'!$B$12,Paramètres!$A$1:$I$89,5,0)</f>
        <v>-1.8089849618263545E-13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219.2279518699109</v>
      </c>
      <c r="CE183" s="62">
        <f t="shared" si="148"/>
        <v>219.59799863414099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0.38889426520827836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0.38889426520827836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2">
        <f t="shared" si="140"/>
        <v>26.682116294536339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70">
        <f t="shared" si="110"/>
        <v>511.92663587965137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153.59418465942997</v>
      </c>
      <c r="T184" s="62">
        <f t="shared" si="142"/>
        <v>313.61727210988198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4.9663564166133298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4.9784297309372494E-21</v>
      </c>
      <c r="AC184" s="24">
        <f t="shared" si="163"/>
        <v>4.9663564166133298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2.2737367544323206E-13</v>
      </c>
      <c r="AJ184" s="14">
        <f>AI184*VLOOKUP('Données projet'!$B$10,Paramètres!$A$1:$I$89,3,0)*VLOOKUP('Données projet'!$B$10,Paramètres!$A$1:$I$89,5,0)</f>
        <v>1.3596945791505279E-13</v>
      </c>
      <c r="AK184" s="14">
        <f t="shared" si="164"/>
        <v>1.9708830566360721E-12</v>
      </c>
      <c r="AL184" s="22">
        <f t="shared" si="165"/>
        <v>3.669434796176543E-12</v>
      </c>
      <c r="AM184" s="62">
        <f t="shared" si="113"/>
        <v>293.33333333333701</v>
      </c>
      <c r="AN184" s="62">
        <f ca="1">AVERAGE(OFFSET($AM$3,0,0,'Données projet'!$E$10+1,1))-AVERAGE(OFFSET($H$3,0,0,'Données projet'!$E$10+1,1))</f>
        <v>288.15107951401188</v>
      </c>
      <c r="AO184" s="62">
        <f t="shared" si="144"/>
        <v>217.57508587672368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0.37411459861032387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2.5667334675637306E-22</v>
      </c>
      <c r="AX184" s="23">
        <f t="shared" si="166"/>
        <v>0.37411459861032387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3.4106051316484809E-13</v>
      </c>
      <c r="BE184" s="14">
        <f>BD184*VLOOKUP('Données projet'!$B$11,Paramètres!$A$1:$I$89,3,0)*VLOOKUP('Données projet'!$B$11,Paramètres!$A$1:$I$89,5,0)</f>
        <v>1.5961632016114892E-13</v>
      </c>
      <c r="BF184" s="14">
        <f t="shared" si="167"/>
        <v>2.2708641912150958E-12</v>
      </c>
      <c r="BG184" s="22">
        <f t="shared" si="168"/>
        <v>4.2330868906469593E-12</v>
      </c>
      <c r="BH184" s="62">
        <f t="shared" si="116"/>
        <v>293.33333333333752</v>
      </c>
      <c r="BI184" s="62">
        <f ca="1">AVERAGE(OFFSET($BH$3,0,0,'Données projet'!$E$11+1,1))-AVERAGE(OFFSET($H$3,0,0,'Données projet'!$E$11+1,1))</f>
        <v>221.07273841880755</v>
      </c>
      <c r="BJ184" s="62">
        <f t="shared" si="146"/>
        <v>164.23448598618114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-2.2737367544323206E-13</v>
      </c>
      <c r="BZ184" s="14">
        <f>BY184*VLOOKUP('Données projet'!$B$12,Paramètres!$A$1:$I$89,3,0)*VLOOKUP('Données projet'!$B$12,Paramètres!$A$1:$I$89,5,0)</f>
        <v>-1.8089849618263545E-13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219.2279518699109</v>
      </c>
      <c r="CE184" s="62">
        <f t="shared" si="148"/>
        <v>219.59799863414099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0.38126828586962402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0.38126828586962402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2">
        <f t="shared" si="140"/>
        <v>26.812330397327784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70">
        <f t="shared" si="110"/>
        <v>513.10437544201318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153.59418465942997</v>
      </c>
      <c r="T185" s="62">
        <f t="shared" si="142"/>
        <v>313.61727210988198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4.8689691964618502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3.5202814224064482E-21</v>
      </c>
      <c r="AC185" s="24">
        <f t="shared" si="163"/>
        <v>4.8689691964618502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2.2737367544323206E-13</v>
      </c>
      <c r="AJ185" s="14">
        <f>AI185*VLOOKUP('Données projet'!$B$10,Paramètres!$A$1:$I$89,3,0)*VLOOKUP('Données projet'!$B$10,Paramètres!$A$1:$I$89,5,0)</f>
        <v>1.3596945791505279E-13</v>
      </c>
      <c r="AK185" s="14">
        <f t="shared" si="164"/>
        <v>1.9708830566360721E-12</v>
      </c>
      <c r="AL185" s="22">
        <f t="shared" si="165"/>
        <v>3.669434796176543E-12</v>
      </c>
      <c r="AM185" s="62">
        <f t="shared" si="113"/>
        <v>293.33333333333701</v>
      </c>
      <c r="AN185" s="62">
        <f ca="1">AVERAGE(OFFSET($AM$3,0,0,'Données projet'!$E$10+1,1))-AVERAGE(OFFSET($H$3,0,0,'Données projet'!$E$10+1,1))</f>
        <v>288.15107951401188</v>
      </c>
      <c r="AO185" s="62">
        <f t="shared" si="144"/>
        <v>217.57508587672368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0.36677843951894895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1.8149546404127753E-22</v>
      </c>
      <c r="AX185" s="23">
        <f t="shared" si="166"/>
        <v>0.36677843951894895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3.4106051316484809E-13</v>
      </c>
      <c r="BE185" s="14">
        <f>BD185*VLOOKUP('Données projet'!$B$11,Paramètres!$A$1:$I$89,3,0)*VLOOKUP('Données projet'!$B$11,Paramètres!$A$1:$I$89,5,0)</f>
        <v>1.5961632016114892E-13</v>
      </c>
      <c r="BF185" s="14">
        <f t="shared" si="167"/>
        <v>2.2708641912150958E-12</v>
      </c>
      <c r="BG185" s="22">
        <f t="shared" si="168"/>
        <v>4.2330868906469593E-12</v>
      </c>
      <c r="BH185" s="62">
        <f t="shared" si="116"/>
        <v>293.33333333333752</v>
      </c>
      <c r="BI185" s="62">
        <f ca="1">AVERAGE(OFFSET($BH$3,0,0,'Données projet'!$E$11+1,1))-AVERAGE(OFFSET($H$3,0,0,'Données projet'!$E$11+1,1))</f>
        <v>221.07273841880755</v>
      </c>
      <c r="BJ185" s="62">
        <f t="shared" si="146"/>
        <v>164.23448598618114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-2.2737367544323206E-13</v>
      </c>
      <c r="BZ185" s="14">
        <f>BY185*VLOOKUP('Données projet'!$B$12,Paramètres!$A$1:$I$89,3,0)*VLOOKUP('Données projet'!$B$12,Paramètres!$A$1:$I$89,5,0)</f>
        <v>-1.8089849618263545E-13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219.2279518699109</v>
      </c>
      <c r="CE185" s="62">
        <f t="shared" si="148"/>
        <v>219.59799863414099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0.37379184733441262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0.37379184733441262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2">
        <f t="shared" si="140"/>
        <v>26.942461246512842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70">
        <f t="shared" si="110"/>
        <v>514.28197000434375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153.59418465942997</v>
      </c>
      <c r="T186" s="62">
        <f t="shared" si="142"/>
        <v>313.61727210988198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4.7734916802972016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2.4892148654686247E-21</v>
      </c>
      <c r="AC186" s="24">
        <f t="shared" si="163"/>
        <v>4.7734916802972016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2.2737367544323206E-13</v>
      </c>
      <c r="AJ186" s="14">
        <f>AI186*VLOOKUP('Données projet'!$B$10,Paramètres!$A$1:$I$89,3,0)*VLOOKUP('Données projet'!$B$10,Paramètres!$A$1:$I$89,5,0)</f>
        <v>1.3596945791505279E-13</v>
      </c>
      <c r="AK186" s="14">
        <f t="shared" si="164"/>
        <v>1.9708830566360721E-12</v>
      </c>
      <c r="AL186" s="22">
        <f t="shared" si="165"/>
        <v>3.669434796176543E-12</v>
      </c>
      <c r="AM186" s="62">
        <f t="shared" si="113"/>
        <v>293.33333333333701</v>
      </c>
      <c r="AN186" s="62">
        <f ca="1">AVERAGE(OFFSET($AM$3,0,0,'Données projet'!$E$10+1,1))-AVERAGE(OFFSET($H$3,0,0,'Données projet'!$E$10+1,1))</f>
        <v>288.15107951401188</v>
      </c>
      <c r="AO186" s="62">
        <f t="shared" si="144"/>
        <v>217.57508587672368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0.35958613803274064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1.2833667337818653E-22</v>
      </c>
      <c r="AX186" s="23">
        <f t="shared" si="166"/>
        <v>0.35958613803274064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3.4106051316484809E-13</v>
      </c>
      <c r="BE186" s="14">
        <f>BD186*VLOOKUP('Données projet'!$B$11,Paramètres!$A$1:$I$89,3,0)*VLOOKUP('Données projet'!$B$11,Paramètres!$A$1:$I$89,5,0)</f>
        <v>1.5961632016114892E-13</v>
      </c>
      <c r="BF186" s="14">
        <f t="shared" si="167"/>
        <v>2.2708641912150958E-12</v>
      </c>
      <c r="BG186" s="22">
        <f t="shared" si="168"/>
        <v>4.2330868906469593E-12</v>
      </c>
      <c r="BH186" s="62">
        <f t="shared" si="116"/>
        <v>293.33333333333752</v>
      </c>
      <c r="BI186" s="62">
        <f ca="1">AVERAGE(OFFSET($BH$3,0,0,'Données projet'!$E$11+1,1))-AVERAGE(OFFSET($H$3,0,0,'Données projet'!$E$11+1,1))</f>
        <v>221.07273841880755</v>
      </c>
      <c r="BJ186" s="62">
        <f t="shared" si="146"/>
        <v>164.23448598618114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-2.2737367544323206E-13</v>
      </c>
      <c r="BZ186" s="14">
        <f>BY186*VLOOKUP('Données projet'!$B$12,Paramètres!$A$1:$I$89,3,0)*VLOOKUP('Données projet'!$B$12,Paramètres!$A$1:$I$89,5,0)</f>
        <v>-1.8089849618263545E-13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219.2279518699109</v>
      </c>
      <c r="CE186" s="62">
        <f t="shared" si="148"/>
        <v>219.59799863414099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0.36646201719869947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0.36646201719869947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2">
        <f t="shared" si="140"/>
        <v>27.072509349827552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70">
        <f t="shared" si="110"/>
        <v>515.45942045095035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153.59418465942997</v>
      </c>
      <c r="T187" s="62">
        <f t="shared" si="142"/>
        <v>313.61727210988198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4.6798864199890078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1.7601407112032241E-21</v>
      </c>
      <c r="AC187" s="24">
        <f t="shared" si="163"/>
        <v>4.6798864199890078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2.2737367544323206E-13</v>
      </c>
      <c r="AJ187" s="14">
        <f>AI187*VLOOKUP('Données projet'!$B$10,Paramètres!$A$1:$I$89,3,0)*VLOOKUP('Données projet'!$B$10,Paramètres!$A$1:$I$89,5,0)</f>
        <v>1.3596945791505279E-13</v>
      </c>
      <c r="AK187" s="14">
        <f t="shared" si="164"/>
        <v>1.9708830566360721E-12</v>
      </c>
      <c r="AL187" s="22">
        <f t="shared" si="165"/>
        <v>3.669434796176543E-12</v>
      </c>
      <c r="AM187" s="62">
        <f t="shared" si="113"/>
        <v>293.33333333333701</v>
      </c>
      <c r="AN187" s="62">
        <f ca="1">AVERAGE(OFFSET($AM$3,0,0,'Données projet'!$E$10+1,1))-AVERAGE(OFFSET($H$3,0,0,'Données projet'!$E$10+1,1))</f>
        <v>288.15107951401188</v>
      </c>
      <c r="AO187" s="62">
        <f t="shared" si="144"/>
        <v>217.57508587672368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0.35253487319180615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9.0747732020638763E-23</v>
      </c>
      <c r="AX187" s="23">
        <f t="shared" si="166"/>
        <v>0.35253487319180615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3.4106051316484809E-13</v>
      </c>
      <c r="BE187" s="14">
        <f>BD187*VLOOKUP('Données projet'!$B$11,Paramètres!$A$1:$I$89,3,0)*VLOOKUP('Données projet'!$B$11,Paramètres!$A$1:$I$89,5,0)</f>
        <v>1.5961632016114892E-13</v>
      </c>
      <c r="BF187" s="14">
        <f t="shared" si="167"/>
        <v>2.2708641912150958E-12</v>
      </c>
      <c r="BG187" s="22">
        <f t="shared" si="168"/>
        <v>4.2330868906469593E-12</v>
      </c>
      <c r="BH187" s="62">
        <f t="shared" si="116"/>
        <v>293.33333333333752</v>
      </c>
      <c r="BI187" s="62">
        <f ca="1">AVERAGE(OFFSET($BH$3,0,0,'Données projet'!$E$11+1,1))-AVERAGE(OFFSET($H$3,0,0,'Données projet'!$E$11+1,1))</f>
        <v>221.07273841880755</v>
      </c>
      <c r="BJ187" s="62">
        <f t="shared" si="146"/>
        <v>164.23448598618114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-2.2737367544323206E-13</v>
      </c>
      <c r="BZ187" s="14">
        <f>BY187*VLOOKUP('Données projet'!$B$12,Paramètres!$A$1:$I$89,3,0)*VLOOKUP('Données projet'!$B$12,Paramètres!$A$1:$I$89,5,0)</f>
        <v>-1.8089849618263545E-13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219.2279518699109</v>
      </c>
      <c r="CE187" s="62">
        <f t="shared" si="148"/>
        <v>219.59799863414099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0.35927592056119273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0.35927592056119273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2">
        <f t="shared" si="140"/>
        <v>27.202475209169677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70">
        <f t="shared" si="110"/>
        <v>516.63672765597119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153.59418465942997</v>
      </c>
      <c r="T188" s="62">
        <f t="shared" si="142"/>
        <v>313.61727210988198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4.5881167017418862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1.2446074327343123E-21</v>
      </c>
      <c r="AC188" s="24">
        <f t="shared" si="163"/>
        <v>4.5881167017418862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2.2737367544323206E-13</v>
      </c>
      <c r="AJ188" s="14">
        <f>AI188*VLOOKUP('Données projet'!$B$10,Paramètres!$A$1:$I$89,3,0)*VLOOKUP('Données projet'!$B$10,Paramètres!$A$1:$I$89,5,0)</f>
        <v>1.3596945791505279E-13</v>
      </c>
      <c r="AK188" s="14">
        <f t="shared" si="164"/>
        <v>1.9708830566360721E-12</v>
      </c>
      <c r="AL188" s="22">
        <f t="shared" si="165"/>
        <v>3.669434796176543E-12</v>
      </c>
      <c r="AM188" s="62">
        <f t="shared" si="113"/>
        <v>293.33333333333701</v>
      </c>
      <c r="AN188" s="62">
        <f ca="1">AVERAGE(OFFSET($AM$3,0,0,'Données projet'!$E$10+1,1))-AVERAGE(OFFSET($H$3,0,0,'Données projet'!$E$10+1,1))</f>
        <v>288.15107951401188</v>
      </c>
      <c r="AO188" s="62">
        <f t="shared" si="144"/>
        <v>217.57508587672368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0.34562187935355554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6.4168336689093265E-23</v>
      </c>
      <c r="AX188" s="23">
        <f t="shared" si="166"/>
        <v>0.34562187935355554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3.4106051316484809E-13</v>
      </c>
      <c r="BE188" s="14">
        <f>BD188*VLOOKUP('Données projet'!$B$11,Paramètres!$A$1:$I$89,3,0)*VLOOKUP('Données projet'!$B$11,Paramètres!$A$1:$I$89,5,0)</f>
        <v>1.5961632016114892E-13</v>
      </c>
      <c r="BF188" s="14">
        <f t="shared" si="167"/>
        <v>2.2708641912150958E-12</v>
      </c>
      <c r="BG188" s="22">
        <f t="shared" si="168"/>
        <v>4.2330868906469593E-12</v>
      </c>
      <c r="BH188" s="62">
        <f t="shared" si="116"/>
        <v>293.33333333333752</v>
      </c>
      <c r="BI188" s="62">
        <f ca="1">AVERAGE(OFFSET($BH$3,0,0,'Données projet'!$E$11+1,1))-AVERAGE(OFFSET($H$3,0,0,'Données projet'!$E$11+1,1))</f>
        <v>221.07273841880755</v>
      </c>
      <c r="BJ188" s="62">
        <f t="shared" si="146"/>
        <v>164.23448598618114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-2.2737367544323206E-13</v>
      </c>
      <c r="BZ188" s="14">
        <f>BY188*VLOOKUP('Données projet'!$B$12,Paramètres!$A$1:$I$89,3,0)*VLOOKUP('Données projet'!$B$12,Paramètres!$A$1:$I$89,5,0)</f>
        <v>-1.8089849618263545E-13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219.2279518699109</v>
      </c>
      <c r="CE188" s="62">
        <f t="shared" si="148"/>
        <v>219.59799863414099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0.35223073889566131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0.35223073889566131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2">
        <f t="shared" si="140"/>
        <v>27.332359320697009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70">
        <f t="shared" si="110"/>
        <v>517.81389248354799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153.59418465942997</v>
      </c>
      <c r="T189" s="62">
        <f t="shared" si="142"/>
        <v>313.61727210988198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4.4981465316955891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8.8007035560161205E-22</v>
      </c>
      <c r="AC189" s="24">
        <f t="shared" si="163"/>
        <v>4.4981465316955891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2.2737367544323206E-13</v>
      </c>
      <c r="AJ189" s="14">
        <f>AI189*VLOOKUP('Données projet'!$B$10,Paramètres!$A$1:$I$89,3,0)*VLOOKUP('Données projet'!$B$10,Paramètres!$A$1:$I$89,5,0)</f>
        <v>1.3596945791505279E-13</v>
      </c>
      <c r="AK189" s="14">
        <f t="shared" si="164"/>
        <v>1.9708830566360721E-12</v>
      </c>
      <c r="AL189" s="22">
        <f t="shared" si="165"/>
        <v>3.669434796176543E-12</v>
      </c>
      <c r="AM189" s="62">
        <f t="shared" si="113"/>
        <v>293.33333333333701</v>
      </c>
      <c r="AN189" s="62">
        <f ca="1">AVERAGE(OFFSET($AM$3,0,0,'Données projet'!$E$10+1,1))-AVERAGE(OFFSET($H$3,0,0,'Données projet'!$E$10+1,1))</f>
        <v>288.15107951401188</v>
      </c>
      <c r="AO189" s="62">
        <f t="shared" si="144"/>
        <v>217.57508587672368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0.33884444510796313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4.5373866010319382E-23</v>
      </c>
      <c r="AX189" s="23">
        <f t="shared" si="166"/>
        <v>0.33884444510796313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3.4106051316484809E-13</v>
      </c>
      <c r="BE189" s="14">
        <f>BD189*VLOOKUP('Données projet'!$B$11,Paramètres!$A$1:$I$89,3,0)*VLOOKUP('Données projet'!$B$11,Paramètres!$A$1:$I$89,5,0)</f>
        <v>1.5961632016114892E-13</v>
      </c>
      <c r="BF189" s="14">
        <f t="shared" si="167"/>
        <v>2.2708641912150958E-12</v>
      </c>
      <c r="BG189" s="22">
        <f t="shared" si="168"/>
        <v>4.2330868906469593E-12</v>
      </c>
      <c r="BH189" s="62">
        <f t="shared" si="116"/>
        <v>293.33333333333752</v>
      </c>
      <c r="BI189" s="62">
        <f ca="1">AVERAGE(OFFSET($BH$3,0,0,'Données projet'!$E$11+1,1))-AVERAGE(OFFSET($H$3,0,0,'Données projet'!$E$11+1,1))</f>
        <v>221.07273841880755</v>
      </c>
      <c r="BJ189" s="62">
        <f t="shared" si="146"/>
        <v>164.23448598618114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-2.2737367544323206E-13</v>
      </c>
      <c r="BZ189" s="14">
        <f>BY189*VLOOKUP('Données projet'!$B$12,Paramètres!$A$1:$I$89,3,0)*VLOOKUP('Données projet'!$B$12,Paramètres!$A$1:$I$89,5,0)</f>
        <v>-1.8089849618263545E-13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219.2279518699109</v>
      </c>
      <c r="CE189" s="62">
        <f t="shared" si="148"/>
        <v>219.59799863414099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0.3453237089454545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0.3453237089454545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2">
        <f t="shared" si="140"/>
        <v>27.462162174923463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70">
        <f t="shared" si="110"/>
        <v>518.99091578799244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153.59418465942997</v>
      </c>
      <c r="T190" s="62">
        <f t="shared" si="142"/>
        <v>313.61727210988198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4.4099406218075154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6.2230371636715617E-22</v>
      </c>
      <c r="AC190" s="24">
        <f t="shared" si="163"/>
        <v>4.4099406218075154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2.2737367544323206E-13</v>
      </c>
      <c r="AJ190" s="14">
        <f>AI190*VLOOKUP('Données projet'!$B$10,Paramètres!$A$1:$I$89,3,0)*VLOOKUP('Données projet'!$B$10,Paramètres!$A$1:$I$89,5,0)</f>
        <v>1.3596945791505279E-13</v>
      </c>
      <c r="AK190" s="14">
        <f t="shared" si="164"/>
        <v>1.9708830566360721E-12</v>
      </c>
      <c r="AL190" s="22">
        <f t="shared" si="165"/>
        <v>3.669434796176543E-12</v>
      </c>
      <c r="AM190" s="62">
        <f t="shared" si="113"/>
        <v>293.33333333333701</v>
      </c>
      <c r="AN190" s="62">
        <f ca="1">AVERAGE(OFFSET($AM$3,0,0,'Données projet'!$E$10+1,1))-AVERAGE(OFFSET($H$3,0,0,'Données projet'!$E$10+1,1))</f>
        <v>288.15107951401188</v>
      </c>
      <c r="AO190" s="62">
        <f t="shared" si="144"/>
        <v>217.57508587672368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0.33219991221410006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3.2084168344546632E-23</v>
      </c>
      <c r="AX190" s="23">
        <f t="shared" si="166"/>
        <v>0.33219991221410006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3.4106051316484809E-13</v>
      </c>
      <c r="BE190" s="14">
        <f>BD190*VLOOKUP('Données projet'!$B$11,Paramètres!$A$1:$I$89,3,0)*VLOOKUP('Données projet'!$B$11,Paramètres!$A$1:$I$89,5,0)</f>
        <v>1.5961632016114892E-13</v>
      </c>
      <c r="BF190" s="14">
        <f t="shared" si="167"/>
        <v>2.2708641912150958E-12</v>
      </c>
      <c r="BG190" s="22">
        <f t="shared" si="168"/>
        <v>4.2330868906469593E-12</v>
      </c>
      <c r="BH190" s="62">
        <f t="shared" si="116"/>
        <v>293.33333333333752</v>
      </c>
      <c r="BI190" s="62">
        <f ca="1">AVERAGE(OFFSET($BH$3,0,0,'Données projet'!$E$11+1,1))-AVERAGE(OFFSET($H$3,0,0,'Données projet'!$E$11+1,1))</f>
        <v>221.07273841880755</v>
      </c>
      <c r="BJ190" s="62">
        <f t="shared" si="146"/>
        <v>164.23448598618114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-2.2737367544323206E-13</v>
      </c>
      <c r="BZ190" s="14">
        <f>BY190*VLOOKUP('Données projet'!$B$12,Paramètres!$A$1:$I$89,3,0)*VLOOKUP('Données projet'!$B$12,Paramètres!$A$1:$I$89,5,0)</f>
        <v>-1.8089849618263545E-13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219.2279518699109</v>
      </c>
      <c r="CE190" s="62">
        <f t="shared" si="148"/>
        <v>219.59799863414099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0.33855212163969894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0.33855212163969894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2">
        <f t="shared" si="140"/>
        <v>27.591884256813145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70">
        <f t="shared" si="110"/>
        <v>520.16779841395021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153.59418465942997</v>
      </c>
      <c r="T191" s="62">
        <f t="shared" si="142"/>
        <v>313.61727210988198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4.3234643760120539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4.4003517780080603E-22</v>
      </c>
      <c r="AC191" s="24">
        <f t="shared" si="163"/>
        <v>4.3234643760120539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2.2737367544323206E-13</v>
      </c>
      <c r="AJ191" s="14">
        <f>AI191*VLOOKUP('Données projet'!$B$10,Paramètres!$A$1:$I$89,3,0)*VLOOKUP('Données projet'!$B$10,Paramètres!$A$1:$I$89,5,0)</f>
        <v>1.3596945791505279E-13</v>
      </c>
      <c r="AK191" s="14">
        <f t="shared" si="164"/>
        <v>1.9708830566360721E-12</v>
      </c>
      <c r="AL191" s="22">
        <f t="shared" si="165"/>
        <v>3.669434796176543E-12</v>
      </c>
      <c r="AM191" s="62">
        <f t="shared" si="113"/>
        <v>293.33333333333701</v>
      </c>
      <c r="AN191" s="62">
        <f ca="1">AVERAGE(OFFSET($AM$3,0,0,'Données projet'!$E$10+1,1))-AVERAGE(OFFSET($H$3,0,0,'Données projet'!$E$10+1,1))</f>
        <v>288.15107951401188</v>
      </c>
      <c r="AO191" s="62">
        <f t="shared" si="144"/>
        <v>217.57508587672368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0.32568567455752073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2.2686933005159691E-23</v>
      </c>
      <c r="AX191" s="23">
        <f t="shared" si="166"/>
        <v>0.32568567455752073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3.4106051316484809E-13</v>
      </c>
      <c r="BE191" s="14">
        <f>BD191*VLOOKUP('Données projet'!$B$11,Paramètres!$A$1:$I$89,3,0)*VLOOKUP('Données projet'!$B$11,Paramètres!$A$1:$I$89,5,0)</f>
        <v>1.5961632016114892E-13</v>
      </c>
      <c r="BF191" s="14">
        <f t="shared" si="167"/>
        <v>2.2708641912150958E-12</v>
      </c>
      <c r="BG191" s="22">
        <f t="shared" si="168"/>
        <v>4.2330868906469593E-12</v>
      </c>
      <c r="BH191" s="62">
        <f t="shared" si="116"/>
        <v>293.33333333333752</v>
      </c>
      <c r="BI191" s="62">
        <f ca="1">AVERAGE(OFFSET($BH$3,0,0,'Données projet'!$E$11+1,1))-AVERAGE(OFFSET($H$3,0,0,'Données projet'!$E$11+1,1))</f>
        <v>221.07273841880755</v>
      </c>
      <c r="BJ191" s="62">
        <f t="shared" si="146"/>
        <v>164.23448598618114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-2.2737367544323206E-13</v>
      </c>
      <c r="BZ191" s="14">
        <f>BY191*VLOOKUP('Données projet'!$B$12,Paramètres!$A$1:$I$89,3,0)*VLOOKUP('Données projet'!$B$12,Paramètres!$A$1:$I$89,5,0)</f>
        <v>-1.8089849618263545E-13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219.2279518699109</v>
      </c>
      <c r="CE191" s="62">
        <f t="shared" si="148"/>
        <v>219.59799863414099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0.33191332103074883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0.33191332103074883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2">
        <f t="shared" si="140"/>
        <v>27.721526045872363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70">
        <f t="shared" si="110"/>
        <v>521.34454119656175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153.59418465942997</v>
      </c>
      <c r="T192" s="62">
        <f t="shared" si="142"/>
        <v>313.61727210988198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4.2386838766513399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3.1115185818357809E-22</v>
      </c>
      <c r="AC192" s="24">
        <f t="shared" si="163"/>
        <v>4.2386838766513399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2.2737367544323206E-13</v>
      </c>
      <c r="AJ192" s="14">
        <f>AI192*VLOOKUP('Données projet'!$B$10,Paramètres!$A$1:$I$89,3,0)*VLOOKUP('Données projet'!$B$10,Paramètres!$A$1:$I$89,5,0)</f>
        <v>1.3596945791505279E-13</v>
      </c>
      <c r="AK192" s="14">
        <f t="shared" si="164"/>
        <v>1.9708830566360721E-12</v>
      </c>
      <c r="AL192" s="22">
        <f t="shared" si="165"/>
        <v>3.669434796176543E-12</v>
      </c>
      <c r="AM192" s="62">
        <f t="shared" si="113"/>
        <v>293.33333333333701</v>
      </c>
      <c r="AN192" s="62">
        <f ca="1">AVERAGE(OFFSET($AM$3,0,0,'Données projet'!$E$10+1,1))-AVERAGE(OFFSET($H$3,0,0,'Données projet'!$E$10+1,1))</f>
        <v>288.15107951401188</v>
      </c>
      <c r="AO192" s="62">
        <f t="shared" si="144"/>
        <v>217.57508587672368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0.3192991771280943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1.6042084172273316E-23</v>
      </c>
      <c r="AX192" s="23">
        <f t="shared" si="166"/>
        <v>0.3192991771280943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3.4106051316484809E-13</v>
      </c>
      <c r="BE192" s="14">
        <f>BD192*VLOOKUP('Données projet'!$B$11,Paramètres!$A$1:$I$89,3,0)*VLOOKUP('Données projet'!$B$11,Paramètres!$A$1:$I$89,5,0)</f>
        <v>1.5961632016114892E-13</v>
      </c>
      <c r="BF192" s="14">
        <f t="shared" si="167"/>
        <v>2.2708641912150958E-12</v>
      </c>
      <c r="BG192" s="22">
        <f t="shared" si="168"/>
        <v>4.2330868906469593E-12</v>
      </c>
      <c r="BH192" s="62">
        <f t="shared" si="116"/>
        <v>293.33333333333752</v>
      </c>
      <c r="BI192" s="62">
        <f ca="1">AVERAGE(OFFSET($BH$3,0,0,'Données projet'!$E$11+1,1))-AVERAGE(OFFSET($H$3,0,0,'Données projet'!$E$11+1,1))</f>
        <v>221.07273841880755</v>
      </c>
      <c r="BJ192" s="62">
        <f t="shared" si="146"/>
        <v>164.23448598618114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-2.2737367544323206E-13</v>
      </c>
      <c r="BZ192" s="14">
        <f>BY192*VLOOKUP('Données projet'!$B$12,Paramètres!$A$1:$I$89,3,0)*VLOOKUP('Données projet'!$B$12,Paramètres!$A$1:$I$89,5,0)</f>
        <v>-1.8089849618263545E-13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219.2279518699109</v>
      </c>
      <c r="CE192" s="62">
        <f t="shared" si="148"/>
        <v>219.59799863414099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0.32540470325247167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0.32540470325247167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2">
        <f t="shared" si="140"/>
        <v>27.851088016239451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70">
        <f t="shared" si="110"/>
        <v>522.52114496161767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153.59418465942997</v>
      </c>
      <c r="T193" s="62">
        <f t="shared" si="142"/>
        <v>313.61727210988198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4.1555658711720902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2.2001758890040301E-22</v>
      </c>
      <c r="AC193" s="24">
        <f t="shared" si="163"/>
        <v>4.1555658711720902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2.2737367544323206E-13</v>
      </c>
      <c r="AJ193" s="14">
        <f>AI193*VLOOKUP('Données projet'!$B$10,Paramètres!$A$1:$I$89,3,0)*VLOOKUP('Données projet'!$B$10,Paramètres!$A$1:$I$89,5,0)</f>
        <v>1.3596945791505279E-13</v>
      </c>
      <c r="AK193" s="14">
        <f t="shared" si="164"/>
        <v>1.9708830566360721E-12</v>
      </c>
      <c r="AL193" s="22">
        <f t="shared" si="165"/>
        <v>3.669434796176543E-12</v>
      </c>
      <c r="AM193" s="62">
        <f t="shared" si="113"/>
        <v>293.33333333333701</v>
      </c>
      <c r="AN193" s="62">
        <f ca="1">AVERAGE(OFFSET($AM$3,0,0,'Données projet'!$E$10+1,1))-AVERAGE(OFFSET($H$3,0,0,'Données projet'!$E$10+1,1))</f>
        <v>288.15107951401188</v>
      </c>
      <c r="AO193" s="62">
        <f t="shared" si="144"/>
        <v>217.57508587672368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0.31303791501788014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1.1343466502579845E-23</v>
      </c>
      <c r="AX193" s="23">
        <f t="shared" si="166"/>
        <v>0.31303791501788014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3.4106051316484809E-13</v>
      </c>
      <c r="BE193" s="14">
        <f>BD193*VLOOKUP('Données projet'!$B$11,Paramètres!$A$1:$I$89,3,0)*VLOOKUP('Données projet'!$B$11,Paramètres!$A$1:$I$89,5,0)</f>
        <v>1.5961632016114892E-13</v>
      </c>
      <c r="BF193" s="14">
        <f t="shared" si="167"/>
        <v>2.2708641912150958E-12</v>
      </c>
      <c r="BG193" s="22">
        <f t="shared" si="168"/>
        <v>4.2330868906469593E-12</v>
      </c>
      <c r="BH193" s="62">
        <f t="shared" si="116"/>
        <v>293.33333333333752</v>
      </c>
      <c r="BI193" s="62">
        <f ca="1">AVERAGE(OFFSET($BH$3,0,0,'Données projet'!$E$11+1,1))-AVERAGE(OFFSET($H$3,0,0,'Données projet'!$E$11+1,1))</f>
        <v>221.07273841880755</v>
      </c>
      <c r="BJ193" s="62">
        <f t="shared" si="146"/>
        <v>164.23448598618114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-2.2737367544323206E-13</v>
      </c>
      <c r="BZ193" s="14">
        <f>BY193*VLOOKUP('Données projet'!$B$12,Paramètres!$A$1:$I$89,3,0)*VLOOKUP('Données projet'!$B$12,Paramètres!$A$1:$I$89,5,0)</f>
        <v>-1.8089849618263545E-13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219.2279518699109</v>
      </c>
      <c r="CE193" s="62">
        <f t="shared" si="148"/>
        <v>219.59799863414099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0.31902371549896169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0.31902371549896169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2">
        <f t="shared" si="140"/>
        <v>27.98057063677302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70">
        <f t="shared" si="110"/>
        <v>523.69761052571369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153.59418465942997</v>
      </c>
      <c r="T194" s="62">
        <f t="shared" si="142"/>
        <v>313.61727210988198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4.0740777590833117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1.5557592909178904E-22</v>
      </c>
      <c r="AC194" s="24">
        <f t="shared" si="163"/>
        <v>4.0740777590833117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2.2737367544323206E-13</v>
      </c>
      <c r="AJ194" s="14">
        <f>AI194*VLOOKUP('Données projet'!$B$10,Paramètres!$A$1:$I$89,3,0)*VLOOKUP('Données projet'!$B$10,Paramètres!$A$1:$I$89,5,0)</f>
        <v>1.3596945791505279E-13</v>
      </c>
      <c r="AK194" s="14">
        <f t="shared" si="164"/>
        <v>1.9708830566360721E-12</v>
      </c>
      <c r="AL194" s="22">
        <f t="shared" si="165"/>
        <v>3.669434796176543E-12</v>
      </c>
      <c r="AM194" s="62">
        <f t="shared" si="113"/>
        <v>293.33333333333701</v>
      </c>
      <c r="AN194" s="62">
        <f ca="1">AVERAGE(OFFSET($AM$3,0,0,'Données projet'!$E$10+1,1))-AVERAGE(OFFSET($H$3,0,0,'Données projet'!$E$10+1,1))</f>
        <v>288.15107951401188</v>
      </c>
      <c r="AO194" s="62">
        <f t="shared" si="144"/>
        <v>217.57508587672368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0.30689943243865447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8.0210420861366581E-24</v>
      </c>
      <c r="AX194" s="23">
        <f t="shared" si="166"/>
        <v>0.30689943243865447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3.4106051316484809E-13</v>
      </c>
      <c r="BE194" s="14">
        <f>BD194*VLOOKUP('Données projet'!$B$11,Paramètres!$A$1:$I$89,3,0)*VLOOKUP('Données projet'!$B$11,Paramètres!$A$1:$I$89,5,0)</f>
        <v>1.5961632016114892E-13</v>
      </c>
      <c r="BF194" s="14">
        <f t="shared" si="167"/>
        <v>2.2708641912150958E-12</v>
      </c>
      <c r="BG194" s="22">
        <f t="shared" si="168"/>
        <v>4.2330868906469593E-12</v>
      </c>
      <c r="BH194" s="62">
        <f t="shared" si="116"/>
        <v>293.33333333333752</v>
      </c>
      <c r="BI194" s="62">
        <f ca="1">AVERAGE(OFFSET($BH$3,0,0,'Données projet'!$E$11+1,1))-AVERAGE(OFFSET($H$3,0,0,'Données projet'!$E$11+1,1))</f>
        <v>221.07273841880755</v>
      </c>
      <c r="BJ194" s="62">
        <f t="shared" si="146"/>
        <v>164.23448598618114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-2.2737367544323206E-13</v>
      </c>
      <c r="BZ194" s="14">
        <f>BY194*VLOOKUP('Données projet'!$B$12,Paramètres!$A$1:$I$89,3,0)*VLOOKUP('Données projet'!$B$12,Paramètres!$A$1:$I$89,5,0)</f>
        <v>-1.8089849618263545E-13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219.2279518699109</v>
      </c>
      <c r="CE194" s="62">
        <f t="shared" si="148"/>
        <v>219.59799863414099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0.31276785502327981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0.31276785502327981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2">
        <f t="shared" si="140"/>
        <v>28.10997437113782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70">
        <f t="shared" si="110"/>
        <v>524.87393869639902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153.59418465942997</v>
      </c>
      <c r="T195" s="62">
        <f t="shared" si="142"/>
        <v>313.61727210988198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3.9941875791697532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1.1000879445020151E-22</v>
      </c>
      <c r="AC195" s="24">
        <f t="shared" si="163"/>
        <v>3.9941875791697532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2.2737367544323206E-13</v>
      </c>
      <c r="AJ195" s="14">
        <f>AI195*VLOOKUP('Données projet'!$B$10,Paramètres!$A$1:$I$89,3,0)*VLOOKUP('Données projet'!$B$10,Paramètres!$A$1:$I$89,5,0)</f>
        <v>1.3596945791505279E-13</v>
      </c>
      <c r="AK195" s="14">
        <f t="shared" si="164"/>
        <v>1.9708830566360721E-12</v>
      </c>
      <c r="AL195" s="22">
        <f t="shared" si="165"/>
        <v>3.669434796176543E-12</v>
      </c>
      <c r="AM195" s="62">
        <f t="shared" si="113"/>
        <v>293.33333333333701</v>
      </c>
      <c r="AN195" s="62">
        <f ca="1">AVERAGE(OFFSET($AM$3,0,0,'Données projet'!$E$10+1,1))-AVERAGE(OFFSET($H$3,0,0,'Données projet'!$E$10+1,1))</f>
        <v>288.15107951401188</v>
      </c>
      <c r="AO195" s="62">
        <f t="shared" si="144"/>
        <v>217.57508587672368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0.30088132175870275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5.6717332512899227E-24</v>
      </c>
      <c r="AX195" s="23">
        <f t="shared" si="166"/>
        <v>0.30088132175870275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3.4106051316484809E-13</v>
      </c>
      <c r="BE195" s="14">
        <f>BD195*VLOOKUP('Données projet'!$B$11,Paramètres!$A$1:$I$89,3,0)*VLOOKUP('Données projet'!$B$11,Paramètres!$A$1:$I$89,5,0)</f>
        <v>1.5961632016114892E-13</v>
      </c>
      <c r="BF195" s="14">
        <f t="shared" si="167"/>
        <v>2.2708641912150958E-12</v>
      </c>
      <c r="BG195" s="22">
        <f t="shared" si="168"/>
        <v>4.2330868906469593E-12</v>
      </c>
      <c r="BH195" s="62">
        <f t="shared" si="116"/>
        <v>293.33333333333752</v>
      </c>
      <c r="BI195" s="62">
        <f ca="1">AVERAGE(OFFSET($BH$3,0,0,'Données projet'!$E$11+1,1))-AVERAGE(OFFSET($H$3,0,0,'Données projet'!$E$11+1,1))</f>
        <v>221.07273841880755</v>
      </c>
      <c r="BJ195" s="62">
        <f t="shared" si="146"/>
        <v>164.23448598618114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-2.2737367544323206E-13</v>
      </c>
      <c r="BZ195" s="14">
        <f>BY195*VLOOKUP('Données projet'!$B$12,Paramètres!$A$1:$I$89,3,0)*VLOOKUP('Données projet'!$B$12,Paramètres!$A$1:$I$89,5,0)</f>
        <v>-1.8089849618263545E-13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219.2279518699109</v>
      </c>
      <c r="CE195" s="62">
        <f t="shared" si="148"/>
        <v>219.59799863414099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0.30663466815582791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0.30663466815582791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2">
        <f t="shared" si="140"/>
        <v>28.239299677889207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70">
        <f t="shared" ref="H196:H203" si="192">(B196+E196+F196)*44/12+(C196+D196)*0.475*44/12</f>
        <v>526.0501302723244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153.59418465942997</v>
      </c>
      <c r="T196" s="62">
        <f t="shared" si="142"/>
        <v>313.61727210988198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3.9158639969561015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7.7787964545894522E-23</v>
      </c>
      <c r="AC196" s="24">
        <f t="shared" si="163"/>
        <v>3.9158639969561015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2.2737367544323206E-13</v>
      </c>
      <c r="AJ196" s="14">
        <f>AI196*VLOOKUP('Données projet'!$B$10,Paramètres!$A$1:$I$89,3,0)*VLOOKUP('Données projet'!$B$10,Paramètres!$A$1:$I$89,5,0)</f>
        <v>1.3596945791505279E-13</v>
      </c>
      <c r="AK196" s="14">
        <f t="shared" si="164"/>
        <v>1.9708830566360721E-12</v>
      </c>
      <c r="AL196" s="22">
        <f t="shared" si="165"/>
        <v>3.669434796176543E-12</v>
      </c>
      <c r="AM196" s="62">
        <f t="shared" ref="AM196:AM203" si="193">AL196+(AD196+AE196)*44/12</f>
        <v>293.33333333333701</v>
      </c>
      <c r="AN196" s="62">
        <f ca="1">AVERAGE(OFFSET($AM$3,0,0,'Données projet'!$E$10+1,1))-AVERAGE(OFFSET($H$3,0,0,'Données projet'!$E$10+1,1))</f>
        <v>288.15107951401188</v>
      </c>
      <c r="AO196" s="62">
        <f t="shared" si="144"/>
        <v>217.57508587672368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0.29498122255849979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4.0105210430683291E-24</v>
      </c>
      <c r="AX196" s="23">
        <f t="shared" si="166"/>
        <v>0.29498122255849979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3.4106051316484809E-13</v>
      </c>
      <c r="BE196" s="14">
        <f>BD196*VLOOKUP('Données projet'!$B$11,Paramètres!$A$1:$I$89,3,0)*VLOOKUP('Données projet'!$B$11,Paramètres!$A$1:$I$89,5,0)</f>
        <v>1.5961632016114892E-13</v>
      </c>
      <c r="BF196" s="14">
        <f t="shared" si="167"/>
        <v>2.2708641912150958E-12</v>
      </c>
      <c r="BG196" s="22">
        <f t="shared" si="168"/>
        <v>4.2330868906469593E-12</v>
      </c>
      <c r="BH196" s="62">
        <f t="shared" ref="BH196:BH203" si="194">BG196+(AY196+AZ196)*44/12</f>
        <v>293.33333333333752</v>
      </c>
      <c r="BI196" s="62">
        <f ca="1">AVERAGE(OFFSET($BH$3,0,0,'Données projet'!$E$11+1,1))-AVERAGE(OFFSET($H$3,0,0,'Données projet'!$E$11+1,1))</f>
        <v>221.07273841880755</v>
      </c>
      <c r="BJ196" s="62">
        <f t="shared" si="146"/>
        <v>164.23448598618114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-2.2737367544323206E-13</v>
      </c>
      <c r="BZ196" s="14">
        <f>BY196*VLOOKUP('Données projet'!$B$12,Paramètres!$A$1:$I$89,3,0)*VLOOKUP('Données projet'!$B$12,Paramètres!$A$1:$I$89,5,0)</f>
        <v>-1.8089849618263545E-13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219.2279518699109</v>
      </c>
      <c r="CE196" s="62">
        <f t="shared" si="148"/>
        <v>219.59799863414099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0.30062174934197217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0.30062174934197217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2">
        <f t="shared" ref="D197:D203" si="202">IFERROR(EXP(-1.0587+0.8836*LN(C197)+0.284),0)</f>
        <v>28.368547010555559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70">
        <f t="shared" si="192"/>
        <v>527.22618604338504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153.59418465942997</v>
      </c>
      <c r="T197" s="62">
        <f t="shared" ref="T197:T203" si="204">$T$3</f>
        <v>313.61727210988198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3.8390762924169914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5.5004397225100753E-23</v>
      </c>
      <c r="AC197" s="24">
        <f t="shared" si="163"/>
        <v>3.8390762924169914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2.2737367544323206E-13</v>
      </c>
      <c r="AJ197" s="14">
        <f>AI197*VLOOKUP('Données projet'!$B$10,Paramètres!$A$1:$I$89,3,0)*VLOOKUP('Données projet'!$B$10,Paramètres!$A$1:$I$89,5,0)</f>
        <v>1.3596945791505279E-13</v>
      </c>
      <c r="AK197" s="14">
        <f t="shared" si="164"/>
        <v>1.9708830566360721E-12</v>
      </c>
      <c r="AL197" s="22">
        <f t="shared" si="165"/>
        <v>3.669434796176543E-12</v>
      </c>
      <c r="AM197" s="62">
        <f t="shared" si="193"/>
        <v>293.33333333333701</v>
      </c>
      <c r="AN197" s="62">
        <f ca="1">AVERAGE(OFFSET($AM$3,0,0,'Données projet'!$E$10+1,1))-AVERAGE(OFFSET($H$3,0,0,'Données projet'!$E$10+1,1))</f>
        <v>288.15107951401188</v>
      </c>
      <c r="AO197" s="62">
        <f t="shared" ref="AO197:AO203" si="205">$AO$3</f>
        <v>217.57508587672368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0.28919682070490765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2.8358666256449613E-24</v>
      </c>
      <c r="AX197" s="23">
        <f t="shared" si="166"/>
        <v>0.28919682070490765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3.4106051316484809E-13</v>
      </c>
      <c r="BE197" s="14">
        <f>BD197*VLOOKUP('Données projet'!$B$11,Paramètres!$A$1:$I$89,3,0)*VLOOKUP('Données projet'!$B$11,Paramètres!$A$1:$I$89,5,0)</f>
        <v>1.5961632016114892E-13</v>
      </c>
      <c r="BF197" s="14">
        <f t="shared" si="167"/>
        <v>2.2708641912150958E-12</v>
      </c>
      <c r="BG197" s="22">
        <f t="shared" si="168"/>
        <v>4.2330868906469593E-12</v>
      </c>
      <c r="BH197" s="62">
        <f t="shared" si="194"/>
        <v>293.33333333333752</v>
      </c>
      <c r="BI197" s="62">
        <f ca="1">AVERAGE(OFFSET($BH$3,0,0,'Données projet'!$E$11+1,1))-AVERAGE(OFFSET($H$3,0,0,'Données projet'!$E$11+1,1))</f>
        <v>221.07273841880755</v>
      </c>
      <c r="BJ197" s="62">
        <f t="shared" ref="BJ197:BJ203" si="206">$BJ$3</f>
        <v>164.23448598618114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-2.2737367544323206E-13</v>
      </c>
      <c r="BZ197" s="14">
        <f>BY197*VLOOKUP('Données projet'!$B$12,Paramètres!$A$1:$I$89,3,0)*VLOOKUP('Données projet'!$B$12,Paramètres!$A$1:$I$89,5,0)</f>
        <v>-1.8089849618263545E-13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219.2279518699109</v>
      </c>
      <c r="CE197" s="62">
        <f t="shared" ref="CE197:CE203" si="207">$CE$3</f>
        <v>219.59799863414099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0.29472674019853778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0.29472674019853778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2">
        <f t="shared" si="202"/>
        <v>28.497716817719009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70">
        <f t="shared" si="192"/>
        <v>528.40210679086135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153.59418465942997</v>
      </c>
      <c r="T198" s="62">
        <f t="shared" si="204"/>
        <v>313.61727210988198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3.7637943479280183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3.8893982272947261E-23</v>
      </c>
      <c r="AC198" s="24">
        <f t="shared" si="163"/>
        <v>3.7637943479280183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2.2737367544323206E-13</v>
      </c>
      <c r="AJ198" s="14">
        <f>AI198*VLOOKUP('Données projet'!$B$10,Paramètres!$A$1:$I$89,3,0)*VLOOKUP('Données projet'!$B$10,Paramètres!$A$1:$I$89,5,0)</f>
        <v>1.3596945791505279E-13</v>
      </c>
      <c r="AK198" s="14">
        <f t="shared" si="164"/>
        <v>1.9708830566360721E-12</v>
      </c>
      <c r="AL198" s="22">
        <f t="shared" si="165"/>
        <v>3.669434796176543E-12</v>
      </c>
      <c r="AM198" s="62">
        <f t="shared" si="193"/>
        <v>293.33333333333701</v>
      </c>
      <c r="AN198" s="62">
        <f ca="1">AVERAGE(OFFSET($AM$3,0,0,'Données projet'!$E$10+1,1))-AVERAGE(OFFSET($H$3,0,0,'Données projet'!$E$10+1,1))</f>
        <v>288.15107951401188</v>
      </c>
      <c r="AO198" s="62">
        <f t="shared" si="205"/>
        <v>217.57508587672368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0.28352584744352771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2.0052605215341645E-24</v>
      </c>
      <c r="AX198" s="23">
        <f t="shared" si="166"/>
        <v>0.28352584744352771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3.4106051316484809E-13</v>
      </c>
      <c r="BE198" s="14">
        <f>BD198*VLOOKUP('Données projet'!$B$11,Paramètres!$A$1:$I$89,3,0)*VLOOKUP('Données projet'!$B$11,Paramètres!$A$1:$I$89,5,0)</f>
        <v>1.5961632016114892E-13</v>
      </c>
      <c r="BF198" s="14">
        <f t="shared" si="167"/>
        <v>2.2708641912150958E-12</v>
      </c>
      <c r="BG198" s="22">
        <f t="shared" si="168"/>
        <v>4.2330868906469593E-12</v>
      </c>
      <c r="BH198" s="62">
        <f t="shared" si="194"/>
        <v>293.33333333333752</v>
      </c>
      <c r="BI198" s="62">
        <f ca="1">AVERAGE(OFFSET($BH$3,0,0,'Données projet'!$E$11+1,1))-AVERAGE(OFFSET($H$3,0,0,'Données projet'!$E$11+1,1))</f>
        <v>221.07273841880755</v>
      </c>
      <c r="BJ198" s="62">
        <f t="shared" si="206"/>
        <v>164.23448598618114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-2.2737367544323206E-13</v>
      </c>
      <c r="BZ198" s="14">
        <f>BY198*VLOOKUP('Données projet'!$B$12,Paramètres!$A$1:$I$89,3,0)*VLOOKUP('Données projet'!$B$12,Paramètres!$A$1:$I$89,5,0)</f>
        <v>-1.8089849618263545E-13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219.2279518699109</v>
      </c>
      <c r="CE198" s="62">
        <f t="shared" si="207"/>
        <v>219.59799863414099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0.28894732858880562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0.28894732858880562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2">
        <f t="shared" si="202"/>
        <v>28.626809543094431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70">
        <f t="shared" si="192"/>
        <v>529.57789328755689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153.59418465942997</v>
      </c>
      <c r="T199" s="62">
        <f t="shared" si="204"/>
        <v>313.61727210988198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3.6899886364530219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2.7502198612550377E-23</v>
      </c>
      <c r="AC199" s="24">
        <f t="shared" si="163"/>
        <v>3.6899886364530219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2.2737367544323206E-13</v>
      </c>
      <c r="AJ199" s="14">
        <f>AI199*VLOOKUP('Données projet'!$B$10,Paramètres!$A$1:$I$89,3,0)*VLOOKUP('Données projet'!$B$10,Paramètres!$A$1:$I$89,5,0)</f>
        <v>1.3596945791505279E-13</v>
      </c>
      <c r="AK199" s="14">
        <f t="shared" si="164"/>
        <v>1.9708830566360721E-12</v>
      </c>
      <c r="AL199" s="22">
        <f t="shared" si="165"/>
        <v>3.669434796176543E-12</v>
      </c>
      <c r="AM199" s="62">
        <f t="shared" si="193"/>
        <v>293.33333333333701</v>
      </c>
      <c r="AN199" s="62">
        <f ca="1">AVERAGE(OFFSET($AM$3,0,0,'Données projet'!$E$10+1,1))-AVERAGE(OFFSET($H$3,0,0,'Données projet'!$E$10+1,1))</f>
        <v>288.15107951401188</v>
      </c>
      <c r="AO199" s="62">
        <f t="shared" si="205"/>
        <v>217.57508587672368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0.2779660785088513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1.4179333128224807E-24</v>
      </c>
      <c r="AX199" s="23">
        <f t="shared" si="166"/>
        <v>0.2779660785088513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3.4106051316484809E-13</v>
      </c>
      <c r="BE199" s="14">
        <f>BD199*VLOOKUP('Données projet'!$B$11,Paramètres!$A$1:$I$89,3,0)*VLOOKUP('Données projet'!$B$11,Paramètres!$A$1:$I$89,5,0)</f>
        <v>1.5961632016114892E-13</v>
      </c>
      <c r="BF199" s="14">
        <f t="shared" si="167"/>
        <v>2.2708641912150958E-12</v>
      </c>
      <c r="BG199" s="22">
        <f t="shared" si="168"/>
        <v>4.2330868906469593E-12</v>
      </c>
      <c r="BH199" s="62">
        <f t="shared" si="194"/>
        <v>293.33333333333752</v>
      </c>
      <c r="BI199" s="62">
        <f ca="1">AVERAGE(OFFSET($BH$3,0,0,'Données projet'!$E$11+1,1))-AVERAGE(OFFSET($H$3,0,0,'Données projet'!$E$11+1,1))</f>
        <v>221.07273841880755</v>
      </c>
      <c r="BJ199" s="62">
        <f t="shared" si="206"/>
        <v>164.23448598618114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-2.2737367544323206E-13</v>
      </c>
      <c r="BZ199" s="14">
        <f>BY199*VLOOKUP('Données projet'!$B$12,Paramètres!$A$1:$I$89,3,0)*VLOOKUP('Données projet'!$B$12,Paramètres!$A$1:$I$89,5,0)</f>
        <v>-1.8089849618263545E-13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219.2279518699109</v>
      </c>
      <c r="CE199" s="62">
        <f t="shared" si="207"/>
        <v>219.59799863414099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0.28328124771564728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0.28328124771564728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2">
        <f t="shared" si="202"/>
        <v>28.755825625606846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70">
        <f t="shared" si="192"/>
        <v>530.75354629793264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153.59418465942997</v>
      </c>
      <c r="T200" s="62">
        <f t="shared" si="204"/>
        <v>313.61727210988198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3.6176302099630111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1.944699113647363E-23</v>
      </c>
      <c r="AC200" s="24">
        <f t="shared" si="163"/>
        <v>3.6176302099630111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2.2737367544323206E-13</v>
      </c>
      <c r="AJ200" s="14">
        <f>AI200*VLOOKUP('Données projet'!$B$10,Paramètres!$A$1:$I$89,3,0)*VLOOKUP('Données projet'!$B$10,Paramètres!$A$1:$I$89,5,0)</f>
        <v>1.3596945791505279E-13</v>
      </c>
      <c r="AK200" s="14">
        <f t="shared" si="164"/>
        <v>1.9708830566360721E-12</v>
      </c>
      <c r="AL200" s="22">
        <f t="shared" si="165"/>
        <v>3.669434796176543E-12</v>
      </c>
      <c r="AM200" s="62">
        <f t="shared" si="193"/>
        <v>293.33333333333701</v>
      </c>
      <c r="AN200" s="62">
        <f ca="1">AVERAGE(OFFSET($AM$3,0,0,'Données projet'!$E$10+1,1))-AVERAGE(OFFSET($H$3,0,0,'Données projet'!$E$10+1,1))</f>
        <v>288.15107951401188</v>
      </c>
      <c r="AO200" s="62">
        <f t="shared" si="205"/>
        <v>217.57508587672368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0.27251533325185967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1.0026302607670823E-24</v>
      </c>
      <c r="AX200" s="23">
        <f t="shared" si="166"/>
        <v>0.27251533325185967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3.4106051316484809E-13</v>
      </c>
      <c r="BE200" s="14">
        <f>BD200*VLOOKUP('Données projet'!$B$11,Paramètres!$A$1:$I$89,3,0)*VLOOKUP('Données projet'!$B$11,Paramètres!$A$1:$I$89,5,0)</f>
        <v>1.5961632016114892E-13</v>
      </c>
      <c r="BF200" s="14">
        <f t="shared" si="167"/>
        <v>2.2708641912150958E-12</v>
      </c>
      <c r="BG200" s="22">
        <f t="shared" si="168"/>
        <v>4.2330868906469593E-12</v>
      </c>
      <c r="BH200" s="62">
        <f t="shared" si="194"/>
        <v>293.33333333333752</v>
      </c>
      <c r="BI200" s="62">
        <f ca="1">AVERAGE(OFFSET($BH$3,0,0,'Données projet'!$E$11+1,1))-AVERAGE(OFFSET($H$3,0,0,'Données projet'!$E$11+1,1))</f>
        <v>221.07273841880755</v>
      </c>
      <c r="BJ200" s="62">
        <f t="shared" si="206"/>
        <v>164.23448598618114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-2.2737367544323206E-13</v>
      </c>
      <c r="BZ200" s="14">
        <f>BY200*VLOOKUP('Données projet'!$B$12,Paramètres!$A$1:$I$89,3,0)*VLOOKUP('Données projet'!$B$12,Paramètres!$A$1:$I$89,5,0)</f>
        <v>-1.8089849618263545E-13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219.2279518699109</v>
      </c>
      <c r="CE200" s="62">
        <f t="shared" si="207"/>
        <v>219.59799863414099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0.27772627523244348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0.27772627523244348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2">
        <f t="shared" si="202"/>
        <v>28.884765499467239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70">
        <f t="shared" si="192"/>
        <v>531.9290665782396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153.59418465942997</v>
      </c>
      <c r="T201" s="62">
        <f t="shared" si="204"/>
        <v>313.61727210988198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3.5466906880821871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1.3751099306275188E-23</v>
      </c>
      <c r="AC201" s="24">
        <f t="shared" si="163"/>
        <v>3.5466906880821871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2.2737367544323206E-13</v>
      </c>
      <c r="AJ201" s="14">
        <f>AI201*VLOOKUP('Données projet'!$B$10,Paramètres!$A$1:$I$89,3,0)*VLOOKUP('Données projet'!$B$10,Paramètres!$A$1:$I$89,5,0)</f>
        <v>1.3596945791505279E-13</v>
      </c>
      <c r="AK201" s="14">
        <f t="shared" si="164"/>
        <v>1.9708830566360721E-12</v>
      </c>
      <c r="AL201" s="22">
        <f t="shared" si="165"/>
        <v>3.669434796176543E-12</v>
      </c>
      <c r="AM201" s="62">
        <f t="shared" si="193"/>
        <v>293.33333333333701</v>
      </c>
      <c r="AN201" s="62">
        <f ca="1">AVERAGE(OFFSET($AM$3,0,0,'Données projet'!$E$10+1,1))-AVERAGE(OFFSET($H$3,0,0,'Données projet'!$E$10+1,1))</f>
        <v>288.15107951401188</v>
      </c>
      <c r="AO201" s="62">
        <f t="shared" si="205"/>
        <v>217.57508587672368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0.26717147378473133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7.0896665641124034E-25</v>
      </c>
      <c r="AX201" s="23">
        <f t="shared" si="166"/>
        <v>0.26717147378473133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3.4106051316484809E-13</v>
      </c>
      <c r="BE201" s="14">
        <f>BD201*VLOOKUP('Données projet'!$B$11,Paramètres!$A$1:$I$89,3,0)*VLOOKUP('Données projet'!$B$11,Paramètres!$A$1:$I$89,5,0)</f>
        <v>1.5961632016114892E-13</v>
      </c>
      <c r="BF201" s="14">
        <f t="shared" si="167"/>
        <v>2.2708641912150958E-12</v>
      </c>
      <c r="BG201" s="22">
        <f t="shared" si="168"/>
        <v>4.2330868906469593E-12</v>
      </c>
      <c r="BH201" s="62">
        <f t="shared" si="194"/>
        <v>293.33333333333752</v>
      </c>
      <c r="BI201" s="62">
        <f ca="1">AVERAGE(OFFSET($BH$3,0,0,'Données projet'!$E$11+1,1))-AVERAGE(OFFSET($H$3,0,0,'Données projet'!$E$11+1,1))</f>
        <v>221.07273841880755</v>
      </c>
      <c r="BJ201" s="62">
        <f t="shared" si="206"/>
        <v>164.23448598618114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-2.2737367544323206E-13</v>
      </c>
      <c r="BZ201" s="14">
        <f>BY201*VLOOKUP('Données projet'!$B$12,Paramètres!$A$1:$I$89,3,0)*VLOOKUP('Données projet'!$B$12,Paramètres!$A$1:$I$89,5,0)</f>
        <v>-1.8089849618263545E-13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219.2279518699109</v>
      </c>
      <c r="CE201" s="62">
        <f t="shared" si="207"/>
        <v>219.59799863414099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0.27228023237143667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0.27228023237143667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2">
        <f t="shared" si="202"/>
        <v>29.013629594246641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70">
        <f t="shared" si="192"/>
        <v>533.10445487664697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153.59418465942997</v>
      </c>
      <c r="T202" s="62">
        <f t="shared" si="204"/>
        <v>313.61727210988198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3.47714224695661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9.7234955682368152E-24</v>
      </c>
      <c r="AC202" s="24">
        <f t="shared" si="163"/>
        <v>3.47714224695661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2.2737367544323206E-13</v>
      </c>
      <c r="AJ202" s="14">
        <f>AI202*VLOOKUP('Données projet'!$B$10,Paramètres!$A$1:$I$89,3,0)*VLOOKUP('Données projet'!$B$10,Paramètres!$A$1:$I$89,5,0)</f>
        <v>1.3596945791505279E-13</v>
      </c>
      <c r="AK202" s="14">
        <f t="shared" si="164"/>
        <v>1.9708830566360721E-12</v>
      </c>
      <c r="AL202" s="22">
        <f t="shared" si="165"/>
        <v>3.669434796176543E-12</v>
      </c>
      <c r="AM202" s="62">
        <f t="shared" si="193"/>
        <v>293.33333333333701</v>
      </c>
      <c r="AN202" s="62">
        <f ca="1">AVERAGE(OFFSET($AM$3,0,0,'Données projet'!$E$10+1,1))-AVERAGE(OFFSET($H$3,0,0,'Données projet'!$E$10+1,1))</f>
        <v>288.15107951401188</v>
      </c>
      <c r="AO202" s="62">
        <f t="shared" si="205"/>
        <v>217.57508587672368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0.26193240414232094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5.0131513038354113E-25</v>
      </c>
      <c r="AX202" s="23">
        <f t="shared" si="166"/>
        <v>0.26193240414232094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3.4106051316484809E-13</v>
      </c>
      <c r="BE202" s="14">
        <f>BD202*VLOOKUP('Données projet'!$B$11,Paramètres!$A$1:$I$89,3,0)*VLOOKUP('Données projet'!$B$11,Paramètres!$A$1:$I$89,5,0)</f>
        <v>1.5961632016114892E-13</v>
      </c>
      <c r="BF202" s="14">
        <f t="shared" si="167"/>
        <v>2.2708641912150958E-12</v>
      </c>
      <c r="BG202" s="22">
        <f t="shared" si="168"/>
        <v>4.2330868906469593E-12</v>
      </c>
      <c r="BH202" s="62">
        <f t="shared" si="194"/>
        <v>293.33333333333752</v>
      </c>
      <c r="BI202" s="62">
        <f ca="1">AVERAGE(OFFSET($BH$3,0,0,'Données projet'!$E$11+1,1))-AVERAGE(OFFSET($H$3,0,0,'Données projet'!$E$11+1,1))</f>
        <v>221.07273841880755</v>
      </c>
      <c r="BJ202" s="62">
        <f t="shared" si="206"/>
        <v>164.23448598618114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-2.2737367544323206E-13</v>
      </c>
      <c r="BZ202" s="14">
        <f>BY202*VLOOKUP('Données projet'!$B$12,Paramètres!$A$1:$I$89,3,0)*VLOOKUP('Données projet'!$B$12,Paramètres!$A$1:$I$89,5,0)</f>
        <v>-1.8089849618263545E-13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219.2279518699109</v>
      </c>
      <c r="CE202" s="62">
        <f t="shared" si="207"/>
        <v>219.59799863414099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0.26694098308917602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0.26694098308917602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2">
        <f t="shared" si="202"/>
        <v>29.142418334948719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70">
        <f t="shared" si="192"/>
        <v>534.27971193336975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153.59418465942997</v>
      </c>
      <c r="T203" s="62">
        <f t="shared" si="204"/>
        <v>313.61727210988198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3.408957608341145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6.8755496531375942E-24</v>
      </c>
      <c r="AC203" s="24">
        <f t="shared" si="163"/>
        <v>3.408957608341145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2.2737367544323206E-13</v>
      </c>
      <c r="AJ203" s="14">
        <f>AI203*VLOOKUP('Données projet'!$B$10,Paramètres!$A$1:$I$89,3,0)*VLOOKUP('Données projet'!$B$10,Paramètres!$A$1:$I$89,5,0)</f>
        <v>1.3596945791505279E-13</v>
      </c>
      <c r="AK203" s="14">
        <f t="shared" si="164"/>
        <v>1.9708830566360721E-12</v>
      </c>
      <c r="AL203" s="22">
        <f t="shared" si="165"/>
        <v>3.669434796176543E-12</v>
      </c>
      <c r="AM203" s="62">
        <f t="shared" si="193"/>
        <v>293.33333333333701</v>
      </c>
      <c r="AN203" s="62">
        <f ca="1">AVERAGE(OFFSET($AM$3,0,0,'Données projet'!$E$10+1,1))-AVERAGE(OFFSET($H$3,0,0,'Données projet'!$E$10+1,1))</f>
        <v>288.15107951401188</v>
      </c>
      <c r="AO203" s="62">
        <f t="shared" si="205"/>
        <v>217.57508587672368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0.25679606946008127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3.5448332820562017E-25</v>
      </c>
      <c r="AX203" s="23">
        <f t="shared" si="166"/>
        <v>0.25679606946008127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3.4106051316484809E-13</v>
      </c>
      <c r="BE203" s="14">
        <f>BD203*VLOOKUP('Données projet'!$B$11,Paramètres!$A$1:$I$89,3,0)*VLOOKUP('Données projet'!$B$11,Paramètres!$A$1:$I$89,5,0)</f>
        <v>1.5961632016114892E-13</v>
      </c>
      <c r="BF203" s="14">
        <f t="shared" si="167"/>
        <v>2.2708641912150958E-12</v>
      </c>
      <c r="BG203" s="22">
        <f t="shared" si="168"/>
        <v>4.2330868906469593E-12</v>
      </c>
      <c r="BH203" s="62">
        <f t="shared" si="194"/>
        <v>293.33333333333752</v>
      </c>
      <c r="BI203" s="62">
        <f ca="1">AVERAGE(OFFSET($BH$3,0,0,'Données projet'!$E$11+1,1))-AVERAGE(OFFSET($H$3,0,0,'Données projet'!$E$11+1,1))</f>
        <v>221.07273841880755</v>
      </c>
      <c r="BJ203" s="62">
        <f t="shared" si="206"/>
        <v>164.23448598618114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-2.2737367544323206E-13</v>
      </c>
      <c r="BZ203" s="14">
        <f>BY203*VLOOKUP('Données projet'!$B$12,Paramètres!$A$1:$I$89,3,0)*VLOOKUP('Données projet'!$B$12,Paramètres!$A$1:$I$89,5,0)</f>
        <v>-1.8089849618263545E-13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219.2279518699109</v>
      </c>
      <c r="CE203" s="62">
        <f t="shared" si="207"/>
        <v>219.59799863414099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0.26170643322872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0.26170643322872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1.4261938757879591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1.244502252163008</v>
      </c>
      <c r="BA205" s="88">
        <f>EXP(LN('Données projet'!B88)/'Données projet'!A88)</f>
        <v>1.1921598380198544</v>
      </c>
      <c r="BV205" s="88">
        <f>EXP(LN('Données projet'!B114)/'Données projet'!A114)</f>
        <v>1.2721747796233518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L22" sqref="L22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Pin maritime</v>
      </c>
      <c r="B6" s="155">
        <f>'Données projet'!D9</f>
        <v>1.3101</v>
      </c>
      <c r="C6" s="156">
        <f ca="1">IF(OR('Données projet'!B9="",'Données projet'!C9="",'Données projet'!C9=0%),0,Calculateur!S3)</f>
        <v>153.59418465942997</v>
      </c>
      <c r="D6" s="156">
        <f>IF(OR('Données projet'!B9="",'Données projet'!C9="",'Données projet'!C9=0%),0,Calculateur!T3)</f>
        <v>313.61727210988198</v>
      </c>
      <c r="E6" s="156">
        <f ca="1">MIN(C6,D6)</f>
        <v>153.59418465942997</v>
      </c>
      <c r="F6" s="156">
        <f ca="1">E6*B6</f>
        <v>201.2237413223192</v>
      </c>
      <c r="G6" s="156">
        <f ca="1">F6*(100%-'Données projet'!$C$24)*(100%-'Données projet'!$C$25)*(100%-'Données projet'!$C$26)*(100%-'Données projet'!$C$27)</f>
        <v>153.93616211157419</v>
      </c>
      <c r="H6" s="157">
        <f>IF(OR('Données projet'!B9="",'Données projet'!C9="",'Données projet'!C9=0%),0,AVERAGE(Calculateur!$AC$3:$AC$33)*B6)</f>
        <v>12.686984798239374</v>
      </c>
      <c r="I6" s="158">
        <f>H6*(100%-'Données projet'!$C$24)*(100%-'Données projet'!$C$25)*(100%-'Données projet'!$C$26)*(100%-'Données projet'!$C$27)</f>
        <v>9.7055433706531211</v>
      </c>
      <c r="J6" s="159">
        <f>IF(OR('Données projet'!B9="",'Données projet'!C9="",'Données projet'!C9=0%),0,SUM(Calculateur!$V$3:$V$33)*VLOOKUP('Données projet'!$B$9,Paramètres!$A$1:$I$89,9,0)*B6)</f>
        <v>92.755079999999992</v>
      </c>
      <c r="K6" s="160">
        <f>J6*(100%-'Données projet'!$C$24)*(100%-'Données projet'!$C$25)*(100%-'Données projet'!$C$26)*(100%-'Données projet'!$C$27)</f>
        <v>70.957636199999996</v>
      </c>
      <c r="L6" s="161">
        <f ca="1">G6+I6+K6</f>
        <v>234.5993416822273</v>
      </c>
      <c r="M6" s="25">
        <f ca="1">(L6/B6)</f>
        <v>179.06979748280841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Pin laricio</v>
      </c>
      <c r="B7" s="163">
        <f>'Données projet'!D10</f>
        <v>0.95279999999999998</v>
      </c>
      <c r="C7" s="156">
        <f ca="1">IF(OR('Données projet'!B10="",'Données projet'!C10="",'Données projet'!C10=0%),0,Calculateur!AN3)</f>
        <v>288.15107951401188</v>
      </c>
      <c r="D7" s="156">
        <f>IF(OR('Données projet'!B10="",'Données projet'!C10="",'Données projet'!C10=0%),0,Calculateur!AO3)</f>
        <v>217.57508587672368</v>
      </c>
      <c r="E7" s="156">
        <f t="shared" ref="E7:E15" ca="1" si="0">MIN(C7,D7)</f>
        <v>217.57508587672368</v>
      </c>
      <c r="F7" s="156">
        <f t="shared" ref="F7:F15" ca="1" si="1">E7*B7</f>
        <v>207.30554182334231</v>
      </c>
      <c r="G7" s="156">
        <f ca="1">F7*(100%-'Données projet'!$C$24)*(100%-'Données projet'!$C$25)*(100%-'Données projet'!$C$26)*(100%-'Données projet'!$C$27)</f>
        <v>158.58873949485687</v>
      </c>
      <c r="H7" s="164">
        <f>IF(OR('Données projet'!B10="",'Données projet'!C10="",'Données projet'!C10=0%),0,AVERAGE(Calculateur!$AX$3:$AX$33)*B7)</f>
        <v>2.6859435274557866</v>
      </c>
      <c r="I7" s="158">
        <f>H7*(100%-'Données projet'!$C$24)*(100%-'Données projet'!$C$25)*(100%-'Données projet'!$C$26)*(100%-'Données projet'!$C$27)</f>
        <v>2.0547467985036767</v>
      </c>
      <c r="J7" s="159">
        <f>IF(OR('Données projet'!B10="",'Données projet'!C10="",'Données projet'!C10=0%),0,SUM(Calculateur!$AQ$3:$AQ$33)*VLOOKUP('Données projet'!$B$10,Paramètres!$A$1:$I$89,9,0)*B7)</f>
        <v>27.450167999999998</v>
      </c>
      <c r="K7" s="160">
        <f>J7*(100%-'Données projet'!$C$24)*(100%-'Données projet'!$C$25)*(100%-'Données projet'!$C$26)*(100%-'Données projet'!$C$27)</f>
        <v>20.99937852</v>
      </c>
      <c r="L7" s="161">
        <f t="shared" ref="L7:L15" ca="1" si="2">G7+I7+K7</f>
        <v>181.64286481336055</v>
      </c>
      <c r="M7" s="25">
        <f ca="1">(L7/B7)</f>
        <v>190.64112595860678</v>
      </c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>Cèdre de l'Atlas</v>
      </c>
      <c r="B8" s="163">
        <f>'Données projet'!D11</f>
        <v>1.3101</v>
      </c>
      <c r="C8" s="156">
        <f ca="1">IF(OR('Données projet'!B11="",'Données projet'!C11="",'Données projet'!C11=0%),0,Calculateur!BI3)</f>
        <v>221.07273841880755</v>
      </c>
      <c r="D8" s="156">
        <f>IF(OR('Données projet'!B11="",'Données projet'!C11="",'Données projet'!C11=0%),0,Calculateur!BJ3)</f>
        <v>164.23448598618114</v>
      </c>
      <c r="E8" s="156">
        <f t="shared" ca="1" si="0"/>
        <v>164.23448598618114</v>
      </c>
      <c r="F8" s="156">
        <f t="shared" ca="1" si="1"/>
        <v>215.16360009049592</v>
      </c>
      <c r="G8" s="156">
        <f ca="1">F8*(100%-'Données projet'!$C$24)*(100%-'Données projet'!$C$25)*(100%-'Données projet'!$C$26)*(100%-'Données projet'!$C$27)</f>
        <v>164.60015406922938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ca="1" si="2"/>
        <v>164.60015406922938</v>
      </c>
      <c r="M8" s="25">
        <f ca="1">(L8/B8)</f>
        <v>125.63938177942858</v>
      </c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>Erable sycomore</v>
      </c>
      <c r="B9" s="163">
        <f>'Données projet'!D12</f>
        <v>0.39700000000000002</v>
      </c>
      <c r="C9" s="156">
        <f ca="1">IF(OR('Données projet'!B12="",'Données projet'!C12="",'Données projet'!C12=0%),0,Calculateur!CD3)</f>
        <v>219.2279518699109</v>
      </c>
      <c r="D9" s="156">
        <f>IF(OR('Données projet'!B12="",'Données projet'!C12="",'Données projet'!C12=0%),0,Calculateur!CE3)</f>
        <v>219.59799863414099</v>
      </c>
      <c r="E9" s="156">
        <f t="shared" ca="1" si="0"/>
        <v>219.2279518699109</v>
      </c>
      <c r="F9" s="156">
        <f t="shared" ca="1" si="1"/>
        <v>87.033496892354634</v>
      </c>
      <c r="G9" s="156">
        <f ca="1">F9*(100%-'Données projet'!$C$24)*(100%-'Données projet'!$C$25)*(100%-'Données projet'!$C$26)*(100%-'Données projet'!$C$27)</f>
        <v>66.580625122651284</v>
      </c>
      <c r="H9" s="164">
        <f>IF(OR('Données projet'!B12="",'Données projet'!C12="",'Données projet'!C12=0%),0,AVERAGE(Calculateur!$CN$3:$CN$33)*B9)</f>
        <v>0.2578591571619897</v>
      </c>
      <c r="I9" s="158">
        <f>H9*(100%-'Données projet'!$C$24)*(100%-'Données projet'!$C$25)*(100%-'Données projet'!$C$26)*(100%-'Données projet'!$C$27)</f>
        <v>0.19726225522892213</v>
      </c>
      <c r="J9" s="159">
        <f>IF(OR('Données projet'!B12="",'Données projet'!C12="",'Données projet'!C12=0%),0,SUM(Calculateur!$CG$3:$CG$33)*VLOOKUP('Données projet'!$B$12,Paramètres!$A$1:$I$89,9,0)*B9)</f>
        <v>9.8257500000000011</v>
      </c>
      <c r="K9" s="160">
        <f>J9*(100%-'Données projet'!$C$24)*(100%-'Données projet'!$C$25)*(100%-'Données projet'!$C$26)*(100%-'Données projet'!$C$27)</f>
        <v>7.5166987499999998</v>
      </c>
      <c r="L9" s="161">
        <f t="shared" ca="1" si="2"/>
        <v>74.294586127880208</v>
      </c>
      <c r="M9" s="25">
        <f ca="1">L9/B9</f>
        <v>187.14001543546652</v>
      </c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710.72638012851201</v>
      </c>
      <c r="G16" s="175">
        <f t="shared" ca="1" si="3"/>
        <v>543.70568079831173</v>
      </c>
      <c r="H16" s="176">
        <f t="shared" si="3"/>
        <v>15.63078748285715</v>
      </c>
      <c r="I16" s="176">
        <f t="shared" si="3"/>
        <v>11.957552424385721</v>
      </c>
      <c r="J16" s="177">
        <f t="shared" si="3"/>
        <v>130.03099799999998</v>
      </c>
      <c r="K16" s="177">
        <f t="shared" si="3"/>
        <v>99.473713469999993</v>
      </c>
      <c r="L16" s="178">
        <f t="shared" ca="1" si="3"/>
        <v>655.13694669269739</v>
      </c>
      <c r="M16" s="25">
        <f ca="1">L16/3.97</f>
        <v>165.02190093015048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Pin laricio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>Cèdre de l'Atlas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>Erable sycomore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F1" zoomScale="90" zoomScaleNormal="90" workbookViewId="0">
      <selection activeCell="E34" sqref="E34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4361.5399738500864</v>
      </c>
      <c r="U10" s="190">
        <f>'Données projet'!D9</f>
        <v>1.3101</v>
      </c>
      <c r="V10" s="189">
        <f>U10*T10</f>
        <v>5714.0535197409981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Pin laricio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1718.9572310245039</v>
      </c>
      <c r="U11" s="190">
        <f>'Données projet'!D10</f>
        <v>0.95279999999999998</v>
      </c>
      <c r="V11" s="189">
        <f t="shared" ref="V11" si="0">U11*T11</f>
        <v>1637.8224497201472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Cèdre de l'Atlas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2073.5638140802425</v>
      </c>
      <c r="U12" s="190">
        <f>'Données projet'!D11</f>
        <v>1.3101</v>
      </c>
      <c r="V12" s="189">
        <f t="shared" ref="V12:V19" si="1">U12*T12</f>
        <v>2716.5759528265257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Erable sycomore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0.39700000000000002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>
        <v>53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52.999999999999972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>
        <v>20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1059.9999999999995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3603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/>
      <c r="D21" s="211" t="s">
        <v>132</v>
      </c>
      <c r="E21" s="206"/>
      <c r="F21" s="261"/>
      <c r="H21" s="203">
        <v>1</v>
      </c>
      <c r="I21" s="204">
        <v>727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750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13</v>
      </c>
      <c r="B23" s="193">
        <f>'Données projet'!D36</f>
        <v>28</v>
      </c>
      <c r="C23" s="206">
        <v>10</v>
      </c>
      <c r="D23" s="194">
        <f>B23*C23</f>
        <v>280</v>
      </c>
      <c r="E23" s="206"/>
      <c r="F23" s="261"/>
      <c r="H23" s="203">
        <v>3</v>
      </c>
      <c r="I23" s="204">
        <v>749</v>
      </c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-14966.280673776653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18</v>
      </c>
      <c r="B24" s="193">
        <f>'Données projet'!D37</f>
        <v>40</v>
      </c>
      <c r="C24" s="206">
        <v>20</v>
      </c>
      <c r="D24" s="194">
        <f t="shared" ref="D24:D42" si="2">B24*C24</f>
        <v>800</v>
      </c>
      <c r="E24" s="206"/>
      <c r="F24" s="264"/>
      <c r="H24" s="203">
        <v>4</v>
      </c>
      <c r="I24" s="204">
        <v>792</v>
      </c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408.25637808470464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23</v>
      </c>
      <c r="B25" s="193">
        <f>'Données projet'!D38</f>
        <v>52</v>
      </c>
      <c r="C25" s="206">
        <v>30</v>
      </c>
      <c r="D25" s="194">
        <f t="shared" si="2"/>
        <v>1560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-15374.537051861358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30</v>
      </c>
      <c r="B26" s="193">
        <f>'Données projet'!D39</f>
        <v>0</v>
      </c>
      <c r="C26" s="206">
        <v>40</v>
      </c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34</v>
      </c>
      <c r="B27" s="193">
        <f>'Données projet'!D40</f>
        <v>325</v>
      </c>
      <c r="C27" s="206">
        <v>45</v>
      </c>
      <c r="D27" s="194">
        <f t="shared" si="2"/>
        <v>14625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Pin laricio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/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22</v>
      </c>
      <c r="B54" s="193">
        <f>'Données projet'!D62</f>
        <v>16</v>
      </c>
      <c r="C54" s="204">
        <v>12</v>
      </c>
      <c r="D54" s="191">
        <f>B54*C54</f>
        <v>192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25</v>
      </c>
      <c r="B55" s="193">
        <f>'Données projet'!D63</f>
        <v>17</v>
      </c>
      <c r="C55" s="204">
        <v>12</v>
      </c>
      <c r="D55" s="191">
        <f t="shared" ref="D55:D73" si="4">B55*C55</f>
        <v>204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30</v>
      </c>
      <c r="B56" s="193">
        <f>'Données projet'!D64</f>
        <v>34</v>
      </c>
      <c r="C56" s="204">
        <v>15</v>
      </c>
      <c r="D56" s="191">
        <f t="shared" si="4"/>
        <v>510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35</v>
      </c>
      <c r="B57" s="193">
        <f>'Données projet'!D65</f>
        <v>41</v>
      </c>
      <c r="C57" s="204">
        <v>17</v>
      </c>
      <c r="D57" s="191">
        <f t="shared" si="4"/>
        <v>697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40</v>
      </c>
      <c r="B58" s="193">
        <f>'Données projet'!D66</f>
        <v>41</v>
      </c>
      <c r="C58" s="204">
        <v>17</v>
      </c>
      <c r="D58" s="191">
        <f t="shared" si="4"/>
        <v>697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45</v>
      </c>
      <c r="B59" s="193">
        <f>'Données projet'!D67</f>
        <v>53</v>
      </c>
      <c r="C59" s="204">
        <v>17</v>
      </c>
      <c r="D59" s="191">
        <f t="shared" si="4"/>
        <v>901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50</v>
      </c>
      <c r="B60" s="193">
        <f>'Données projet'!D68</f>
        <v>53</v>
      </c>
      <c r="C60" s="204">
        <v>20</v>
      </c>
      <c r="D60" s="191">
        <f t="shared" si="4"/>
        <v>1060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58</v>
      </c>
      <c r="B61" s="193">
        <f>'Données projet'!D69</f>
        <v>78</v>
      </c>
      <c r="C61" s="204">
        <v>25</v>
      </c>
      <c r="D61" s="191">
        <f t="shared" si="4"/>
        <v>1950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66</v>
      </c>
      <c r="B62" s="193">
        <f>'Données projet'!D70</f>
        <v>65</v>
      </c>
      <c r="C62" s="204">
        <v>30</v>
      </c>
      <c r="D62" s="191">
        <f t="shared" si="4"/>
        <v>1950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74</v>
      </c>
      <c r="B63" s="193">
        <f>'Données projet'!D71</f>
        <v>37</v>
      </c>
      <c r="C63" s="204">
        <v>35</v>
      </c>
      <c r="D63" s="191">
        <f t="shared" si="4"/>
        <v>1295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82</v>
      </c>
      <c r="B64" s="193">
        <f>'Données projet'!D72</f>
        <v>567</v>
      </c>
      <c r="C64" s="204">
        <v>45</v>
      </c>
      <c r="D64" s="191">
        <f t="shared" si="4"/>
        <v>25515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str">
        <f>IF(O67+1&lt;=MIN('Données projet'!$E$9:$E$18),O67+1,"STOP")</f>
        <v>STOP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>Cèdre de l'Atlas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/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30</v>
      </c>
      <c r="B85" s="193">
        <f>'Données projet'!D88</f>
        <v>0</v>
      </c>
      <c r="C85" s="204">
        <v>0</v>
      </c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35</v>
      </c>
      <c r="B86" s="193">
        <f>'Données projet'!D89</f>
        <v>0</v>
      </c>
      <c r="C86" s="204">
        <v>0</v>
      </c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42</v>
      </c>
      <c r="B87" s="193">
        <f>'Données projet'!D90</f>
        <v>182</v>
      </c>
      <c r="C87" s="204">
        <v>15</v>
      </c>
      <c r="D87" s="191">
        <f t="shared" si="6"/>
        <v>2730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43</v>
      </c>
      <c r="B88" s="193">
        <f>'Données projet'!D91</f>
        <v>0</v>
      </c>
      <c r="C88" s="204">
        <v>0</v>
      </c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49</v>
      </c>
      <c r="B89" s="193">
        <f>'Données projet'!D92</f>
        <v>100</v>
      </c>
      <c r="C89" s="204">
        <v>25</v>
      </c>
      <c r="D89" s="191">
        <f t="shared" si="6"/>
        <v>2500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50</v>
      </c>
      <c r="B90" s="193">
        <f>'Données projet'!D93</f>
        <v>0</v>
      </c>
      <c r="C90" s="204">
        <v>0</v>
      </c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56</v>
      </c>
      <c r="B91" s="193">
        <f>'Données projet'!D94</f>
        <v>79</v>
      </c>
      <c r="C91" s="204">
        <v>30</v>
      </c>
      <c r="D91" s="191">
        <f t="shared" si="6"/>
        <v>2370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57</v>
      </c>
      <c r="B92" s="193">
        <f>'Données projet'!D95</f>
        <v>0</v>
      </c>
      <c r="C92" s="204">
        <v>0</v>
      </c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63</v>
      </c>
      <c r="B93" s="193">
        <f>'Données projet'!D96</f>
        <v>79</v>
      </c>
      <c r="C93" s="204">
        <v>35</v>
      </c>
      <c r="D93" s="191">
        <f t="shared" si="6"/>
        <v>2765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64</v>
      </c>
      <c r="B94" s="193">
        <f>'Données projet'!D97</f>
        <v>0</v>
      </c>
      <c r="C94" s="204">
        <v>0</v>
      </c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71</v>
      </c>
      <c r="B95" s="193">
        <f>'Données projet'!D98</f>
        <v>91</v>
      </c>
      <c r="C95" s="204">
        <v>40</v>
      </c>
      <c r="D95" s="191">
        <f t="shared" si="6"/>
        <v>3640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72</v>
      </c>
      <c r="B96" s="193">
        <f>'Données projet'!D99</f>
        <v>0</v>
      </c>
      <c r="C96" s="204">
        <v>0</v>
      </c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79</v>
      </c>
      <c r="B97" s="193">
        <f>'Données projet'!D100</f>
        <v>88</v>
      </c>
      <c r="C97" s="204">
        <v>50</v>
      </c>
      <c r="D97" s="191">
        <f t="shared" si="6"/>
        <v>4400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80</v>
      </c>
      <c r="B98" s="193">
        <f>'Données projet'!D101</f>
        <v>0</v>
      </c>
      <c r="C98" s="204">
        <v>0</v>
      </c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87</v>
      </c>
      <c r="B99" s="193">
        <f>'Données projet'!D102</f>
        <v>89</v>
      </c>
      <c r="C99" s="204">
        <v>60</v>
      </c>
      <c r="D99" s="191">
        <f t="shared" si="6"/>
        <v>5340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88</v>
      </c>
      <c r="B100" s="193">
        <f>'Données projet'!D103</f>
        <v>0</v>
      </c>
      <c r="C100" s="204">
        <v>0</v>
      </c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94</v>
      </c>
      <c r="B101" s="193">
        <f>'Données projet'!D104</f>
        <v>0</v>
      </c>
      <c r="C101" s="204">
        <v>0</v>
      </c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95</v>
      </c>
      <c r="B102" s="193">
        <f>'Données projet'!D105</f>
        <v>269</v>
      </c>
      <c r="C102" s="204">
        <v>70</v>
      </c>
      <c r="D102" s="191">
        <f t="shared" si="6"/>
        <v>18830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96</v>
      </c>
      <c r="B103" s="193">
        <f>'Données projet'!D106</f>
        <v>0</v>
      </c>
      <c r="C103" s="204">
        <v>0</v>
      </c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105</v>
      </c>
      <c r="B104" s="193">
        <f>'Données projet'!D107</f>
        <v>357</v>
      </c>
      <c r="C104" s="204">
        <v>80</v>
      </c>
      <c r="D104" s="191">
        <f t="shared" si="6"/>
        <v>28560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>Erable sycomore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15</v>
      </c>
      <c r="B116" s="193">
        <f>'Données projet'!D114</f>
        <v>15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20</v>
      </c>
      <c r="B117" s="193">
        <f>'Données projet'!D115</f>
        <v>28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25</v>
      </c>
      <c r="B118" s="193">
        <f>'Données projet'!D116</f>
        <v>28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30</v>
      </c>
      <c r="B119" s="193">
        <f>'Données projet'!D117</f>
        <v>28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35</v>
      </c>
      <c r="B120" s="193">
        <f>'Données projet'!D118</f>
        <v>28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40</v>
      </c>
      <c r="B121" s="193">
        <f>'Données projet'!D119</f>
        <v>28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45</v>
      </c>
      <c r="B122" s="193">
        <f>'Données projet'!D120</f>
        <v>22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50</v>
      </c>
      <c r="B123" s="193">
        <f>'Données projet'!D121</f>
        <v>17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55</v>
      </c>
      <c r="B124" s="193">
        <f>'Données projet'!D122</f>
        <v>13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60</v>
      </c>
      <c r="B125" s="193">
        <f>'Données projet'!D123</f>
        <v>12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65</v>
      </c>
      <c r="B126" s="193">
        <f>'Données projet'!D124</f>
        <v>11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70</v>
      </c>
      <c r="B127" s="193">
        <f>'Données projet'!D125</f>
        <v>10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75</v>
      </c>
      <c r="B128" s="193">
        <f>'Données projet'!D126</f>
        <v>9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80</v>
      </c>
      <c r="B129" s="193">
        <f>'Données projet'!D127</f>
        <v>275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2025-07-18T12:39:13Z</dcterms:modified>
</cp:coreProperties>
</file>