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Espalais (82) - GF d'Auvillar - Projet 3\Doc fin\"/>
    </mc:Choice>
  </mc:AlternateContent>
  <xr:revisionPtr revIDLastSave="0" documentId="13_ncr:1_{C8845A0B-C56E-4C74-B8EF-5C325063D38C}" xr6:coauthVersionLast="36" xr6:coauthVersionMax="36" xr10:uidLastSave="{00000000-0000-0000-0000-000000000000}"/>
  <bookViews>
    <workbookView xWindow="0" yWindow="0" windowWidth="28800" windowHeight="11505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M4" i="8" s="1"/>
  <c r="U16" i="6"/>
  <c r="V16" i="6" s="1"/>
  <c r="I4" i="8"/>
  <c r="U15" i="6"/>
  <c r="V15" i="6" s="1"/>
  <c r="H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<sst xmlns="http://schemas.openxmlformats.org/spreadsheetml/2006/main" count="1187" uniqueCount="337">
  <si>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</si>
  <si>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</si>
  <si>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</si>
  <si>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</si>
  <si>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</si>
  <si>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</si>
  <si>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</si>
  <si>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</si>
  <si>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</si>
  <si>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</si>
  <si>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</si>
  <si>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</si>
  <si>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</si>
  <si>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</si>
  <si>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</si>
  <si>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</si>
  <si>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</si>
  <si>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</si>
  <si>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</si>
  <si>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</si>
  <si>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</si>
  <si>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</si>
  <si>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</si>
  <si>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</si>
  <si>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</si>
  <si>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</si>
  <si>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</si>
  <si>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</si>
  <si>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</si>
  <si>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</si>
  <si>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</si>
  <si>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</si>
  <si>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</si>
  <si>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</si>
  <si>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</si>
  <si>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</si>
  <si>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</si>
  <si>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</si>
  <si>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</si>
  <si>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</si>
  <si>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</si>
  <si>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</si>
  <si>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</si>
  <si>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</si>
  <si>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</si>
  <si>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</si>
  <si>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</si>
  <si>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</si>
  <si>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</si>
  <si>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</si>
  <si>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</si>
  <si>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</si>
  <si>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</si>
  <si>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</si>
  <si>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</si>
  <si>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</si>
  <si>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</si>
  <si>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</si>
  <si>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</si>
  <si>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</si>
  <si>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</si>
  <si>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</si>
  <si>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</si>
  <si>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</si>
  <si>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</si>
  <si>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</si>
  <si>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</si>
  <si>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</si>
  <si>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</si>
  <si>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</si>
  <si>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</si>
  <si>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</si>
  <si>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</si>
  <si>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</si>
  <si>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</si>
  <si>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</si>
  <si>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</si>
  <si>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</si>
  <si>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</si>
  <si>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</si>
  <si>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</si>
  <si>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</si>
  <si>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</si>
  <si>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</si>
  <si>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</si>
  <si>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</si>
  <si>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</si>
  <si>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</si>
  <si>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</si>
  <si>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</si>
  <si>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</si>
  <si>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</si>
  <si>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</si>
  <si>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</si>
  <si>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</si>
  <si>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</si>
  <si>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</si>
  <si>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</si>
  <si>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</si>
  <si>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</si>
  <si>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</si>
  <si>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</si>
  <si>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</si>
  <si>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</si>
  <si>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</si>
  <si>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</si>
  <si>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</si>
  <si>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</si>
  <si>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</si>
  <si>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</si>
  <si>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</si>
  <si>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</si>
  <si>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</si>
  <si>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</si>
  <si>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</si>
  <si>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</si>
  <si>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</si>
  <si>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</si>
  <si>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</si>
  <si>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</si>
  <si>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</si>
  <si>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</si>
  <si>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</si>
  <si>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</si>
  <si>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</si>
  <si>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</si>
  <si>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</si>
  <si>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</si>
  <si>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</si>
  <si>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</si>
  <si>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</si>
  <si>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</si>
  <si>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</si>
  <si>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</si>
  <si>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</si>
  <si>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</si>
  <si>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</si>
  <si>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</si>
  <si>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</si>
  <si>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</si>
  <si>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</si>
  <si>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</si>
  <si>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</si>
  <si>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</si>
  <si>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</si>
  <si>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</si>
  <si>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</si>
  <si>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</si>
  <si>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</si>
  <si>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</si>
  <si>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</si>
  <si>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</si>
  <si>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</si>
  <si>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</si>
  <si>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</si>
  <si>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</si>
  <si>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</si>
  <si>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</si>
  <si>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</si>
  <si>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</si>
  <si>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</si>
  <si>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</si>
  <si>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</si>
  <si>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</si>
  <si>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</si>
  <si>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</si>
  <si>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</si>
  <si>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</si>
  <si>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</si>
  <si>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</si>
  <si>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</si>
  <si>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</si>
  <si>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</si>
  <si>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</si>
  <si>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</si>
  <si>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</si>
  <si>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</si>
  <si>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</si>
  <si>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</si>
  <si>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</si>
  <si>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</si>
  <si>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</si>
  <si>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</si>
  <si>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</si>
  <si>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</si>
  <si>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</si>
  <si>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</si>
  <si>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</si>
  <si>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</si>
  <si>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</si>
  <si>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</si>
  <si>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</si>
  <si>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</si>
  <si>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</si>
  <si>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</si>
  <si>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</si>
  <si>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</si>
  <si>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</si>
  <si>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</si>
  <si>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</si>
  <si>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</si>
  <si>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</si>
  <si>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</si>
  <si>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</si>
  <si>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</si>
  <si>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</si>
  <si>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</si>
  <si>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</si>
  <si>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</si>
  <si>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</si>
  <si>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</si>
  <si>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</si>
  <si>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</si>
  <si>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</si>
  <si>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</si>
  <si>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</si>
  <si>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</si>
  <si>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</si>
  <si>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</si>
  <si>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</si>
  <si>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</si>
  <si>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</si>
  <si>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</si>
  <si>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</si>
  <si>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</si>
  <si>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</si>
  <si>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</si>
  <si>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</si>
  <si>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</si>
  <si>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</si>
  <si>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</si>
  <si>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</si>
  <si>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</si>
  <si>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</si>
  <si>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</si>
  <si>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</si>
  <si>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</si>
  <si>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</si>
  <si>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</si>
  <si>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</si>
  <si>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</si>
  <si>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</si>
  <si>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</si>
  <si>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</si>
  <si>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</si>
  <si>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</si>
  <si>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</si>
  <si>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</si>
  <si>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</si>
  <si>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</si>
  <si>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</si>
  <si>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</si>
  <si>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</si>
  <si>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</si>
  <si>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</si>
  <si>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</si>
  <si>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</si>
  <si>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</si>
  <si>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</si>
  <si>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</si>
  <si>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</si>
  <si>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</si>
  <si>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</si>
  <si>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</si>
  <si>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</si>
  <si>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</si>
  <si>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</si>
  <si>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</si>
  <si>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</si>
  <si>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</si>
  <si>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</si>
  <si>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</si>
  <si>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</si>
  <si>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</si>
  <si>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</si>
  <si>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</si>
  <si>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</si>
  <si>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</si>
  <si>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</si>
  <si>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</si>
  <si>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</si>
  <si>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</si>
  <si>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</si>
  <si>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</si>
  <si>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</si>
  <si>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</si>
  <si>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</si>
  <si>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</si>
  <si>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</si>
  <si>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</si>
  <si>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</si>
  <si>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</si>
  <si>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</si>
  <si>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</si>
  <si>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</si>
  <si>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</si>
  <si>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</si>
  <si>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</si>
  <si>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</si>
  <si>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</si>
  <si>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</si>
  <si>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</si>
  <si>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</si>
  <si>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</si>
  <si>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</si>
  <si>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</si>
  <si>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</si>
  <si>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</si>
  <si>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</si>
  <si>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</si>
  <si>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</si>
  <si>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</si>
  <si>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</si>
  <si>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</si>
  <si>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</si>
  <si>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</si>
  <si>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</si>
  <si>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</si>
  <si>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</si>
  <si>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</si>
  <si>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</si>
  <si>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</si>
  <si>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</si>
  <si>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</si>
  <si>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</si>
  <si>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</si>
  <si>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</si>
  <si>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</si>
  <si>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</si>
  <si>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</si>
  <si>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</si>
  <si>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</si>
  <si>
    <t>Clone du projet</t>
  </si>
  <si>
    <t>vesten</t>
  </si>
  <si>
    <t>polargo</t>
  </si>
  <si>
    <t>Moleto</t>
  </si>
  <si>
    <t>Ludo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</si>
</sst>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1.5823974266468512</c:v>
                </c:pt>
                <c:pt idx="2">
                  <c:v>2.1692011685231982</c:v>
                </c:pt>
                <c:pt idx="3">
                  <c:v>2.9745519956082269</c:v>
                </c:pt>
                <c:pt idx="4">
                  <c:v>4.0801755777193982</c:v>
                </c:pt>
                <c:pt idx="5">
                  <c:v>5.5984746132494401</c:v>
                </c:pt>
                <c:pt idx="6">
                  <c:v>7.6840842587233338</c:v>
                </c:pt>
                <c:pt idx="7">
                  <c:v>10.549794255340892</c:v>
                </c:pt>
                <c:pt idx="8">
                  <c:v>14.48849273056222</c:v>
                </c:pt>
                <c:pt idx="9">
                  <c:v>19.903415558573908</c:v>
                </c:pt>
                <c:pt idx="10">
                  <c:v>27.349853632636549</c:v>
                </c:pt>
                <c:pt idx="11">
                  <c:v>37.592669886314191</c:v>
                </c:pt>
                <c:pt idx="12">
                  <c:v>51.685634829056177</c:v>
                </c:pt>
                <c:pt idx="13">
                  <c:v>71.080878543708366</c:v>
                </c:pt>
                <c:pt idx="14">
                  <c:v>97.779920261677887</c:v>
                </c:pt>
                <c:pt idx="15">
                  <c:v>134.54210810324034</c:v>
                </c:pt>
                <c:pt idx="16">
                  <c:v>185.17234376474894</c:v>
                </c:pt>
                <c:pt idx="17">
                  <c:v>254.91831953063775</c:v>
                </c:pt>
                <c:pt idx="18">
                  <c:v>351.01904297525965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vérification!$C$6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C9-4A71-BA1D-3592B0F3DB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C9-4A71-BA1D-3592B0F3DB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C9-4A71-BA1D-3592B0F3DB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C9-4A71-BA1D-3592B0F3DB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C9-4A71-BA1D-3592B0F3DB1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5C9-4A71-BA1D-3592B0F3DB1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95C9-4A71-BA1D-3592B0F3DB1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95C9-4A71-BA1D-3592B0F3DB1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95C9-4A71-BA1D-3592B0F3DB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vérification!$D$5:$L$5</c:f>
              <c:numCache>
                <c:formatCode>General</c:formatCode>
                <c:ptCount val="9"/>
              </c:numCache>
            </c:numRef>
          </c:cat>
          <c:val>
            <c:numRef>
              <c:f>vérification!$D$6:$L$6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2028-42E2-A353-9C643656EFD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2.0443095883317111</c:v>
                </c:pt>
                <c:pt idx="2">
                  <c:v>2.8031265897489699</c:v>
                </c:pt>
                <c:pt idx="3">
                  <c:v>3.844808149496854</c:v>
                </c:pt>
                <c:pt idx="4">
                  <c:v>5.2752201272396171</c:v>
                </c:pt>
                <c:pt idx="5">
                  <c:v>7.2399977114758753</c:v>
                </c:pt>
                <c:pt idx="6">
                  <c:v>9.9395364631808931</c:v>
                </c:pt>
                <c:pt idx="7">
                  <c:v>13.649652054924559</c:v>
                </c:pt>
                <c:pt idx="8">
                  <c:v>18.750058419963384</c:v>
                </c:pt>
                <c:pt idx="9">
                  <c:v>25.763631375366874</c:v>
                </c:pt>
                <c:pt idx="10">
                  <c:v>35.41055362913054</c:v>
                </c:pt>
                <c:pt idx="11">
                  <c:v>48.682996386315601</c:v>
                </c:pt>
                <c:pt idx="12">
                  <c:v>66.948147014696815</c:v>
                </c:pt>
                <c:pt idx="13">
                  <c:v>92.090368861278762</c:v>
                </c:pt>
                <c:pt idx="14">
                  <c:v>126.70739287825636</c:v>
                </c:pt>
                <c:pt idx="15">
                  <c:v>174.38112628904253</c:v>
                </c:pt>
                <c:pt idx="16">
                  <c:v>240.05152293355786</c:v>
                </c:pt>
                <c:pt idx="17">
                  <c:v>330.53282578703499</c:v>
                </c:pt>
                <c:pt idx="18">
                  <c:v>455.22651645684368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1.7063584722354708</c:v>
                </c:pt>
                <c:pt idx="2">
                  <c:v>2.3393089953336514</c:v>
                </c:pt>
                <c:pt idx="3">
                  <c:v>3.208055903685203</c:v>
                </c:pt>
                <c:pt idx="4">
                  <c:v>4.4007971272575226</c:v>
                </c:pt>
                <c:pt idx="5">
                  <c:v>6.0388447157031919</c:v>
                </c:pt>
                <c:pt idx="6">
                  <c:v>8.2891009187823883</c:v>
                </c:pt>
                <c:pt idx="7">
                  <c:v>11.381249785332686</c:v>
                </c:pt>
                <c:pt idx="8">
                  <c:v>15.631451777882999</c:v>
                </c:pt>
                <c:pt idx="9">
                  <c:v>21.475008272678281</c:v>
                </c:pt>
                <c:pt idx="10">
                  <c:v>29.511401012038618</c:v>
                </c:pt>
                <c:pt idx="11">
                  <c:v>40.566407414579011</c:v>
                </c:pt>
                <c:pt idx="12">
                  <c:v>55.777782745490619</c:v>
                </c:pt>
                <c:pt idx="13">
                  <c:v>76.713473403965864</c:v>
                </c:pt>
                <c:pt idx="14">
                  <c:v>105.53474322365759</c:v>
                </c:pt>
                <c:pt idx="15">
                  <c:v>145.22131799223271</c:v>
                </c:pt>
                <c:pt idx="16">
                  <c:v>199.88218211451499</c:v>
                </c:pt>
                <c:pt idx="17">
                  <c:v>275.18468679183292</c:v>
                </c:pt>
                <c:pt idx="18">
                  <c:v>378.94710772859554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2.0443095883317111</c:v>
                </c:pt>
                <c:pt idx="2">
                  <c:v>2.8031265897489699</c:v>
                </c:pt>
                <c:pt idx="3">
                  <c:v>3.844808149496854</c:v>
                </c:pt>
                <c:pt idx="4">
                  <c:v>5.2752201272396171</c:v>
                </c:pt>
                <c:pt idx="5">
                  <c:v>7.2399977114758753</c:v>
                </c:pt>
                <c:pt idx="6">
                  <c:v>9.9395364631808931</c:v>
                </c:pt>
                <c:pt idx="7">
                  <c:v>13.649652054924559</c:v>
                </c:pt>
                <c:pt idx="8">
                  <c:v>18.750058419963384</c:v>
                </c:pt>
                <c:pt idx="9">
                  <c:v>25.763631375366874</c:v>
                </c:pt>
                <c:pt idx="10">
                  <c:v>35.41055362913054</c:v>
                </c:pt>
                <c:pt idx="11">
                  <c:v>48.682996386315601</c:v>
                </c:pt>
                <c:pt idx="12">
                  <c:v>66.948147014696815</c:v>
                </c:pt>
                <c:pt idx="13">
                  <c:v>92.090368861278762</c:v>
                </c:pt>
                <c:pt idx="14">
                  <c:v>126.70739287825636</c:v>
                </c:pt>
                <c:pt idx="15">
                  <c:v>174.38112628904253</c:v>
                </c:pt>
                <c:pt idx="16">
                  <c:v>240.05152293355786</c:v>
                </c:pt>
                <c:pt idx="17">
                  <c:v>330.53282578703499</c:v>
                </c:pt>
                <c:pt idx="18">
                  <c:v>455.22651645684368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12</xdr:row>
      <xdr:rowOff>42862</xdr:rowOff>
    </xdr:from>
    <xdr:to>
      <xdr:col>9</xdr:col>
      <xdr:colOff>0</xdr:colOff>
      <xdr:row>26</xdr:row>
      <xdr:rowOff>119062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A82C06F-E780-42D4-83B8-05B594BCD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21" sqref="E2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7" t="s">
        <v>190</v>
      </c>
      <c r="D1" s="317"/>
      <c r="E1" s="31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10.7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H8" s="25" t="s">
        <v>332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111</v>
      </c>
      <c r="C9" s="35">
        <v>0.25</v>
      </c>
      <c r="D9" s="36">
        <f t="shared" ref="D9:D18" si="0">C9*$C$5</f>
        <v>2.6749999999999998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H9" s="25" t="s">
        <v>336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118</v>
      </c>
      <c r="C10" s="35">
        <v>0.25</v>
      </c>
      <c r="D10" s="36">
        <f t="shared" si="0"/>
        <v>2.6749999999999998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H10" s="25" t="s">
        <v>335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116</v>
      </c>
      <c r="C11" s="35">
        <v>0.25</v>
      </c>
      <c r="D11" s="36">
        <f t="shared" si="0"/>
        <v>2.6749999999999998</v>
      </c>
      <c r="E11" s="37">
        <v>18</v>
      </c>
      <c r="F11" s="38" t="str">
        <f t="array" ref="F11">IF(E11="","",IF(INDEX(A:A,MAX(IF(ISNUMBER($A$88:$A$107),ROW($A$88:$A$107),"")))&lt;&gt;E11,"Corrigez : révolution incorrecte","OK"))</f>
        <v>OK</v>
      </c>
      <c r="H11" s="231" t="s">
        <v>334</v>
      </c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118</v>
      </c>
      <c r="C12" s="35">
        <v>0.25</v>
      </c>
      <c r="D12" s="36">
        <f t="shared" si="0"/>
        <v>2.6749999999999998</v>
      </c>
      <c r="E12" s="37">
        <v>18</v>
      </c>
      <c r="F12" s="38" t="str">
        <f t="array" ref="F12">IF(E12="","",IF(INDEX(A:A,MAX(IF(ISNUMBER($A$114:$A$133),ROW($A$114:$A$133),"")))&lt;&gt;E12,"Corrigez : révolution incorrecte","OK"))</f>
        <v>OK</v>
      </c>
      <c r="H12" s="231" t="s">
        <v>333</v>
      </c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10.7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I-214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3" t="s">
        <v>186</v>
      </c>
      <c r="D34" s="313"/>
      <c r="E34" s="314" t="s">
        <v>187</v>
      </c>
      <c r="F34" s="315"/>
      <c r="G34" s="315"/>
      <c r="H34" s="31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63">
        <v>365</v>
      </c>
      <c r="C36" s="63">
        <v>1</v>
      </c>
      <c r="D36" s="63">
        <v>365</v>
      </c>
      <c r="E36" s="54">
        <v>0.77</v>
      </c>
      <c r="F36" s="54">
        <v>0.21</v>
      </c>
      <c r="G36" s="54"/>
      <c r="H36" s="54"/>
      <c r="I36" s="52">
        <f>IFERROR(B36/A36,"")</f>
        <v>20.277777777777779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Taro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3" t="s">
        <v>186</v>
      </c>
      <c r="D60" s="313"/>
      <c r="E60" s="314" t="s">
        <v>187</v>
      </c>
      <c r="F60" s="315"/>
      <c r="G60" s="315"/>
      <c r="H60" s="31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18</v>
      </c>
      <c r="B62" s="63">
        <v>365</v>
      </c>
      <c r="C62" s="63">
        <v>1</v>
      </c>
      <c r="D62" s="63">
        <v>365</v>
      </c>
      <c r="E62" s="54">
        <v>0.77</v>
      </c>
      <c r="F62" s="54">
        <v>0.21</v>
      </c>
      <c r="G62" s="54"/>
      <c r="H62" s="54"/>
      <c r="I62" s="56">
        <f>IFERROR(B62/A62,"")</f>
        <v>20.277777777777779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Polargo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3" t="s">
        <v>186</v>
      </c>
      <c r="D86" s="313"/>
      <c r="E86" s="314" t="s">
        <v>187</v>
      </c>
      <c r="F86" s="315"/>
      <c r="G86" s="315"/>
      <c r="H86" s="31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18</v>
      </c>
      <c r="B88" s="63">
        <v>365</v>
      </c>
      <c r="C88" s="63">
        <v>1</v>
      </c>
      <c r="D88" s="63">
        <v>365</v>
      </c>
      <c r="E88" s="54">
        <v>0.77</v>
      </c>
      <c r="F88" s="54">
        <v>0.21</v>
      </c>
      <c r="G88" s="54"/>
      <c r="H88" s="93"/>
      <c r="I88" s="56">
        <f>IFERROR(B88/A88,"")</f>
        <v>20.277777777777779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Peuplier Taro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3" t="s">
        <v>186</v>
      </c>
      <c r="D112" s="313"/>
      <c r="E112" s="314" t="s">
        <v>187</v>
      </c>
      <c r="F112" s="315"/>
      <c r="G112" s="315"/>
      <c r="H112" s="31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18</v>
      </c>
      <c r="B114" s="63">
        <v>365</v>
      </c>
      <c r="C114" s="63">
        <v>1</v>
      </c>
      <c r="D114" s="63">
        <v>365</v>
      </c>
      <c r="E114" s="54">
        <v>0.77</v>
      </c>
      <c r="F114" s="54">
        <v>0.21</v>
      </c>
      <c r="G114" s="54"/>
      <c r="H114" s="54"/>
      <c r="I114" s="56">
        <f>IFERROR(B114/A114,"")</f>
        <v>20.277777777777779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3" t="s">
        <v>186</v>
      </c>
      <c r="D138" s="313"/>
      <c r="E138" s="314" t="s">
        <v>187</v>
      </c>
      <c r="F138" s="315"/>
      <c r="G138" s="315"/>
      <c r="H138" s="31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3" t="s">
        <v>186</v>
      </c>
      <c r="D164" s="313"/>
      <c r="E164" s="314" t="s">
        <v>187</v>
      </c>
      <c r="F164" s="315"/>
      <c r="G164" s="315"/>
      <c r="H164" s="31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3" t="s">
        <v>186</v>
      </c>
      <c r="D190" s="313"/>
      <c r="E190" s="314" t="s">
        <v>187</v>
      </c>
      <c r="F190" s="315"/>
      <c r="G190" s="315"/>
      <c r="H190" s="31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3" t="s">
        <v>186</v>
      </c>
      <c r="D216" s="313"/>
      <c r="E216" s="314" t="s">
        <v>187</v>
      </c>
      <c r="F216" s="315"/>
      <c r="G216" s="315"/>
      <c r="H216" s="31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3" t="s">
        <v>186</v>
      </c>
      <c r="D242" s="313"/>
      <c r="E242" s="314" t="s">
        <v>187</v>
      </c>
      <c r="F242" s="315"/>
      <c r="G242" s="315"/>
      <c r="H242" s="31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3" t="s">
        <v>186</v>
      </c>
      <c r="D268" s="313"/>
      <c r="E268" s="314" t="s">
        <v>187</v>
      </c>
      <c r="F268" s="315"/>
      <c r="G268" s="315"/>
      <c r="H268" s="31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Peuplier I-214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Peuplier Taro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>Peuplier Polargo</v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>Peuplier Taro</v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/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54.970220527721665</v>
      </c>
      <c r="T3" s="62">
        <f>IF('Données projet'!E9&gt;30,$R$33-$H$33,LOOKUP('Données projet'!$E$9,$A$3:$A$203,R3:R203)-LOOKUP('Données projet'!$E$9,$A$3:$A$203,$H$3:$H$203))</f>
        <v>326.57367524399677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74.926559033177455</v>
      </c>
      <c r="AO3" s="62">
        <f>IF('Données projet'!E10&gt;30,$AM$33-$H$33,LOOKUP('Données projet'!$E$10,$A$3:$A$203,AM3:AM203)-LOOKUP('Données projet'!$E$10,$A$3:$A$203,$H$3:$H$203))</f>
        <v>430.78114872558075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60.31958470054127</v>
      </c>
      <c r="BJ3" s="62">
        <f>IF('Données projet'!E11&gt;30,$BH$33-$H$33,LOOKUP('Données projet'!$E$11,$A$3:$A$203,BH3:BH203)-LOOKUP('Données projet'!$E$11,$A$3:$A$203,$H$3:$H$203))</f>
        <v>354.50173999733266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74.926559033177455</v>
      </c>
      <c r="CE3" s="62">
        <f>IF('Données projet'!E12&gt;30,$CC$33-$H$33,LOOKUP('Données projet'!$E$12,$A$3:$A$203,CC3:CC203)-LOOKUP('Données projet'!$E$12,$A$3:$A$203,$H$3:$H$203))</f>
        <v>430.78114872558075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0.57720000000000005</v>
      </c>
      <c r="D4" s="12">
        <f>IFERROR(EXP(-1.0587+0.8836*LN(C4)+0.284),0)</f>
        <v>0.28356981728235242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6.6445389404251776</v>
      </c>
      <c r="H4" s="70">
        <f t="shared" ref="H4:H67" si="1">(B4+E4+F4)*44/12+(C4+D4)*0.475*44/12</f>
        <v>294.83250743176677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20.277777777777779</v>
      </c>
      <c r="N4" s="14">
        <f>IF('Données projet'!$A$36&gt;35,N3+M4-V3,IF(A4&lt;'Données projet'!$A$36,$K$205^A4,IF(A4='Données projet'!$A$36,'Données projet'!$B$36,N3+M4-V3)))</f>
        <v>1.3878726056494621</v>
      </c>
      <c r="O4" s="14">
        <f>N4*VLOOKUP('Données projet'!$B$9,Paramètres!$A$1:$I$89,3,0)*VLOOKUP('Données projet'!$B$9,Paramètres!$A$1:$I$89,5,0)</f>
        <v>0.61055291667731137</v>
      </c>
      <c r="P4" s="14">
        <f>EXP(-1.0587+0.8836*LN(O4)+0.284)</f>
        <v>0.29800062972279451</v>
      </c>
      <c r="Q4" s="22">
        <f t="shared" ref="Q4:Q34" si="2">(O4+P4)*0.475*44/12</f>
        <v>1.5823974266468512</v>
      </c>
      <c r="R4" s="62">
        <f t="shared" si="0"/>
        <v>294.91573075998019</v>
      </c>
      <c r="S4" s="62">
        <f ca="1">AVERAGE(OFFSET($R$3,0,0,'Données projet'!$E$9+1,1))-AVERAGE(OFFSET($H$3,0,0,'Données projet'!$E$9+1,1))</f>
        <v>54.970220527721665</v>
      </c>
      <c r="T4" s="62">
        <f>$T$3</f>
        <v>326.57367524399677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20.277777777777779</v>
      </c>
      <c r="AI4" s="14">
        <f>IF('Données projet'!$A$62&gt;35,AI3+AH4-AQ3,IF(A4&lt;'Données projet'!$A$62,$AF$205^A4,IF(A4='Données projet'!$A$62,'Données projet'!$B$62,AI3+AH4-AQ3)))</f>
        <v>1.3878726056494621</v>
      </c>
      <c r="AJ4" s="14">
        <f>AI4*VLOOKUP('Données projet'!$B$10,Paramètres!$A$1:$I$89,3,0)*VLOOKUP('Données projet'!$B$10,Paramètres!$A$1:$I$89,5,0)</f>
        <v>0.79674990545124325</v>
      </c>
      <c r="AK4" s="14">
        <f>EXP(-1.0587+0.8836*LN(AJ4)+0.284)</f>
        <v>0.37701636536122274</v>
      </c>
      <c r="AL4" s="22">
        <f t="shared" ref="AL4:AL67" si="4">(AJ4+AK4)*0.475*44/12</f>
        <v>2.0443095883317111</v>
      </c>
      <c r="AM4" s="62">
        <f t="shared" ref="AM4:AM67" si="5">AL4+(AD4+AE4)*44/12</f>
        <v>295.37764292166503</v>
      </c>
      <c r="AN4" s="62">
        <f ca="1">AVERAGE(OFFSET($AM$3,0,0,'Données projet'!$E$10+1,1))-AVERAGE(OFFSET($H$3,0,0,'Données projet'!$E$10+1,1))</f>
        <v>74.926559033177455</v>
      </c>
      <c r="AO4" s="62">
        <f>$AO$3</f>
        <v>430.78114872558075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20.277777777777779</v>
      </c>
      <c r="BD4" s="13">
        <f>IF('Données projet'!$A$88&gt;35,BD3+BC4-BL3,IF(A4&lt;'Données projet'!$A$88,$BA$205^A4,IF(A4='Données projet'!$A$88,'Données projet'!$B$88,BD3+BC4-BL3)))</f>
        <v>1.3878726056494621</v>
      </c>
      <c r="BE4" s="14">
        <f>BD4*VLOOKUP('Données projet'!$B$11,Paramètres!$A$1:$I$89,3,0)*VLOOKUP('Données projet'!$B$11,Paramètres!$A$1:$I$89,5,0)</f>
        <v>0.66034978576801406</v>
      </c>
      <c r="BF4" s="14">
        <f>EXP(-1.0587+0.8836*LN(BE4)+0.284)</f>
        <v>0.31937756671168199</v>
      </c>
      <c r="BG4" s="22">
        <f t="shared" ref="BG4:BG67" si="7">(BE4+BF4)*0.475*44/12</f>
        <v>1.7063584722354708</v>
      </c>
      <c r="BH4" s="62">
        <f t="shared" ref="BH4:BH67" si="8">BG4+(AY4+AZ4)*44/12</f>
        <v>295.03969180556879</v>
      </c>
      <c r="BI4" s="62">
        <f ca="1">AVERAGE(OFFSET($BH$3,0,0,'Données projet'!$E$11+1,1))-AVERAGE(OFFSET($H$3,0,0,'Données projet'!$E$11+1,1))</f>
        <v>60.31958470054127</v>
      </c>
      <c r="BJ4" s="62">
        <f>$BJ$3</f>
        <v>354.50173999733266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20.277777777777779</v>
      </c>
      <c r="BY4" s="13">
        <f>IF('Données projet'!$A$114&gt;35,BY3+BX4-CG3,IF(A4&lt;'Données projet'!$A$114,$BV$205^A4,IF(A4='Données projet'!$A$114,'Données projet'!$B$114,BY3+BX4-CG3)))</f>
        <v>1.3878726056494621</v>
      </c>
      <c r="BZ4" s="14">
        <f>BY4*VLOOKUP('Données projet'!$B$12,Paramètres!$A$1:$I$89,3,0)*VLOOKUP('Données projet'!$B$12,Paramètres!$A$1:$I$89,5,0)</f>
        <v>0.79674990545124325</v>
      </c>
      <c r="CA4" s="14">
        <f>EXP(-1.0587+0.8836*LN(BZ4)+0.284)</f>
        <v>0.37701636536122274</v>
      </c>
      <c r="CB4" s="22">
        <f t="shared" ref="CB4:CB67" si="10">(BZ4+CA4)*0.475*44/12</f>
        <v>2.0443095883317111</v>
      </c>
      <c r="CC4" s="62">
        <f t="shared" ref="CC4:CC67" si="11">CB4+(BT4+BU4)*44/12</f>
        <v>295.37764292166503</v>
      </c>
      <c r="CD4" s="62">
        <f ca="1">AVERAGE(OFFSET($CC$3,0,0,'Données projet'!$E$12+1,1))-AVERAGE(OFFSET($H$3,0,0,'Données projet'!$E$12+1,1))</f>
        <v>74.926559033177455</v>
      </c>
      <c r="CE4" s="62">
        <f>$CE$3</f>
        <v>430.78114872558075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1.1544000000000001</v>
      </c>
      <c r="D5" s="12">
        <f t="shared" ref="D5:D68" si="32">IFERROR(EXP(-1.0587+0.8836*LN(C5)+0.284),0)</f>
        <v>0.52317876401603369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12.949730809948333</v>
      </c>
      <c r="H5" s="70">
        <f t="shared" si="1"/>
        <v>296.25511634732788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20.277777777777779</v>
      </c>
      <c r="N5" s="14">
        <f>IF('Données projet'!$A$36&gt;35,N4+M5-V4,IF(A5&lt;'Données projet'!$A$36,$K$205^A5,IF(A5='Données projet'!$A$36,'Données projet'!$B$36,N4+M5-V4)))</f>
        <v>1.9261903695122273</v>
      </c>
      <c r="O5" s="14">
        <f>N5*VLOOKUP('Données projet'!$B$9,Paramètres!$A$1:$I$89,3,0)*VLOOKUP('Données projet'!$B$9,Paramètres!$A$1:$I$89,5,0)</f>
        <v>0.84736966735581898</v>
      </c>
      <c r="P5" s="14">
        <f t="shared" ref="P5:P68" si="33">EXP(-1.0587+0.8836*LN(O5)+0.284)</f>
        <v>0.39810468777711788</v>
      </c>
      <c r="Q5" s="22">
        <f t="shared" si="2"/>
        <v>2.1692011685231982</v>
      </c>
      <c r="R5" s="62">
        <f t="shared" si="0"/>
        <v>295.50253450185653</v>
      </c>
      <c r="S5" s="62">
        <f ca="1">AVERAGE(OFFSET($R$3,0,0,'Données projet'!$E$9+1,1))-AVERAGE(OFFSET($H$3,0,0,'Données projet'!$E$9+1,1))</f>
        <v>54.970220527721665</v>
      </c>
      <c r="T5" s="62">
        <f t="shared" ref="T5:T68" si="34">$T$3</f>
        <v>326.57367524399677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20.277777777777779</v>
      </c>
      <c r="AI5" s="14">
        <f>IF('Données projet'!$A$62&gt;35,AI4+AH5-AQ4,IF(A5&lt;'Données projet'!$A$62,$AF$205^A5,IF(A5='Données projet'!$A$62,'Données projet'!$B$62,AI4+AH5-AQ4)))</f>
        <v>1.9261903695122273</v>
      </c>
      <c r="AJ5" s="14">
        <f>AI5*VLOOKUP('Données projet'!$B$10,Paramètres!$A$1:$I$89,3,0)*VLOOKUP('Données projet'!$B$10,Paramètres!$A$1:$I$89,5,0)</f>
        <v>1.1057873673295795</v>
      </c>
      <c r="AK5" s="14">
        <f t="shared" ref="AK5:AK68" si="35">EXP(-1.0587+0.8836*LN(AJ5)+0.284)</f>
        <v>0.50366330621049893</v>
      </c>
      <c r="AL5" s="22">
        <f t="shared" si="4"/>
        <v>2.8031265897489699</v>
      </c>
      <c r="AM5" s="62">
        <f t="shared" si="5"/>
        <v>296.13645992308227</v>
      </c>
      <c r="AN5" s="62">
        <f ca="1">AVERAGE(OFFSET($AM$3,0,0,'Données projet'!$E$10+1,1))-AVERAGE(OFFSET($H$3,0,0,'Données projet'!$E$10+1,1))</f>
        <v>74.926559033177455</v>
      </c>
      <c r="AO5" s="62">
        <f t="shared" ref="AO5:AO68" si="36">$AO$3</f>
        <v>430.78114872558075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20.277777777777779</v>
      </c>
      <c r="BD5" s="13">
        <f>IF('Données projet'!$A$88&gt;35,BD4+BC5-BL4,IF(A5&lt;'Données projet'!$A$88,$BA$205^A5,IF(A5='Données projet'!$A$88,'Données projet'!$B$88,BD4+BC5-BL4)))</f>
        <v>1.9261903695122273</v>
      </c>
      <c r="BE5" s="14">
        <f>BD5*VLOOKUP('Données projet'!$B$11,Paramètres!$A$1:$I$89,3,0)*VLOOKUP('Données projet'!$B$11,Paramètres!$A$1:$I$89,5,0)</f>
        <v>0.91648137781391781</v>
      </c>
      <c r="BF5" s="14">
        <f t="shared" ref="BF5:BF68" si="37">EXP(-1.0587+0.8836*LN(BE5)+0.284)</f>
        <v>0.42666254295181522</v>
      </c>
      <c r="BG5" s="22">
        <f t="shared" si="7"/>
        <v>2.3393089953336514</v>
      </c>
      <c r="BH5" s="62">
        <f t="shared" si="8"/>
        <v>295.67264232866694</v>
      </c>
      <c r="BI5" s="62">
        <f ca="1">AVERAGE(OFFSET($BH$3,0,0,'Données projet'!$E$11+1,1))-AVERAGE(OFFSET($H$3,0,0,'Données projet'!$E$11+1,1))</f>
        <v>60.31958470054127</v>
      </c>
      <c r="BJ5" s="62">
        <f t="shared" ref="BJ5:BJ68" si="38">$BJ$3</f>
        <v>354.50173999733266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20.277777777777779</v>
      </c>
      <c r="BY5" s="13">
        <f>IF('Données projet'!$A$114&gt;35,BY4+BX5-CG4,IF(A5&lt;'Données projet'!$A$114,$BV$205^A5,IF(A5='Données projet'!$A$114,'Données projet'!$B$114,BY4+BX5-CG4)))</f>
        <v>1.9261903695122273</v>
      </c>
      <c r="BZ5" s="14">
        <f>BY5*VLOOKUP('Données projet'!$B$12,Paramètres!$A$1:$I$89,3,0)*VLOOKUP('Données projet'!$B$12,Paramètres!$A$1:$I$89,5,0)</f>
        <v>1.1057873673295795</v>
      </c>
      <c r="CA5" s="14">
        <f t="shared" ref="CA5:CA68" si="39">EXP(-1.0587+0.8836*LN(BZ5)+0.284)</f>
        <v>0.50366330621049893</v>
      </c>
      <c r="CB5" s="22">
        <f t="shared" si="10"/>
        <v>2.8031265897489699</v>
      </c>
      <c r="CC5" s="62">
        <f t="shared" si="11"/>
        <v>296.13645992308227</v>
      </c>
      <c r="CD5" s="62">
        <f ca="1">AVERAGE(OFFSET($CC$3,0,0,'Données projet'!$E$12+1,1))-AVERAGE(OFFSET($H$3,0,0,'Données projet'!$E$12+1,1))</f>
        <v>74.926559033177455</v>
      </c>
      <c r="CE5" s="62">
        <f t="shared" ref="CE5:CE68" si="40">$CE$3</f>
        <v>430.78114872558075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1.7316000000000003</v>
      </c>
      <c r="D6" s="12">
        <f t="shared" si="32"/>
        <v>0.74859055626015358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19.145330609727505</v>
      </c>
      <c r="H6" s="70">
        <f t="shared" si="1"/>
        <v>297.65299855215306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20.277777777777779</v>
      </c>
      <c r="N6" s="14">
        <f>IF('Données projet'!$A$36&gt;35,N5+M6-V5,IF(A6&lt;'Données projet'!$A$36,$K$205^A6,IF(A6='Données projet'!$A$36,'Données projet'!$B$36,N5+M6-V5)))</f>
        <v>2.6733068471118351</v>
      </c>
      <c r="O6" s="14">
        <f>N6*VLOOKUP('Données projet'!$B$9,Paramètres!$A$1:$I$89,3,0)*VLOOKUP('Données projet'!$B$9,Paramètres!$A$1:$I$89,5,0)</f>
        <v>1.1760411481814383</v>
      </c>
      <c r="P6" s="14">
        <f t="shared" si="33"/>
        <v>0.53183559570845274</v>
      </c>
      <c r="Q6" s="22">
        <f t="shared" si="2"/>
        <v>2.9745519956082269</v>
      </c>
      <c r="R6" s="62">
        <f t="shared" si="0"/>
        <v>296.30788532894155</v>
      </c>
      <c r="S6" s="62">
        <f ca="1">AVERAGE(OFFSET($R$3,0,0,'Données projet'!$E$9+1,1))-AVERAGE(OFFSET($H$3,0,0,'Données projet'!$E$9+1,1))</f>
        <v>54.970220527721665</v>
      </c>
      <c r="T6" s="62">
        <f t="shared" si="34"/>
        <v>326.57367524399677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20.277777777777779</v>
      </c>
      <c r="AI6" s="14">
        <f>IF('Données projet'!$A$62&gt;35,AI5+AH6-AQ5,IF(A6&lt;'Données projet'!$A$62,$AF$205^A6,IF(A6='Données projet'!$A$62,'Données projet'!$B$62,AI5+AH6-AQ5)))</f>
        <v>2.6733068471118351</v>
      </c>
      <c r="AJ6" s="14">
        <f>AI6*VLOOKUP('Données projet'!$B$10,Paramètres!$A$1:$I$89,3,0)*VLOOKUP('Données projet'!$B$10,Paramètres!$A$1:$I$89,5,0)</f>
        <v>1.5346919947899624</v>
      </c>
      <c r="AK6" s="14">
        <f t="shared" si="35"/>
        <v>0.67285335420344661</v>
      </c>
      <c r="AL6" s="22">
        <f t="shared" si="4"/>
        <v>3.844808149496854</v>
      </c>
      <c r="AM6" s="62">
        <f t="shared" si="5"/>
        <v>297.17814148283014</v>
      </c>
      <c r="AN6" s="62">
        <f ca="1">AVERAGE(OFFSET($AM$3,0,0,'Données projet'!$E$10+1,1))-AVERAGE(OFFSET($H$3,0,0,'Données projet'!$E$10+1,1))</f>
        <v>74.926559033177455</v>
      </c>
      <c r="AO6" s="62">
        <f t="shared" si="36"/>
        <v>430.78114872558075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20.277777777777779</v>
      </c>
      <c r="BD6" s="13">
        <f>IF('Données projet'!$A$88&gt;35,BD5+BC6-BL5,IF(A6&lt;'Données projet'!$A$88,$BA$205^A6,IF(A6='Données projet'!$A$88,'Données projet'!$B$88,BD5+BC6-BL5)))</f>
        <v>2.6733068471118351</v>
      </c>
      <c r="BE6" s="14">
        <f>BD6*VLOOKUP('Données projet'!$B$11,Paramètres!$A$1:$I$89,3,0)*VLOOKUP('Données projet'!$B$11,Paramètres!$A$1:$I$89,5,0)</f>
        <v>1.2719593978558112</v>
      </c>
      <c r="BF6" s="14">
        <f t="shared" si="37"/>
        <v>0.56998657555196097</v>
      </c>
      <c r="BG6" s="22">
        <f t="shared" si="7"/>
        <v>3.208055903685203</v>
      </c>
      <c r="BH6" s="62">
        <f t="shared" si="8"/>
        <v>296.54138923701851</v>
      </c>
      <c r="BI6" s="62">
        <f ca="1">AVERAGE(OFFSET($BH$3,0,0,'Données projet'!$E$11+1,1))-AVERAGE(OFFSET($H$3,0,0,'Données projet'!$E$11+1,1))</f>
        <v>60.31958470054127</v>
      </c>
      <c r="BJ6" s="62">
        <f t="shared" si="38"/>
        <v>354.50173999733266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20.277777777777779</v>
      </c>
      <c r="BY6" s="13">
        <f>IF('Données projet'!$A$114&gt;35,BY5+BX6-CG5,IF(A6&lt;'Données projet'!$A$114,$BV$205^A6,IF(A6='Données projet'!$A$114,'Données projet'!$B$114,BY5+BX6-CG5)))</f>
        <v>2.6733068471118351</v>
      </c>
      <c r="BZ6" s="14">
        <f>BY6*VLOOKUP('Données projet'!$B$12,Paramètres!$A$1:$I$89,3,0)*VLOOKUP('Données projet'!$B$12,Paramètres!$A$1:$I$89,5,0)</f>
        <v>1.5346919947899624</v>
      </c>
      <c r="CA6" s="14">
        <f t="shared" si="39"/>
        <v>0.67285335420344661</v>
      </c>
      <c r="CB6" s="22">
        <f t="shared" si="10"/>
        <v>3.844808149496854</v>
      </c>
      <c r="CC6" s="62">
        <f t="shared" si="11"/>
        <v>297.17814148283014</v>
      </c>
      <c r="CD6" s="62">
        <f ca="1">AVERAGE(OFFSET($CC$3,0,0,'Données projet'!$E$12+1,1))-AVERAGE(OFFSET($H$3,0,0,'Données projet'!$E$12+1,1))</f>
        <v>74.926559033177455</v>
      </c>
      <c r="CE6" s="62">
        <f t="shared" si="40"/>
        <v>430.78114872558075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2.3088000000000002</v>
      </c>
      <c r="D7" s="12">
        <f t="shared" si="32"/>
        <v>0.96525089214556192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25.273375307790303</v>
      </c>
      <c r="H7" s="70">
        <f t="shared" si="1"/>
        <v>299.03563863715351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20.277777777777779</v>
      </c>
      <c r="N7" s="14">
        <f>IF('Données projet'!$A$36&gt;35,N6+M7-V6,IF(A7&lt;'Données projet'!$A$36,$K$205^A7,IF(A7='Données projet'!$A$36,'Données projet'!$B$36,N6+M7-V6)))</f>
        <v>3.7102093396016507</v>
      </c>
      <c r="O7" s="14">
        <f>N7*VLOOKUP('Données projet'!$B$9,Paramètres!$A$1:$I$89,3,0)*VLOOKUP('Données projet'!$B$9,Paramètres!$A$1:$I$89,5,0)</f>
        <v>1.6321952926775578</v>
      </c>
      <c r="P7" s="14">
        <f t="shared" si="33"/>
        <v>0.71048924955367576</v>
      </c>
      <c r="Q7" s="22">
        <f t="shared" si="2"/>
        <v>4.0801755777193982</v>
      </c>
      <c r="R7" s="62">
        <f t="shared" si="0"/>
        <v>297.4135089110527</v>
      </c>
      <c r="S7" s="62">
        <f ca="1">AVERAGE(OFFSET($R$3,0,0,'Données projet'!$E$9+1,1))-AVERAGE(OFFSET($H$3,0,0,'Données projet'!$E$9+1,1))</f>
        <v>54.970220527721665</v>
      </c>
      <c r="T7" s="62">
        <f t="shared" si="34"/>
        <v>326.57367524399677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20.277777777777779</v>
      </c>
      <c r="AI7" s="14">
        <f>IF('Données projet'!$A$62&gt;35,AI6+AH7-AQ6,IF(A7&lt;'Données projet'!$A$62,$AF$205^A7,IF(A7='Données projet'!$A$62,'Données projet'!$B$62,AI6+AH7-AQ6)))</f>
        <v>3.7102093396016507</v>
      </c>
      <c r="AJ7" s="14">
        <f>AI7*VLOOKUP('Données projet'!$B$10,Paramètres!$A$1:$I$89,3,0)*VLOOKUP('Données projet'!$B$10,Paramètres!$A$1:$I$89,5,0)</f>
        <v>2.1299569776785154</v>
      </c>
      <c r="AK7" s="14">
        <f t="shared" si="35"/>
        <v>0.89887754513848961</v>
      </c>
      <c r="AL7" s="22">
        <f t="shared" si="4"/>
        <v>5.2752201272396171</v>
      </c>
      <c r="AM7" s="62">
        <f t="shared" si="5"/>
        <v>298.60855346057292</v>
      </c>
      <c r="AN7" s="62">
        <f ca="1">AVERAGE(OFFSET($AM$3,0,0,'Données projet'!$E$10+1,1))-AVERAGE(OFFSET($H$3,0,0,'Données projet'!$E$10+1,1))</f>
        <v>74.926559033177455</v>
      </c>
      <c r="AO7" s="62">
        <f t="shared" si="36"/>
        <v>430.78114872558075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20.277777777777779</v>
      </c>
      <c r="BD7" s="13">
        <f>IF('Données projet'!$A$88&gt;35,BD6+BC7-BL6,IF(A7&lt;'Données projet'!$A$88,$BA$205^A7,IF(A7='Données projet'!$A$88,'Données projet'!$B$88,BD6+BC7-BL6)))</f>
        <v>3.7102093396016507</v>
      </c>
      <c r="BE7" s="14">
        <f>BD7*VLOOKUP('Données projet'!$B$11,Paramètres!$A$1:$I$89,3,0)*VLOOKUP('Données projet'!$B$11,Paramètres!$A$1:$I$89,5,0)</f>
        <v>1.7653176037824654</v>
      </c>
      <c r="BF7" s="14">
        <f t="shared" si="37"/>
        <v>0.76145586641324126</v>
      </c>
      <c r="BG7" s="22">
        <f t="shared" si="7"/>
        <v>4.4007971272575226</v>
      </c>
      <c r="BH7" s="62">
        <f t="shared" si="8"/>
        <v>297.73413046059085</v>
      </c>
      <c r="BI7" s="62">
        <f ca="1">AVERAGE(OFFSET($BH$3,0,0,'Données projet'!$E$11+1,1))-AVERAGE(OFFSET($H$3,0,0,'Données projet'!$E$11+1,1))</f>
        <v>60.31958470054127</v>
      </c>
      <c r="BJ7" s="62">
        <f t="shared" si="38"/>
        <v>354.50173999733266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20.277777777777779</v>
      </c>
      <c r="BY7" s="13">
        <f>IF('Données projet'!$A$114&gt;35,BY6+BX7-CG6,IF(A7&lt;'Données projet'!$A$114,$BV$205^A7,IF(A7='Données projet'!$A$114,'Données projet'!$B$114,BY6+BX7-CG6)))</f>
        <v>3.7102093396016507</v>
      </c>
      <c r="BZ7" s="14">
        <f>BY7*VLOOKUP('Données projet'!$B$12,Paramètres!$A$1:$I$89,3,0)*VLOOKUP('Données projet'!$B$12,Paramètres!$A$1:$I$89,5,0)</f>
        <v>2.1299569776785154</v>
      </c>
      <c r="CA7" s="14">
        <f t="shared" si="39"/>
        <v>0.89887754513848961</v>
      </c>
      <c r="CB7" s="22">
        <f t="shared" si="10"/>
        <v>5.2752201272396171</v>
      </c>
      <c r="CC7" s="62">
        <f t="shared" si="11"/>
        <v>298.60855346057292</v>
      </c>
      <c r="CD7" s="62">
        <f ca="1">AVERAGE(OFFSET($CC$3,0,0,'Données projet'!$E$12+1,1))-AVERAGE(OFFSET($H$3,0,0,'Données projet'!$E$12+1,1))</f>
        <v>74.926559033177455</v>
      </c>
      <c r="CE7" s="62">
        <f t="shared" si="40"/>
        <v>430.78114872558075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2.8860000000000001</v>
      </c>
      <c r="D8" s="12">
        <f t="shared" si="32"/>
        <v>1.1756279405869499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31.352917436109792</v>
      </c>
      <c r="H8" s="70">
        <f t="shared" si="1"/>
        <v>300.40733532985558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20.277777777777779</v>
      </c>
      <c r="N8" s="14">
        <f>IF('Données projet'!$A$36&gt;35,N7+M8-V7,IF(A8&lt;'Données projet'!$A$36,$K$205^A8,IF(A8='Données projet'!$A$36,'Données projet'!$B$36,N7+M8-V7)))</f>
        <v>5.1492979036579127</v>
      </c>
      <c r="O8" s="14">
        <f>N8*VLOOKUP('Données projet'!$B$9,Paramètres!$A$1:$I$89,3,0)*VLOOKUP('Données projet'!$B$9,Paramètres!$A$1:$I$89,5,0)</f>
        <v>2.2652791337771889</v>
      </c>
      <c r="P8" s="14">
        <f t="shared" si="33"/>
        <v>0.94915605086363819</v>
      </c>
      <c r="Q8" s="22">
        <f t="shared" si="2"/>
        <v>5.5984746132494401</v>
      </c>
      <c r="R8" s="62">
        <f t="shared" si="0"/>
        <v>298.93180794658275</v>
      </c>
      <c r="S8" s="62">
        <f ca="1">AVERAGE(OFFSET($R$3,0,0,'Données projet'!$E$9+1,1))-AVERAGE(OFFSET($H$3,0,0,'Données projet'!$E$9+1,1))</f>
        <v>54.970220527721665</v>
      </c>
      <c r="T8" s="62">
        <f t="shared" si="34"/>
        <v>326.57367524399677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20.277777777777779</v>
      </c>
      <c r="AI8" s="14">
        <f>IF('Données projet'!$A$62&gt;35,AI7+AH8-AQ7,IF(A8&lt;'Données projet'!$A$62,$AF$205^A8,IF(A8='Données projet'!$A$62,'Données projet'!$B$62,AI7+AH8-AQ7)))</f>
        <v>5.1492979036579127</v>
      </c>
      <c r="AJ8" s="14">
        <f>AI8*VLOOKUP('Données projet'!$B$10,Paramètres!$A$1:$I$89,3,0)*VLOOKUP('Données projet'!$B$10,Paramètres!$A$1:$I$89,5,0)</f>
        <v>2.9561089405319345</v>
      </c>
      <c r="AK8" s="14">
        <f t="shared" si="35"/>
        <v>1.2008275445259848</v>
      </c>
      <c r="AL8" s="22">
        <f t="shared" si="4"/>
        <v>7.2399977114758753</v>
      </c>
      <c r="AM8" s="62">
        <f t="shared" si="5"/>
        <v>300.57333104480921</v>
      </c>
      <c r="AN8" s="62">
        <f ca="1">AVERAGE(OFFSET($AM$3,0,0,'Données projet'!$E$10+1,1))-AVERAGE(OFFSET($H$3,0,0,'Données projet'!$E$10+1,1))</f>
        <v>74.926559033177455</v>
      </c>
      <c r="AO8" s="62">
        <f t="shared" si="36"/>
        <v>430.78114872558075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20.277777777777779</v>
      </c>
      <c r="BD8" s="13">
        <f>IF('Données projet'!$A$88&gt;35,BD7+BC8-BL7,IF(A8&lt;'Données projet'!$A$88,$BA$205^A8,IF(A8='Données projet'!$A$88,'Données projet'!$B$88,BD7+BC8-BL7)))</f>
        <v>5.1492979036579127</v>
      </c>
      <c r="BE8" s="14">
        <f>BD8*VLOOKUP('Données projet'!$B$11,Paramètres!$A$1:$I$89,3,0)*VLOOKUP('Données projet'!$B$11,Paramètres!$A$1:$I$89,5,0)</f>
        <v>2.4500359425604352</v>
      </c>
      <c r="BF8" s="14">
        <f t="shared" si="37"/>
        <v>1.0172433200442685</v>
      </c>
      <c r="BG8" s="22">
        <f t="shared" si="7"/>
        <v>6.0388447157031919</v>
      </c>
      <c r="BH8" s="62">
        <f t="shared" si="8"/>
        <v>299.37217804903651</v>
      </c>
      <c r="BI8" s="62">
        <f ca="1">AVERAGE(OFFSET($BH$3,0,0,'Données projet'!$E$11+1,1))-AVERAGE(OFFSET($H$3,0,0,'Données projet'!$E$11+1,1))</f>
        <v>60.31958470054127</v>
      </c>
      <c r="BJ8" s="62">
        <f t="shared" si="38"/>
        <v>354.50173999733266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20.277777777777779</v>
      </c>
      <c r="BY8" s="13">
        <f>IF('Données projet'!$A$114&gt;35,BY7+BX8-CG7,IF(A8&lt;'Données projet'!$A$114,$BV$205^A8,IF(A8='Données projet'!$A$114,'Données projet'!$B$114,BY7+BX8-CG7)))</f>
        <v>5.1492979036579127</v>
      </c>
      <c r="BZ8" s="14">
        <f>BY8*VLOOKUP('Données projet'!$B$12,Paramètres!$A$1:$I$89,3,0)*VLOOKUP('Données projet'!$B$12,Paramètres!$A$1:$I$89,5,0)</f>
        <v>2.9561089405319345</v>
      </c>
      <c r="CA8" s="14">
        <f t="shared" si="39"/>
        <v>1.2008275445259848</v>
      </c>
      <c r="CB8" s="22">
        <f t="shared" si="10"/>
        <v>7.2399977114758753</v>
      </c>
      <c r="CC8" s="62">
        <f t="shared" si="11"/>
        <v>300.57333104480921</v>
      </c>
      <c r="CD8" s="62">
        <f ca="1">AVERAGE(OFFSET($CC$3,0,0,'Données projet'!$E$12+1,1))-AVERAGE(OFFSET($H$3,0,0,'Données projet'!$E$12+1,1))</f>
        <v>74.926559033177455</v>
      </c>
      <c r="CE8" s="62">
        <f t="shared" si="40"/>
        <v>430.78114872558075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3.4632000000000001</v>
      </c>
      <c r="D9" s="12">
        <f t="shared" si="32"/>
        <v>1.3811296481821862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37.394825354388807</v>
      </c>
      <c r="H9" s="70">
        <f t="shared" si="1"/>
        <v>301.7705408039173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20.277777777777779</v>
      </c>
      <c r="N9" s="14">
        <f>IF('Données projet'!$A$36&gt;35,N8+M9-V8,IF(A9&lt;'Données projet'!$A$36,$K$205^A9,IF(A9='Données projet'!$A$36,'Données projet'!$B$36,N8+M9-V8)))</f>
        <v>7.1465694988150208</v>
      </c>
      <c r="O9" s="14">
        <f>N9*VLOOKUP('Données projet'!$B$9,Paramètres!$A$1:$I$89,3,0)*VLOOKUP('Données projet'!$B$9,Paramètres!$A$1:$I$89,5,0)</f>
        <v>3.1439188539187035</v>
      </c>
      <c r="P9" s="14">
        <f t="shared" si="33"/>
        <v>1.2679955530037843</v>
      </c>
      <c r="Q9" s="22">
        <f t="shared" si="2"/>
        <v>7.6840842587233338</v>
      </c>
      <c r="R9" s="62">
        <f t="shared" si="0"/>
        <v>301.01741759205663</v>
      </c>
      <c r="S9" s="62">
        <f ca="1">AVERAGE(OFFSET($R$3,0,0,'Données projet'!$E$9+1,1))-AVERAGE(OFFSET($H$3,0,0,'Données projet'!$E$9+1,1))</f>
        <v>54.970220527721665</v>
      </c>
      <c r="T9" s="62">
        <f t="shared" si="34"/>
        <v>326.57367524399677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20.277777777777779</v>
      </c>
      <c r="AI9" s="14">
        <f>IF('Données projet'!$A$62&gt;35,AI8+AH9-AQ8,IF(A9&lt;'Données projet'!$A$62,$AF$205^A9,IF(A9='Données projet'!$A$62,'Données projet'!$B$62,AI8+AH9-AQ8)))</f>
        <v>7.1465694988150208</v>
      </c>
      <c r="AJ9" s="14">
        <f>AI9*VLOOKUP('Données projet'!$B$10,Paramètres!$A$1:$I$89,3,0)*VLOOKUP('Données projet'!$B$10,Paramètres!$A$1:$I$89,5,0)</f>
        <v>4.1027026178797268</v>
      </c>
      <c r="AK9" s="14">
        <f t="shared" si="35"/>
        <v>1.6042082700710256</v>
      </c>
      <c r="AL9" s="22">
        <f t="shared" si="4"/>
        <v>9.9395364631808931</v>
      </c>
      <c r="AM9" s="62">
        <f t="shared" si="5"/>
        <v>303.27286979651421</v>
      </c>
      <c r="AN9" s="62">
        <f ca="1">AVERAGE(OFFSET($AM$3,0,0,'Données projet'!$E$10+1,1))-AVERAGE(OFFSET($H$3,0,0,'Données projet'!$E$10+1,1))</f>
        <v>74.926559033177455</v>
      </c>
      <c r="AO9" s="62">
        <f t="shared" si="36"/>
        <v>430.78114872558075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20.277777777777779</v>
      </c>
      <c r="BD9" s="13">
        <f>IF('Données projet'!$A$88&gt;35,BD8+BC9-BL8,IF(A9&lt;'Données projet'!$A$88,$BA$205^A9,IF(A9='Données projet'!$A$88,'Données projet'!$B$88,BD8+BC9-BL8)))</f>
        <v>7.1465694988150208</v>
      </c>
      <c r="BE9" s="14">
        <f>BD9*VLOOKUP('Données projet'!$B$11,Paramètres!$A$1:$I$89,3,0)*VLOOKUP('Données projet'!$B$11,Paramètres!$A$1:$I$89,5,0)</f>
        <v>3.4003377675361874</v>
      </c>
      <c r="BF9" s="14">
        <f t="shared" si="37"/>
        <v>1.3589546260230791</v>
      </c>
      <c r="BG9" s="22">
        <f t="shared" si="7"/>
        <v>8.2891009187823883</v>
      </c>
      <c r="BH9" s="62">
        <f t="shared" si="8"/>
        <v>301.62243425211568</v>
      </c>
      <c r="BI9" s="62">
        <f ca="1">AVERAGE(OFFSET($BH$3,0,0,'Données projet'!$E$11+1,1))-AVERAGE(OFFSET($H$3,0,0,'Données projet'!$E$11+1,1))</f>
        <v>60.31958470054127</v>
      </c>
      <c r="BJ9" s="62">
        <f t="shared" si="38"/>
        <v>354.50173999733266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20.277777777777779</v>
      </c>
      <c r="BY9" s="13">
        <f>IF('Données projet'!$A$114&gt;35,BY8+BX9-CG8,IF(A9&lt;'Données projet'!$A$114,$BV$205^A9,IF(A9='Données projet'!$A$114,'Données projet'!$B$114,BY8+BX9-CG8)))</f>
        <v>7.1465694988150208</v>
      </c>
      <c r="BZ9" s="14">
        <f>BY9*VLOOKUP('Données projet'!$B$12,Paramètres!$A$1:$I$89,3,0)*VLOOKUP('Données projet'!$B$12,Paramètres!$A$1:$I$89,5,0)</f>
        <v>4.1027026178797268</v>
      </c>
      <c r="CA9" s="14">
        <f t="shared" si="39"/>
        <v>1.6042082700710256</v>
      </c>
      <c r="CB9" s="22">
        <f t="shared" si="10"/>
        <v>9.9395364631808931</v>
      </c>
      <c r="CC9" s="62">
        <f t="shared" si="11"/>
        <v>303.27286979651421</v>
      </c>
      <c r="CD9" s="62">
        <f ca="1">AVERAGE(OFFSET($CC$3,0,0,'Données projet'!$E$12+1,1))-AVERAGE(OFFSET($H$3,0,0,'Données projet'!$E$12+1,1))</f>
        <v>74.926559033177455</v>
      </c>
      <c r="CE9" s="62">
        <f t="shared" si="40"/>
        <v>430.78114872558075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4.0404</v>
      </c>
      <c r="D10" s="12">
        <f t="shared" si="32"/>
        <v>1.5826636636638696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43.406105473896538</v>
      </c>
      <c r="H10" s="70">
        <f t="shared" si="1"/>
        <v>303.12683588088123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20.277777777777779</v>
      </c>
      <c r="N10" s="14">
        <f>IF('Données projet'!$A$36&gt;35,N9+M10-V9,IF(A10&lt;'Données projet'!$A$36,$K$205^A10,IF(A10='Données projet'!$A$36,'Données projet'!$B$36,N9+M10-V9)))</f>
        <v>9.9185280317753719</v>
      </c>
      <c r="O10" s="14">
        <f>N10*VLOOKUP('Données projet'!$B$9,Paramètres!$A$1:$I$89,3,0)*VLOOKUP('Données projet'!$B$9,Paramètres!$A$1:$I$89,5,0)</f>
        <v>4.3633588517386217</v>
      </c>
      <c r="P10" s="14">
        <f t="shared" si="33"/>
        <v>1.6939392852992117</v>
      </c>
      <c r="Q10" s="22">
        <f t="shared" si="2"/>
        <v>10.549794255340892</v>
      </c>
      <c r="R10" s="62">
        <f t="shared" si="0"/>
        <v>303.8831275886742</v>
      </c>
      <c r="S10" s="62">
        <f ca="1">AVERAGE(OFFSET($R$3,0,0,'Données projet'!$E$9+1,1))-AVERAGE(OFFSET($H$3,0,0,'Données projet'!$E$9+1,1))</f>
        <v>54.970220527721665</v>
      </c>
      <c r="T10" s="62">
        <f t="shared" si="34"/>
        <v>326.57367524399677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20.277777777777779</v>
      </c>
      <c r="AI10" s="14">
        <f>IF('Données projet'!$A$62&gt;35,AI9+AH10-AQ9,IF(A10&lt;'Données projet'!$A$62,$AF$205^A10,IF(A10='Données projet'!$A$62,'Données projet'!$B$62,AI9+AH10-AQ9)))</f>
        <v>9.9185280317753719</v>
      </c>
      <c r="AJ10" s="14">
        <f>AI10*VLOOKUP('Données projet'!$B$10,Paramètres!$A$1:$I$89,3,0)*VLOOKUP('Données projet'!$B$10,Paramètres!$A$1:$I$89,5,0)</f>
        <v>5.6940285724816055</v>
      </c>
      <c r="AK10" s="14">
        <f t="shared" si="35"/>
        <v>2.1430922246042661</v>
      </c>
      <c r="AL10" s="22">
        <f t="shared" si="4"/>
        <v>13.649652054924559</v>
      </c>
      <c r="AM10" s="62">
        <f t="shared" si="5"/>
        <v>306.98298538825787</v>
      </c>
      <c r="AN10" s="62">
        <f ca="1">AVERAGE(OFFSET($AM$3,0,0,'Données projet'!$E$10+1,1))-AVERAGE(OFFSET($H$3,0,0,'Données projet'!$E$10+1,1))</f>
        <v>74.926559033177455</v>
      </c>
      <c r="AO10" s="62">
        <f t="shared" si="36"/>
        <v>430.78114872558075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20.277777777777779</v>
      </c>
      <c r="BD10" s="13">
        <f>IF('Données projet'!$A$88&gt;35,BD9+BC10-BL9,IF(A10&lt;'Données projet'!$A$88,$BA$205^A10,IF(A10='Données projet'!$A$88,'Données projet'!$B$88,BD9+BC10-BL9)))</f>
        <v>9.9185280317753719</v>
      </c>
      <c r="BE10" s="14">
        <f>BD10*VLOOKUP('Données projet'!$B$11,Paramètres!$A$1:$I$89,3,0)*VLOOKUP('Données projet'!$B$11,Paramètres!$A$1:$I$89,5,0)</f>
        <v>4.7192356375187217</v>
      </c>
      <c r="BF10" s="14">
        <f t="shared" si="37"/>
        <v>1.8154532344426297</v>
      </c>
      <c r="BG10" s="22">
        <f t="shared" si="7"/>
        <v>11.381249785332686</v>
      </c>
      <c r="BH10" s="62">
        <f t="shared" si="8"/>
        <v>304.71458311866598</v>
      </c>
      <c r="BI10" s="62">
        <f ca="1">AVERAGE(OFFSET($BH$3,0,0,'Données projet'!$E$11+1,1))-AVERAGE(OFFSET($H$3,0,0,'Données projet'!$E$11+1,1))</f>
        <v>60.31958470054127</v>
      </c>
      <c r="BJ10" s="62">
        <f t="shared" si="38"/>
        <v>354.50173999733266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20.277777777777779</v>
      </c>
      <c r="BY10" s="13">
        <f>IF('Données projet'!$A$114&gt;35,BY9+BX10-CG9,IF(A10&lt;'Données projet'!$A$114,$BV$205^A10,IF(A10='Données projet'!$A$114,'Données projet'!$B$114,BY9+BX10-CG9)))</f>
        <v>9.9185280317753719</v>
      </c>
      <c r="BZ10" s="14">
        <f>BY10*VLOOKUP('Données projet'!$B$12,Paramètres!$A$1:$I$89,3,0)*VLOOKUP('Données projet'!$B$12,Paramètres!$A$1:$I$89,5,0)</f>
        <v>5.6940285724816055</v>
      </c>
      <c r="CA10" s="14">
        <f t="shared" si="39"/>
        <v>2.1430922246042661</v>
      </c>
      <c r="CB10" s="22">
        <f t="shared" si="10"/>
        <v>13.649652054924559</v>
      </c>
      <c r="CC10" s="62">
        <f t="shared" si="11"/>
        <v>306.98298538825787</v>
      </c>
      <c r="CD10" s="62">
        <f ca="1">AVERAGE(OFFSET($CC$3,0,0,'Données projet'!$E$12+1,1))-AVERAGE(OFFSET($H$3,0,0,'Données projet'!$E$12+1,1))</f>
        <v>74.926559033177455</v>
      </c>
      <c r="CE10" s="62">
        <f t="shared" si="40"/>
        <v>430.78114872558075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4.6176000000000004</v>
      </c>
      <c r="D11" s="12">
        <f t="shared" si="32"/>
        <v>1.7808622002082055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49.391638036694928</v>
      </c>
      <c r="H11" s="70">
        <f t="shared" si="1"/>
        <v>304.47732166536258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20.277777777777779</v>
      </c>
      <c r="N11" s="14">
        <f>IF('Données projet'!$A$36&gt;35,N10+M11-V10,IF(A11&lt;'Données projet'!$A$36,$K$205^A11,IF(A11='Données projet'!$A$36,'Données projet'!$B$36,N10+M11-V10)))</f>
        <v>13.765653343667317</v>
      </c>
      <c r="O11" s="14">
        <f>N11*VLOOKUP('Données projet'!$B$9,Paramètres!$A$1:$I$89,3,0)*VLOOKUP('Données projet'!$B$9,Paramètres!$A$1:$I$89,5,0)</f>
        <v>6.0557862189461256</v>
      </c>
      <c r="P11" s="14">
        <f t="shared" si="33"/>
        <v>2.262965588075244</v>
      </c>
      <c r="Q11" s="22">
        <f t="shared" si="2"/>
        <v>14.48849273056222</v>
      </c>
      <c r="R11" s="62">
        <f t="shared" si="0"/>
        <v>307.82182606389551</v>
      </c>
      <c r="S11" s="62">
        <f ca="1">AVERAGE(OFFSET($R$3,0,0,'Données projet'!$E$9+1,1))-AVERAGE(OFFSET($H$3,0,0,'Données projet'!$E$9+1,1))</f>
        <v>54.970220527721665</v>
      </c>
      <c r="T11" s="62">
        <f t="shared" si="34"/>
        <v>326.57367524399677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20.277777777777779</v>
      </c>
      <c r="AI11" s="14">
        <f>IF('Données projet'!$A$62&gt;35,AI10+AH11-AQ10,IF(A11&lt;'Données projet'!$A$62,$AF$205^A11,IF(A11='Données projet'!$A$62,'Données projet'!$B$62,AI10+AH11-AQ10)))</f>
        <v>13.765653343667317</v>
      </c>
      <c r="AJ11" s="14">
        <f>AI11*VLOOKUP('Données projet'!$B$10,Paramètres!$A$1:$I$89,3,0)*VLOOKUP('Données projet'!$B$10,Paramètres!$A$1:$I$89,5,0)</f>
        <v>7.9025862715325337</v>
      </c>
      <c r="AK11" s="14">
        <f t="shared" si="35"/>
        <v>2.8629975102646235</v>
      </c>
      <c r="AL11" s="22">
        <f t="shared" si="4"/>
        <v>18.750058419963384</v>
      </c>
      <c r="AM11" s="62">
        <f t="shared" si="5"/>
        <v>312.08339175329672</v>
      </c>
      <c r="AN11" s="62">
        <f ca="1">AVERAGE(OFFSET($AM$3,0,0,'Données projet'!$E$10+1,1))-AVERAGE(OFFSET($H$3,0,0,'Données projet'!$E$10+1,1))</f>
        <v>74.926559033177455</v>
      </c>
      <c r="AO11" s="62">
        <f t="shared" si="36"/>
        <v>430.78114872558075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20.277777777777779</v>
      </c>
      <c r="BD11" s="13">
        <f>IF('Données projet'!$A$88&gt;35,BD10+BC11-BL10,IF(A11&lt;'Données projet'!$A$88,$BA$205^A11,IF(A11='Données projet'!$A$88,'Données projet'!$B$88,BD10+BC11-BL10)))</f>
        <v>13.765653343667317</v>
      </c>
      <c r="BE11" s="14">
        <f>BD11*VLOOKUP('Données projet'!$B$11,Paramètres!$A$1:$I$89,3,0)*VLOOKUP('Données projet'!$B$11,Paramètres!$A$1:$I$89,5,0)</f>
        <v>6.5496978609169103</v>
      </c>
      <c r="BF11" s="14">
        <f t="shared" si="37"/>
        <v>2.4252983751881607</v>
      </c>
      <c r="BG11" s="22">
        <f t="shared" si="7"/>
        <v>15.631451777882999</v>
      </c>
      <c r="BH11" s="62">
        <f t="shared" si="8"/>
        <v>308.96478511121632</v>
      </c>
      <c r="BI11" s="62">
        <f ca="1">AVERAGE(OFFSET($BH$3,0,0,'Données projet'!$E$11+1,1))-AVERAGE(OFFSET($H$3,0,0,'Données projet'!$E$11+1,1))</f>
        <v>60.31958470054127</v>
      </c>
      <c r="BJ11" s="62">
        <f t="shared" si="38"/>
        <v>354.50173999733266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20.277777777777779</v>
      </c>
      <c r="BY11" s="13">
        <f>IF('Données projet'!$A$114&gt;35,BY10+BX11-CG10,IF(A11&lt;'Données projet'!$A$114,$BV$205^A11,IF(A11='Données projet'!$A$114,'Données projet'!$B$114,BY10+BX11-CG10)))</f>
        <v>13.765653343667317</v>
      </c>
      <c r="BZ11" s="14">
        <f>BY11*VLOOKUP('Données projet'!$B$12,Paramètres!$A$1:$I$89,3,0)*VLOOKUP('Données projet'!$B$12,Paramètres!$A$1:$I$89,5,0)</f>
        <v>7.9025862715325337</v>
      </c>
      <c r="CA11" s="14">
        <f t="shared" si="39"/>
        <v>2.8629975102646235</v>
      </c>
      <c r="CB11" s="22">
        <f t="shared" si="10"/>
        <v>18.750058419963384</v>
      </c>
      <c r="CC11" s="62">
        <f t="shared" si="11"/>
        <v>312.08339175329672</v>
      </c>
      <c r="CD11" s="62">
        <f ca="1">AVERAGE(OFFSET($CC$3,0,0,'Données projet'!$E$12+1,1))-AVERAGE(OFFSET($H$3,0,0,'Données projet'!$E$12+1,1))</f>
        <v>74.926559033177455</v>
      </c>
      <c r="CE11" s="62">
        <f t="shared" si="40"/>
        <v>430.78114872558075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5.1948000000000008</v>
      </c>
      <c r="D12" s="12">
        <f t="shared" si="32"/>
        <v>1.9761899425421008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55.355010082781142</v>
      </c>
      <c r="H12" s="70">
        <f t="shared" si="1"/>
        <v>305.82280748326082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20.277777777777779</v>
      </c>
      <c r="N12" s="14">
        <f>IF('Données projet'!$A$36&gt;35,N11+M12-V11,IF(A12&lt;'Données projet'!$A$36,$K$205^A12,IF(A12='Données projet'!$A$36,'Données projet'!$B$36,N11+M12-V11)))</f>
        <v>19.104973174542792</v>
      </c>
      <c r="O12" s="14">
        <f>N12*VLOOKUP('Données projet'!$B$9,Paramètres!$A$1:$I$89,3,0)*VLOOKUP('Données projet'!$B$9,Paramètres!$A$1:$I$89,5,0)</f>
        <v>8.4046597989448646</v>
      </c>
      <c r="P12" s="14">
        <f t="shared" si="33"/>
        <v>3.0231386078918288</v>
      </c>
      <c r="Q12" s="22">
        <f t="shared" si="2"/>
        <v>19.903415558573908</v>
      </c>
      <c r="R12" s="62">
        <f t="shared" si="0"/>
        <v>313.23674889190721</v>
      </c>
      <c r="S12" s="62">
        <f ca="1">AVERAGE(OFFSET($R$3,0,0,'Données projet'!$E$9+1,1))-AVERAGE(OFFSET($H$3,0,0,'Données projet'!$E$9+1,1))</f>
        <v>54.970220527721665</v>
      </c>
      <c r="T12" s="62">
        <f t="shared" si="34"/>
        <v>326.57367524399677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20.277777777777779</v>
      </c>
      <c r="AI12" s="14">
        <f>IF('Données projet'!$A$62&gt;35,AI11+AH12-AQ11,IF(A12&lt;'Données projet'!$A$62,$AF$205^A12,IF(A12='Données projet'!$A$62,'Données projet'!$B$62,AI11+AH12-AQ11)))</f>
        <v>19.104973174542792</v>
      </c>
      <c r="AJ12" s="14">
        <f>AI12*VLOOKUP('Données projet'!$B$10,Paramètres!$A$1:$I$89,3,0)*VLOOKUP('Données projet'!$B$10,Paramètres!$A$1:$I$89,5,0)</f>
        <v>10.967783000041527</v>
      </c>
      <c r="AK12" s="14">
        <f t="shared" si="35"/>
        <v>3.8247326221786877</v>
      </c>
      <c r="AL12" s="22">
        <f t="shared" si="4"/>
        <v>25.763631375366874</v>
      </c>
      <c r="AM12" s="62">
        <f t="shared" si="5"/>
        <v>319.09696470870017</v>
      </c>
      <c r="AN12" s="62">
        <f ca="1">AVERAGE(OFFSET($AM$3,0,0,'Données projet'!$E$10+1,1))-AVERAGE(OFFSET($H$3,0,0,'Données projet'!$E$10+1,1))</f>
        <v>74.926559033177455</v>
      </c>
      <c r="AO12" s="62">
        <f t="shared" si="36"/>
        <v>430.78114872558075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20.277777777777779</v>
      </c>
      <c r="BD12" s="13">
        <f>IF('Données projet'!$A$88&gt;35,BD11+BC12-BL11,IF(A12&lt;'Données projet'!$A$88,$BA$205^A12,IF(A12='Données projet'!$A$88,'Données projet'!$B$88,BD11+BC12-BL11)))</f>
        <v>19.104973174542792</v>
      </c>
      <c r="BE12" s="14">
        <f>BD12*VLOOKUP('Données projet'!$B$11,Paramètres!$A$1:$I$89,3,0)*VLOOKUP('Données projet'!$B$11,Paramètres!$A$1:$I$89,5,0)</f>
        <v>9.0901462364474614</v>
      </c>
      <c r="BF12" s="14">
        <f t="shared" si="37"/>
        <v>3.2400020540855237</v>
      </c>
      <c r="BG12" s="22">
        <f t="shared" si="7"/>
        <v>21.475008272678281</v>
      </c>
      <c r="BH12" s="62">
        <f t="shared" si="8"/>
        <v>314.8083416060116</v>
      </c>
      <c r="BI12" s="62">
        <f ca="1">AVERAGE(OFFSET($BH$3,0,0,'Données projet'!$E$11+1,1))-AVERAGE(OFFSET($H$3,0,0,'Données projet'!$E$11+1,1))</f>
        <v>60.31958470054127</v>
      </c>
      <c r="BJ12" s="62">
        <f t="shared" si="38"/>
        <v>354.50173999733266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20.277777777777779</v>
      </c>
      <c r="BY12" s="13">
        <f>IF('Données projet'!$A$114&gt;35,BY11+BX12-CG11,IF(A12&lt;'Données projet'!$A$114,$BV$205^A12,IF(A12='Données projet'!$A$114,'Données projet'!$B$114,BY11+BX12-CG11)))</f>
        <v>19.104973174542792</v>
      </c>
      <c r="BZ12" s="14">
        <f>BY12*VLOOKUP('Données projet'!$B$12,Paramètres!$A$1:$I$89,3,0)*VLOOKUP('Données projet'!$B$12,Paramètres!$A$1:$I$89,5,0)</f>
        <v>10.967783000041527</v>
      </c>
      <c r="CA12" s="14">
        <f t="shared" si="39"/>
        <v>3.8247326221786877</v>
      </c>
      <c r="CB12" s="22">
        <f t="shared" si="10"/>
        <v>25.763631375366874</v>
      </c>
      <c r="CC12" s="62">
        <f t="shared" si="11"/>
        <v>319.09696470870017</v>
      </c>
      <c r="CD12" s="62">
        <f ca="1">AVERAGE(OFFSET($CC$3,0,0,'Données projet'!$E$12+1,1))-AVERAGE(OFFSET($H$3,0,0,'Données projet'!$E$12+1,1))</f>
        <v>74.926559033177455</v>
      </c>
      <c r="CE12" s="62">
        <f t="shared" si="40"/>
        <v>430.78114872558075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5.7720000000000011</v>
      </c>
      <c r="D13" s="12">
        <f t="shared" si="32"/>
        <v>2.1690022541664673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61.298964769004321</v>
      </c>
      <c r="H13" s="70">
        <f t="shared" si="1"/>
        <v>307.1639122593399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20.277777777777779</v>
      </c>
      <c r="N13" s="14">
        <f>IF('Données projet'!$A$36&gt;35,N12+M13-V12,IF(A13&lt;'Données projet'!$A$36,$K$205^A13,IF(A13='Données projet'!$A$36,'Données projet'!$B$36,N12+M13-V12)))</f>
        <v>26.515268900615776</v>
      </c>
      <c r="O13" s="14">
        <f>N13*VLOOKUP('Données projet'!$B$9,Paramètres!$A$1:$I$89,3,0)*VLOOKUP('Données projet'!$B$9,Paramètres!$A$1:$I$89,5,0)</f>
        <v>11.664597094758891</v>
      </c>
      <c r="P13" s="14">
        <f t="shared" si="33"/>
        <v>4.0386681488601814</v>
      </c>
      <c r="Q13" s="22">
        <f t="shared" si="2"/>
        <v>27.349853632636549</v>
      </c>
      <c r="R13" s="62">
        <f t="shared" si="0"/>
        <v>320.68318696596987</v>
      </c>
      <c r="S13" s="62">
        <f ca="1">AVERAGE(OFFSET($R$3,0,0,'Données projet'!$E$9+1,1))-AVERAGE(OFFSET($H$3,0,0,'Données projet'!$E$9+1,1))</f>
        <v>54.970220527721665</v>
      </c>
      <c r="T13" s="62">
        <f t="shared" si="34"/>
        <v>326.57367524399677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20.277777777777779</v>
      </c>
      <c r="AI13" s="14">
        <f>IF('Données projet'!$A$62&gt;35,AI12+AH13-AQ12,IF(A13&lt;'Données projet'!$A$62,$AF$205^A13,IF(A13='Données projet'!$A$62,'Données projet'!$B$62,AI12+AH13-AQ12)))</f>
        <v>26.515268900615776</v>
      </c>
      <c r="AJ13" s="14">
        <f>AI13*VLOOKUP('Données projet'!$B$10,Paramètres!$A$1:$I$89,3,0)*VLOOKUP('Données projet'!$B$10,Paramètres!$A$1:$I$89,5,0)</f>
        <v>15.221885570465506</v>
      </c>
      <c r="AK13" s="14">
        <f t="shared" si="35"/>
        <v>5.1095327811883946</v>
      </c>
      <c r="AL13" s="22">
        <f t="shared" si="4"/>
        <v>35.41055362913054</v>
      </c>
      <c r="AM13" s="62">
        <f t="shared" si="5"/>
        <v>328.74388696246388</v>
      </c>
      <c r="AN13" s="62">
        <f ca="1">AVERAGE(OFFSET($AM$3,0,0,'Données projet'!$E$10+1,1))-AVERAGE(OFFSET($H$3,0,0,'Données projet'!$E$10+1,1))</f>
        <v>74.926559033177455</v>
      </c>
      <c r="AO13" s="62">
        <f t="shared" si="36"/>
        <v>430.78114872558075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20.277777777777779</v>
      </c>
      <c r="BD13" s="13">
        <f>IF('Données projet'!$A$88&gt;35,BD12+BC13-BL12,IF(A13&lt;'Données projet'!$A$88,$BA$205^A13,IF(A13='Données projet'!$A$88,'Données projet'!$B$88,BD12+BC13-BL12)))</f>
        <v>26.515268900615776</v>
      </c>
      <c r="BE13" s="14">
        <f>BD13*VLOOKUP('Données projet'!$B$11,Paramètres!$A$1:$I$89,3,0)*VLOOKUP('Données projet'!$B$11,Paramètres!$A$1:$I$89,5,0)</f>
        <v>12.615964942912987</v>
      </c>
      <c r="BF13" s="14">
        <f t="shared" si="37"/>
        <v>4.3283801357694731</v>
      </c>
      <c r="BG13" s="22">
        <f t="shared" si="7"/>
        <v>29.511401012038618</v>
      </c>
      <c r="BH13" s="62">
        <f t="shared" si="8"/>
        <v>322.84473434537193</v>
      </c>
      <c r="BI13" s="62">
        <f ca="1">AVERAGE(OFFSET($BH$3,0,0,'Données projet'!$E$11+1,1))-AVERAGE(OFFSET($H$3,0,0,'Données projet'!$E$11+1,1))</f>
        <v>60.31958470054127</v>
      </c>
      <c r="BJ13" s="62">
        <f t="shared" si="38"/>
        <v>354.50173999733266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20.277777777777779</v>
      </c>
      <c r="BY13" s="13">
        <f>IF('Données projet'!$A$114&gt;35,BY12+BX13-CG12,IF(A13&lt;'Données projet'!$A$114,$BV$205^A13,IF(A13='Données projet'!$A$114,'Données projet'!$B$114,BY12+BX13-CG12)))</f>
        <v>26.515268900615776</v>
      </c>
      <c r="BZ13" s="14">
        <f>BY13*VLOOKUP('Données projet'!$B$12,Paramètres!$A$1:$I$89,3,0)*VLOOKUP('Données projet'!$B$12,Paramètres!$A$1:$I$89,5,0)</f>
        <v>15.221885570465506</v>
      </c>
      <c r="CA13" s="14">
        <f t="shared" si="39"/>
        <v>5.1095327811883946</v>
      </c>
      <c r="CB13" s="22">
        <f t="shared" si="10"/>
        <v>35.41055362913054</v>
      </c>
      <c r="CC13" s="62">
        <f t="shared" si="11"/>
        <v>328.74388696246388</v>
      </c>
      <c r="CD13" s="62">
        <f ca="1">AVERAGE(OFFSET($CC$3,0,0,'Données projet'!$E$12+1,1))-AVERAGE(OFFSET($H$3,0,0,'Données projet'!$E$12+1,1))</f>
        <v>74.926559033177455</v>
      </c>
      <c r="CE13" s="62">
        <f t="shared" si="40"/>
        <v>430.78114872558075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6.3492000000000015</v>
      </c>
      <c r="D14" s="12">
        <f t="shared" si="32"/>
        <v>2.359579313094827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67.225664873012704</v>
      </c>
      <c r="H14" s="70">
        <f t="shared" si="1"/>
        <v>308.50112397030682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20.277777777777779</v>
      </c>
      <c r="N14" s="14">
        <f>IF('Données projet'!$A$36&gt;35,N13+M14-V13,IF(A14&lt;'Données projet'!$A$36,$K$205^A14,IF(A14='Données projet'!$A$36,'Données projet'!$B$36,N13+M14-V13)))</f>
        <v>36.799815338593767</v>
      </c>
      <c r="O14" s="14">
        <f>N14*VLOOKUP('Données projet'!$B$9,Paramètres!$A$1:$I$89,3,0)*VLOOKUP('Données projet'!$B$9,Paramètres!$A$1:$I$89,5,0)</f>
        <v>16.188974763754167</v>
      </c>
      <c r="P14" s="14">
        <f t="shared" si="33"/>
        <v>5.3953333049429766</v>
      </c>
      <c r="Q14" s="22">
        <f t="shared" si="2"/>
        <v>37.592669886314191</v>
      </c>
      <c r="R14" s="62">
        <f t="shared" si="0"/>
        <v>330.9260032196475</v>
      </c>
      <c r="S14" s="62">
        <f ca="1">AVERAGE(OFFSET($R$3,0,0,'Données projet'!$E$9+1,1))-AVERAGE(OFFSET($H$3,0,0,'Données projet'!$E$9+1,1))</f>
        <v>54.970220527721665</v>
      </c>
      <c r="T14" s="62">
        <f t="shared" si="34"/>
        <v>326.57367524399677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20.277777777777779</v>
      </c>
      <c r="AI14" s="14">
        <f>IF('Données projet'!$A$62&gt;35,AI13+AH14-AQ13,IF(A14&lt;'Données projet'!$A$62,$AF$205^A14,IF(A14='Données projet'!$A$62,'Données projet'!$B$62,AI13+AH14-AQ13)))</f>
        <v>36.799815338593767</v>
      </c>
      <c r="AJ14" s="14">
        <f>AI14*VLOOKUP('Données projet'!$B$10,Paramètres!$A$1:$I$89,3,0)*VLOOKUP('Données projet'!$B$10,Paramètres!$A$1:$I$89,5,0)</f>
        <v>21.12603798957991</v>
      </c>
      <c r="AK14" s="14">
        <f t="shared" si="35"/>
        <v>6.8259216580654121</v>
      </c>
      <c r="AL14" s="22">
        <f t="shared" si="4"/>
        <v>48.682996386315601</v>
      </c>
      <c r="AM14" s="62">
        <f t="shared" si="5"/>
        <v>342.01632971964892</v>
      </c>
      <c r="AN14" s="62">
        <f ca="1">AVERAGE(OFFSET($AM$3,0,0,'Données projet'!$E$10+1,1))-AVERAGE(OFFSET($H$3,0,0,'Données projet'!$E$10+1,1))</f>
        <v>74.926559033177455</v>
      </c>
      <c r="AO14" s="62">
        <f t="shared" si="36"/>
        <v>430.78114872558075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20.277777777777779</v>
      </c>
      <c r="BD14" s="13">
        <f>IF('Données projet'!$A$88&gt;35,BD13+BC14-BL13,IF(A14&lt;'Données projet'!$A$88,$BA$205^A14,IF(A14='Données projet'!$A$88,'Données projet'!$B$88,BD13+BC14-BL13)))</f>
        <v>36.799815338593767</v>
      </c>
      <c r="BE14" s="14">
        <f>BD14*VLOOKUP('Données projet'!$B$11,Paramètres!$A$1:$I$89,3,0)*VLOOKUP('Données projet'!$B$11,Paramètres!$A$1:$I$89,5,0)</f>
        <v>17.509352138102912</v>
      </c>
      <c r="BF14" s="14">
        <f t="shared" si="37"/>
        <v>5.7823650377319282</v>
      </c>
      <c r="BG14" s="22">
        <f t="shared" si="7"/>
        <v>40.566407414579011</v>
      </c>
      <c r="BH14" s="62">
        <f t="shared" si="8"/>
        <v>333.89974074791235</v>
      </c>
      <c r="BI14" s="62">
        <f ca="1">AVERAGE(OFFSET($BH$3,0,0,'Données projet'!$E$11+1,1))-AVERAGE(OFFSET($H$3,0,0,'Données projet'!$E$11+1,1))</f>
        <v>60.31958470054127</v>
      </c>
      <c r="BJ14" s="62">
        <f t="shared" si="38"/>
        <v>354.50173999733266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20.277777777777779</v>
      </c>
      <c r="BY14" s="13">
        <f>IF('Données projet'!$A$114&gt;35,BY13+BX14-CG13,IF(A14&lt;'Données projet'!$A$114,$BV$205^A14,IF(A14='Données projet'!$A$114,'Données projet'!$B$114,BY13+BX14-CG13)))</f>
        <v>36.799815338593767</v>
      </c>
      <c r="BZ14" s="14">
        <f>BY14*VLOOKUP('Données projet'!$B$12,Paramètres!$A$1:$I$89,3,0)*VLOOKUP('Données projet'!$B$12,Paramètres!$A$1:$I$89,5,0)</f>
        <v>21.12603798957991</v>
      </c>
      <c r="CA14" s="14">
        <f t="shared" si="39"/>
        <v>6.8259216580654121</v>
      </c>
      <c r="CB14" s="22">
        <f t="shared" si="10"/>
        <v>48.682996386315601</v>
      </c>
      <c r="CC14" s="62">
        <f t="shared" si="11"/>
        <v>342.01632971964892</v>
      </c>
      <c r="CD14" s="62">
        <f ca="1">AVERAGE(OFFSET($CC$3,0,0,'Données projet'!$E$12+1,1))-AVERAGE(OFFSET($H$3,0,0,'Données projet'!$E$12+1,1))</f>
        <v>74.926559033177455</v>
      </c>
      <c r="CE14" s="62">
        <f t="shared" si="40"/>
        <v>430.78114872558075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6.9264000000000019</v>
      </c>
      <c r="D15" s="12">
        <f t="shared" si="32"/>
        <v>2.5481474340493024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73.136857385643751</v>
      </c>
      <c r="H15" s="70">
        <f t="shared" si="1"/>
        <v>309.83483678096917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20.277777777777779</v>
      </c>
      <c r="N15" s="14">
        <f>IF('Données projet'!$A$36&gt;35,N14+M15-V14,IF(A15&lt;'Données projet'!$A$36,$K$205^A15,IF(A15='Données projet'!$A$36,'Données projet'!$B$36,N14+M15-V14)))</f>
        <v>51.073455601393171</v>
      </c>
      <c r="O15" s="14">
        <f>N15*VLOOKUP('Données projet'!$B$9,Paramètres!$A$1:$I$89,3,0)*VLOOKUP('Données projet'!$B$9,Paramètres!$A$1:$I$89,5,0)</f>
        <v>22.468234588164883</v>
      </c>
      <c r="P15" s="14">
        <f t="shared" si="33"/>
        <v>7.2077279931113933</v>
      </c>
      <c r="Q15" s="22">
        <f t="shared" si="2"/>
        <v>51.685634829056177</v>
      </c>
      <c r="R15" s="62">
        <f t="shared" si="0"/>
        <v>345.01896816238951</v>
      </c>
      <c r="S15" s="62">
        <f ca="1">AVERAGE(OFFSET($R$3,0,0,'Données projet'!$E$9+1,1))-AVERAGE(OFFSET($H$3,0,0,'Données projet'!$E$9+1,1))</f>
        <v>54.970220527721665</v>
      </c>
      <c r="T15" s="62">
        <f t="shared" si="34"/>
        <v>326.57367524399677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20.277777777777779</v>
      </c>
      <c r="AI15" s="14">
        <f>IF('Données projet'!$A$62&gt;35,AI14+AH15-AQ14,IF(A15&lt;'Données projet'!$A$62,$AF$205^A15,IF(A15='Données projet'!$A$62,'Données projet'!$B$62,AI14+AH15-AQ14)))</f>
        <v>51.073455601393171</v>
      </c>
      <c r="AJ15" s="14">
        <f>AI15*VLOOKUP('Données projet'!$B$10,Paramètres!$A$1:$I$89,3,0)*VLOOKUP('Données projet'!$B$10,Paramètres!$A$1:$I$89,5,0)</f>
        <v>29.320249391647796</v>
      </c>
      <c r="AK15" s="14">
        <f t="shared" si="35"/>
        <v>9.1188780809054002</v>
      </c>
      <c r="AL15" s="22">
        <f t="shared" si="4"/>
        <v>66.948147014696815</v>
      </c>
      <c r="AM15" s="62">
        <f t="shared" si="5"/>
        <v>360.28148034803013</v>
      </c>
      <c r="AN15" s="62">
        <f ca="1">AVERAGE(OFFSET($AM$3,0,0,'Données projet'!$E$10+1,1))-AVERAGE(OFFSET($H$3,0,0,'Données projet'!$E$10+1,1))</f>
        <v>74.926559033177455</v>
      </c>
      <c r="AO15" s="62">
        <f t="shared" si="36"/>
        <v>430.78114872558075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20.277777777777779</v>
      </c>
      <c r="BD15" s="13">
        <f>IF('Données projet'!$A$88&gt;35,BD14+BC15-BL14,IF(A15&lt;'Données projet'!$A$88,$BA$205^A15,IF(A15='Données projet'!$A$88,'Données projet'!$B$88,BD14+BC15-BL14)))</f>
        <v>51.073455601393171</v>
      </c>
      <c r="BE15" s="14">
        <f>BD15*VLOOKUP('Données projet'!$B$11,Paramètres!$A$1:$I$89,3,0)*VLOOKUP('Données projet'!$B$11,Paramètres!$A$1:$I$89,5,0)</f>
        <v>24.30075017514287</v>
      </c>
      <c r="BF15" s="14">
        <f t="shared" si="37"/>
        <v>7.724771018440264</v>
      </c>
      <c r="BG15" s="22">
        <f t="shared" si="7"/>
        <v>55.777782745490619</v>
      </c>
      <c r="BH15" s="62">
        <f t="shared" si="8"/>
        <v>349.11111607882395</v>
      </c>
      <c r="BI15" s="62">
        <f ca="1">AVERAGE(OFFSET($BH$3,0,0,'Données projet'!$E$11+1,1))-AVERAGE(OFFSET($H$3,0,0,'Données projet'!$E$11+1,1))</f>
        <v>60.31958470054127</v>
      </c>
      <c r="BJ15" s="62">
        <f t="shared" si="38"/>
        <v>354.50173999733266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20.277777777777779</v>
      </c>
      <c r="BY15" s="13">
        <f>IF('Données projet'!$A$114&gt;35,BY14+BX15-CG14,IF(A15&lt;'Données projet'!$A$114,$BV$205^A15,IF(A15='Données projet'!$A$114,'Données projet'!$B$114,BY14+BX15-CG14)))</f>
        <v>51.073455601393171</v>
      </c>
      <c r="BZ15" s="14">
        <f>BY15*VLOOKUP('Données projet'!$B$12,Paramètres!$A$1:$I$89,3,0)*VLOOKUP('Données projet'!$B$12,Paramètres!$A$1:$I$89,5,0)</f>
        <v>29.320249391647796</v>
      </c>
      <c r="CA15" s="14">
        <f t="shared" si="39"/>
        <v>9.1188780809054002</v>
      </c>
      <c r="CB15" s="22">
        <f t="shared" si="10"/>
        <v>66.948147014696815</v>
      </c>
      <c r="CC15" s="62">
        <f t="shared" si="11"/>
        <v>360.28148034803013</v>
      </c>
      <c r="CD15" s="62">
        <f ca="1">AVERAGE(OFFSET($CC$3,0,0,'Données projet'!$E$12+1,1))-AVERAGE(OFFSET($H$3,0,0,'Données projet'!$E$12+1,1))</f>
        <v>74.926559033177455</v>
      </c>
      <c r="CE15" s="62">
        <f t="shared" si="40"/>
        <v>430.78114872558075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7.5036000000000023</v>
      </c>
      <c r="D16" s="12">
        <f t="shared" si="32"/>
        <v>2.7348930617282741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79.033981529130543</v>
      </c>
      <c r="H16" s="70">
        <f t="shared" si="1"/>
        <v>311.16537541584341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20.277777777777779</v>
      </c>
      <c r="N16" s="14">
        <f>IF('Données projet'!$A$36&gt;35,N15+M16-V15,IF(A16&lt;'Données projet'!$A$36,$K$205^A16,IF(A16='Données projet'!$A$36,'Données projet'!$B$36,N15+M16-V15)))</f>
        <v>70.883449905027646</v>
      </c>
      <c r="O16" s="14">
        <f>N16*VLOOKUP('Données projet'!$B$9,Paramètres!$A$1:$I$89,3,0)*VLOOKUP('Données projet'!$B$9,Paramètres!$A$1:$I$89,5,0)</f>
        <v>31.183047282219761</v>
      </c>
      <c r="P16" s="14">
        <f t="shared" si="33"/>
        <v>9.6289403983783473</v>
      </c>
      <c r="Q16" s="22">
        <f t="shared" si="2"/>
        <v>71.080878543708366</v>
      </c>
      <c r="R16" s="62">
        <f t="shared" si="0"/>
        <v>364.41421187704168</v>
      </c>
      <c r="S16" s="62">
        <f ca="1">AVERAGE(OFFSET($R$3,0,0,'Données projet'!$E$9+1,1))-AVERAGE(OFFSET($H$3,0,0,'Données projet'!$E$9+1,1))</f>
        <v>54.970220527721665</v>
      </c>
      <c r="T16" s="62">
        <f t="shared" si="34"/>
        <v>326.57367524399677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20.277777777777779</v>
      </c>
      <c r="AI16" s="14">
        <f>IF('Données projet'!$A$62&gt;35,AI15+AH16-AQ15,IF(A16&lt;'Données projet'!$A$62,$AF$205^A16,IF(A16='Données projet'!$A$62,'Données projet'!$B$62,AI15+AH16-AQ15)))</f>
        <v>70.883449905027646</v>
      </c>
      <c r="AJ16" s="14">
        <f>AI16*VLOOKUP('Données projet'!$B$10,Paramètres!$A$1:$I$89,3,0)*VLOOKUP('Données projet'!$B$10,Paramètres!$A$1:$I$89,5,0)</f>
        <v>40.692770921478271</v>
      </c>
      <c r="AK16" s="14">
        <f t="shared" si="35"/>
        <v>12.182082013227248</v>
      </c>
      <c r="AL16" s="22">
        <f t="shared" si="4"/>
        <v>92.090368861278762</v>
      </c>
      <c r="AM16" s="62">
        <f t="shared" si="5"/>
        <v>385.42370219461208</v>
      </c>
      <c r="AN16" s="62">
        <f ca="1">AVERAGE(OFFSET($AM$3,0,0,'Données projet'!$E$10+1,1))-AVERAGE(OFFSET($H$3,0,0,'Données projet'!$E$10+1,1))</f>
        <v>74.926559033177455</v>
      </c>
      <c r="AO16" s="62">
        <f t="shared" si="36"/>
        <v>430.78114872558075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20.277777777777779</v>
      </c>
      <c r="BD16" s="13">
        <f>IF('Données projet'!$A$88&gt;35,BD15+BC16-BL15,IF(A16&lt;'Données projet'!$A$88,$BA$205^A16,IF(A16='Données projet'!$A$88,'Données projet'!$B$88,BD15+BC16-BL15)))</f>
        <v>70.883449905027646</v>
      </c>
      <c r="BE16" s="14">
        <f>BD16*VLOOKUP('Données projet'!$B$11,Paramètres!$A$1:$I$89,3,0)*VLOOKUP('Données projet'!$B$11,Paramètres!$A$1:$I$89,5,0)</f>
        <v>33.726345464812155</v>
      </c>
      <c r="BF16" s="14">
        <f t="shared" si="37"/>
        <v>10.319667972871596</v>
      </c>
      <c r="BG16" s="22">
        <f t="shared" si="7"/>
        <v>76.713473403965864</v>
      </c>
      <c r="BH16" s="62">
        <f t="shared" si="8"/>
        <v>370.04680673729916</v>
      </c>
      <c r="BI16" s="62">
        <f ca="1">AVERAGE(OFFSET($BH$3,0,0,'Données projet'!$E$11+1,1))-AVERAGE(OFFSET($H$3,0,0,'Données projet'!$E$11+1,1))</f>
        <v>60.31958470054127</v>
      </c>
      <c r="BJ16" s="62">
        <f t="shared" si="38"/>
        <v>354.50173999733266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20.277777777777779</v>
      </c>
      <c r="BY16" s="13">
        <f>IF('Données projet'!$A$114&gt;35,BY15+BX16-CG15,IF(A16&lt;'Données projet'!$A$114,$BV$205^A16,IF(A16='Données projet'!$A$114,'Données projet'!$B$114,BY15+BX16-CG15)))</f>
        <v>70.883449905027646</v>
      </c>
      <c r="BZ16" s="14">
        <f>BY16*VLOOKUP('Données projet'!$B$12,Paramètres!$A$1:$I$89,3,0)*VLOOKUP('Données projet'!$B$12,Paramètres!$A$1:$I$89,5,0)</f>
        <v>40.692770921478271</v>
      </c>
      <c r="CA16" s="14">
        <f t="shared" si="39"/>
        <v>12.182082013227248</v>
      </c>
      <c r="CB16" s="22">
        <f t="shared" si="10"/>
        <v>92.090368861278762</v>
      </c>
      <c r="CC16" s="62">
        <f t="shared" si="11"/>
        <v>385.42370219461208</v>
      </c>
      <c r="CD16" s="62">
        <f ca="1">AVERAGE(OFFSET($CC$3,0,0,'Données projet'!$E$12+1,1))-AVERAGE(OFFSET($H$3,0,0,'Données projet'!$E$12+1,1))</f>
        <v>74.926559033177455</v>
      </c>
      <c r="CE16" s="62">
        <f t="shared" si="40"/>
        <v>430.78114872558075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8.0808000000000018</v>
      </c>
      <c r="D17" s="12">
        <f t="shared" si="32"/>
        <v>2.9199723276059735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84.918242528888229</v>
      </c>
      <c r="H17" s="70">
        <f t="shared" si="1"/>
        <v>312.4930118039137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20.277777777777779</v>
      </c>
      <c r="N17" s="14">
        <f>IF('Données projet'!$A$36&gt;35,N16+M17-V16,IF(A17&lt;'Données projet'!$A$36,$K$205^A17,IF(A17='Données projet'!$A$36,'Données projet'!$B$36,N16+M17-V16)))</f>
        <v>98.377198317113852</v>
      </c>
      <c r="O17" s="14">
        <f>N17*VLOOKUP('Données projet'!$B$9,Paramètres!$A$1:$I$89,3,0)*VLOOKUP('Données projet'!$B$9,Paramètres!$A$1:$I$89,5,0)</f>
        <v>43.278097083664726</v>
      </c>
      <c r="P17" s="14">
        <f t="shared" si="33"/>
        <v>12.863483927824975</v>
      </c>
      <c r="Q17" s="22">
        <f t="shared" si="2"/>
        <v>97.779920261677887</v>
      </c>
      <c r="R17" s="62">
        <f t="shared" si="0"/>
        <v>391.1132535950112</v>
      </c>
      <c r="S17" s="62">
        <f ca="1">AVERAGE(OFFSET($R$3,0,0,'Données projet'!$E$9+1,1))-AVERAGE(OFFSET($H$3,0,0,'Données projet'!$E$9+1,1))</f>
        <v>54.970220527721665</v>
      </c>
      <c r="T17" s="62">
        <f t="shared" si="34"/>
        <v>326.57367524399677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20.277777777777779</v>
      </c>
      <c r="AI17" s="14">
        <f>IF('Données projet'!$A$62&gt;35,AI16+AH17-AQ16,IF(A17&lt;'Données projet'!$A$62,$AF$205^A17,IF(A17='Données projet'!$A$62,'Données projet'!$B$62,AI16+AH17-AQ16)))</f>
        <v>98.377198317113852</v>
      </c>
      <c r="AJ17" s="14">
        <f>AI17*VLOOKUP('Données projet'!$B$10,Paramètres!$A$1:$I$89,3,0)*VLOOKUP('Données projet'!$B$10,Paramètres!$A$1:$I$89,5,0)</f>
        <v>56.476382009888717</v>
      </c>
      <c r="AK17" s="14">
        <f t="shared" si="35"/>
        <v>16.274274188153203</v>
      </c>
      <c r="AL17" s="22">
        <f t="shared" si="4"/>
        <v>126.70739287825636</v>
      </c>
      <c r="AM17" s="62">
        <f t="shared" si="5"/>
        <v>420.04072621158969</v>
      </c>
      <c r="AN17" s="62">
        <f ca="1">AVERAGE(OFFSET($AM$3,0,0,'Données projet'!$E$10+1,1))-AVERAGE(OFFSET($H$3,0,0,'Données projet'!$E$10+1,1))</f>
        <v>74.926559033177455</v>
      </c>
      <c r="AO17" s="62">
        <f t="shared" si="36"/>
        <v>430.78114872558075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20.277777777777779</v>
      </c>
      <c r="BD17" s="13">
        <f>IF('Données projet'!$A$88&gt;35,BD16+BC17-BL16,IF(A17&lt;'Données projet'!$A$88,$BA$205^A17,IF(A17='Données projet'!$A$88,'Données projet'!$B$88,BD16+BC17-BL16)))</f>
        <v>98.377198317113852</v>
      </c>
      <c r="BE17" s="14">
        <f>BD17*VLOOKUP('Données projet'!$B$11,Paramètres!$A$1:$I$89,3,0)*VLOOKUP('Données projet'!$B$11,Paramètres!$A$1:$I$89,5,0)</f>
        <v>46.807870959282766</v>
      </c>
      <c r="BF17" s="14">
        <f t="shared" si="37"/>
        <v>13.786239982530208</v>
      </c>
      <c r="BG17" s="22">
        <f t="shared" si="7"/>
        <v>105.53474322365759</v>
      </c>
      <c r="BH17" s="62">
        <f t="shared" si="8"/>
        <v>398.8680765569909</v>
      </c>
      <c r="BI17" s="62">
        <f ca="1">AVERAGE(OFFSET($BH$3,0,0,'Données projet'!$E$11+1,1))-AVERAGE(OFFSET($H$3,0,0,'Données projet'!$E$11+1,1))</f>
        <v>60.31958470054127</v>
      </c>
      <c r="BJ17" s="62">
        <f t="shared" si="38"/>
        <v>354.50173999733266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20.277777777777779</v>
      </c>
      <c r="BY17" s="13">
        <f>IF('Données projet'!$A$114&gt;35,BY16+BX17-CG16,IF(A17&lt;'Données projet'!$A$114,$BV$205^A17,IF(A17='Données projet'!$A$114,'Données projet'!$B$114,BY16+BX17-CG16)))</f>
        <v>98.377198317113852</v>
      </c>
      <c r="BZ17" s="14">
        <f>BY17*VLOOKUP('Données projet'!$B$12,Paramètres!$A$1:$I$89,3,0)*VLOOKUP('Données projet'!$B$12,Paramètres!$A$1:$I$89,5,0)</f>
        <v>56.476382009888717</v>
      </c>
      <c r="CA17" s="14">
        <f t="shared" si="39"/>
        <v>16.274274188153203</v>
      </c>
      <c r="CB17" s="22">
        <f t="shared" si="10"/>
        <v>126.70739287825636</v>
      </c>
      <c r="CC17" s="62">
        <f t="shared" si="11"/>
        <v>420.04072621158969</v>
      </c>
      <c r="CD17" s="62">
        <f ca="1">AVERAGE(OFFSET($CC$3,0,0,'Données projet'!$E$12+1,1))-AVERAGE(OFFSET($H$3,0,0,'Données projet'!$E$12+1,1))</f>
        <v>74.926559033177455</v>
      </c>
      <c r="CE17" s="62">
        <f t="shared" si="40"/>
        <v>430.78114872558075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8.6580000000000013</v>
      </c>
      <c r="D18" s="12">
        <f t="shared" si="32"/>
        <v>3.1035177947823605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90.790663679021748</v>
      </c>
      <c r="H18" s="70">
        <f t="shared" si="1"/>
        <v>313.81797682591258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20.277777777777779</v>
      </c>
      <c r="N18" s="14">
        <f>IF('Données projet'!$A$36&gt;35,N17+M18-V17,IF(A18&lt;'Données projet'!$A$36,$K$205^A18,IF(A18='Données projet'!$A$36,'Données projet'!$B$36,N17+M18-V17)))</f>
        <v>136.53501856486668</v>
      </c>
      <c r="O18" s="14">
        <f>N18*VLOOKUP('Données projet'!$B$9,Paramètres!$A$1:$I$89,3,0)*VLOOKUP('Données projet'!$B$9,Paramètres!$A$1:$I$89,5,0)</f>
        <v>60.064485367056143</v>
      </c>
      <c r="P18" s="14">
        <f t="shared" si="33"/>
        <v>17.184571917100968</v>
      </c>
      <c r="Q18" s="22">
        <f t="shared" si="2"/>
        <v>134.54210810324034</v>
      </c>
      <c r="R18" s="62">
        <f t="shared" si="0"/>
        <v>427.87544143657362</v>
      </c>
      <c r="S18" s="62">
        <f ca="1">AVERAGE(OFFSET($R$3,0,0,'Données projet'!$E$9+1,1))-AVERAGE(OFFSET($H$3,0,0,'Données projet'!$E$9+1,1))</f>
        <v>54.970220527721665</v>
      </c>
      <c r="T18" s="62">
        <f t="shared" si="34"/>
        <v>326.57367524399677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20.277777777777779</v>
      </c>
      <c r="AI18" s="14">
        <f>IF('Données projet'!$A$62&gt;35,AI17+AH18-AQ17,IF(A18&lt;'Données projet'!$A$62,$AF$205^A18,IF(A18='Données projet'!$A$62,'Données projet'!$B$62,AI17+AH18-AQ17)))</f>
        <v>136.53501856486668</v>
      </c>
      <c r="AJ18" s="14">
        <f>AI18*VLOOKUP('Données projet'!$B$10,Paramètres!$A$1:$I$89,3,0)*VLOOKUP('Données projet'!$B$10,Paramètres!$A$1:$I$89,5,0)</f>
        <v>78.38202345771866</v>
      </c>
      <c r="AK18" s="14">
        <f t="shared" si="35"/>
        <v>21.741111253693315</v>
      </c>
      <c r="AL18" s="22">
        <f t="shared" si="4"/>
        <v>174.38112628904253</v>
      </c>
      <c r="AM18" s="62">
        <f t="shared" si="5"/>
        <v>467.71445962237584</v>
      </c>
      <c r="AN18" s="62">
        <f ca="1">AVERAGE(OFFSET($AM$3,0,0,'Données projet'!$E$10+1,1))-AVERAGE(OFFSET($H$3,0,0,'Données projet'!$E$10+1,1))</f>
        <v>74.926559033177455</v>
      </c>
      <c r="AO18" s="62">
        <f t="shared" si="36"/>
        <v>430.78114872558075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20.277777777777779</v>
      </c>
      <c r="BD18" s="13">
        <f>IF('Données projet'!$A$88&gt;35,BD17+BC18-BL17,IF(A18&lt;'Données projet'!$A$88,$BA$205^A18,IF(A18='Données projet'!$A$88,'Données projet'!$B$88,BD17+BC18-BL17)))</f>
        <v>136.53501856486668</v>
      </c>
      <c r="BE18" s="14">
        <f>BD18*VLOOKUP('Données projet'!$B$11,Paramètres!$A$1:$I$89,3,0)*VLOOKUP('Données projet'!$B$11,Paramètres!$A$1:$I$89,5,0)</f>
        <v>64.963361833163574</v>
      </c>
      <c r="BF18" s="14">
        <f t="shared" si="37"/>
        <v>18.41729921500832</v>
      </c>
      <c r="BG18" s="22">
        <f t="shared" si="7"/>
        <v>145.22131799223271</v>
      </c>
      <c r="BH18" s="62">
        <f t="shared" si="8"/>
        <v>438.55465132556606</v>
      </c>
      <c r="BI18" s="62">
        <f ca="1">AVERAGE(OFFSET($BH$3,0,0,'Données projet'!$E$11+1,1))-AVERAGE(OFFSET($H$3,0,0,'Données projet'!$E$11+1,1))</f>
        <v>60.31958470054127</v>
      </c>
      <c r="BJ18" s="62">
        <f t="shared" si="38"/>
        <v>354.50173999733266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20.277777777777779</v>
      </c>
      <c r="BY18" s="13">
        <f>IF('Données projet'!$A$114&gt;35,BY17+BX18-CG17,IF(A18&lt;'Données projet'!$A$114,$BV$205^A18,IF(A18='Données projet'!$A$114,'Données projet'!$B$114,BY17+BX18-CG17)))</f>
        <v>136.53501856486668</v>
      </c>
      <c r="BZ18" s="14">
        <f>BY18*VLOOKUP('Données projet'!$B$12,Paramètres!$A$1:$I$89,3,0)*VLOOKUP('Données projet'!$B$12,Paramètres!$A$1:$I$89,5,0)</f>
        <v>78.38202345771866</v>
      </c>
      <c r="CA18" s="14">
        <f t="shared" si="39"/>
        <v>21.741111253693315</v>
      </c>
      <c r="CB18" s="22">
        <f t="shared" si="10"/>
        <v>174.38112628904253</v>
      </c>
      <c r="CC18" s="62">
        <f t="shared" si="11"/>
        <v>467.71445962237584</v>
      </c>
      <c r="CD18" s="62">
        <f ca="1">AVERAGE(OFFSET($CC$3,0,0,'Données projet'!$E$12+1,1))-AVERAGE(OFFSET($H$3,0,0,'Données projet'!$E$12+1,1))</f>
        <v>74.926559033177455</v>
      </c>
      <c r="CE18" s="62">
        <f t="shared" si="40"/>
        <v>430.78114872558075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9.2352000000000007</v>
      </c>
      <c r="D19" s="12">
        <f t="shared" si="32"/>
        <v>3.285643351316526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96.652124115425821</v>
      </c>
      <c r="H19" s="70">
        <f t="shared" si="1"/>
        <v>315.14046883687627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20.277777777777779</v>
      </c>
      <c r="N19" s="14">
        <f>IF('Données projet'!$A$36&gt;35,N18+M19-V18,IF(A19&lt;'Données projet'!$A$36,$K$205^A19,IF(A19='Données projet'!$A$36,'Données projet'!$B$36,N18+M19-V18)))</f>
        <v>189.49321197801919</v>
      </c>
      <c r="O19" s="14">
        <f>N19*VLOOKUP('Données projet'!$B$9,Paramètres!$A$1:$I$89,3,0)*VLOOKUP('Données projet'!$B$9,Paramètres!$A$1:$I$89,5,0)</f>
        <v>83.361853813370203</v>
      </c>
      <c r="P19" s="14">
        <f t="shared" si="33"/>
        <v>22.957195238160288</v>
      </c>
      <c r="Q19" s="22">
        <f t="shared" si="2"/>
        <v>185.17234376474894</v>
      </c>
      <c r="R19" s="62">
        <f t="shared" si="0"/>
        <v>478.50567709808229</v>
      </c>
      <c r="S19" s="62">
        <f ca="1">AVERAGE(OFFSET($R$3,0,0,'Données projet'!$E$9+1,1))-AVERAGE(OFFSET($H$3,0,0,'Données projet'!$E$9+1,1))</f>
        <v>54.970220527721665</v>
      </c>
      <c r="T19" s="62">
        <f t="shared" si="34"/>
        <v>326.57367524399677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20.277777777777779</v>
      </c>
      <c r="AI19" s="14">
        <f>IF('Données projet'!$A$62&gt;35,AI18+AH19-AQ18,IF(A19&lt;'Données projet'!$A$62,$AF$205^A19,IF(A19='Données projet'!$A$62,'Données projet'!$B$62,AI18+AH19-AQ18)))</f>
        <v>189.49321197801919</v>
      </c>
      <c r="AJ19" s="14">
        <f>AI19*VLOOKUP('Données projet'!$B$10,Paramètres!$A$1:$I$89,3,0)*VLOOKUP('Données projet'!$B$10,Paramètres!$A$1:$I$89,5,0)</f>
        <v>108.78426313234125</v>
      </c>
      <c r="AK19" s="14">
        <f t="shared" si="35"/>
        <v>29.044362475443151</v>
      </c>
      <c r="AL19" s="22">
        <f t="shared" si="4"/>
        <v>240.05152293355786</v>
      </c>
      <c r="AM19" s="62">
        <f t="shared" si="5"/>
        <v>533.38485626689112</v>
      </c>
      <c r="AN19" s="62">
        <f ca="1">AVERAGE(OFFSET($AM$3,0,0,'Données projet'!$E$10+1,1))-AVERAGE(OFFSET($H$3,0,0,'Données projet'!$E$10+1,1))</f>
        <v>74.926559033177455</v>
      </c>
      <c r="AO19" s="62">
        <f t="shared" si="36"/>
        <v>430.78114872558075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20.277777777777779</v>
      </c>
      <c r="BD19" s="13">
        <f>IF('Données projet'!$A$88&gt;35,BD18+BC19-BL18,IF(A19&lt;'Données projet'!$A$88,$BA$205^A19,IF(A19='Données projet'!$A$88,'Données projet'!$B$88,BD18+BC19-BL18)))</f>
        <v>189.49321197801919</v>
      </c>
      <c r="BE19" s="14">
        <f>BD19*VLOOKUP('Données projet'!$B$11,Paramètres!$A$1:$I$89,3,0)*VLOOKUP('Données projet'!$B$11,Paramètres!$A$1:$I$89,5,0)</f>
        <v>90.160870259141532</v>
      </c>
      <c r="BF19" s="14">
        <f t="shared" si="37"/>
        <v>24.604018993211572</v>
      </c>
      <c r="BG19" s="22">
        <f t="shared" si="7"/>
        <v>199.88218211451499</v>
      </c>
      <c r="BH19" s="62">
        <f t="shared" si="8"/>
        <v>493.2155154478483</v>
      </c>
      <c r="BI19" s="62">
        <f ca="1">AVERAGE(OFFSET($BH$3,0,0,'Données projet'!$E$11+1,1))-AVERAGE(OFFSET($H$3,0,0,'Données projet'!$E$11+1,1))</f>
        <v>60.31958470054127</v>
      </c>
      <c r="BJ19" s="62">
        <f t="shared" si="38"/>
        <v>354.50173999733266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20.277777777777779</v>
      </c>
      <c r="BY19" s="13">
        <f>IF('Données projet'!$A$114&gt;35,BY18+BX19-CG18,IF(A19&lt;'Données projet'!$A$114,$BV$205^A19,IF(A19='Données projet'!$A$114,'Données projet'!$B$114,BY18+BX19-CG18)))</f>
        <v>189.49321197801919</v>
      </c>
      <c r="BZ19" s="14">
        <f>BY19*VLOOKUP('Données projet'!$B$12,Paramètres!$A$1:$I$89,3,0)*VLOOKUP('Données projet'!$B$12,Paramètres!$A$1:$I$89,5,0)</f>
        <v>108.78426313234125</v>
      </c>
      <c r="CA19" s="14">
        <f t="shared" si="39"/>
        <v>29.044362475443151</v>
      </c>
      <c r="CB19" s="22">
        <f t="shared" si="10"/>
        <v>240.05152293355786</v>
      </c>
      <c r="CC19" s="62">
        <f t="shared" si="11"/>
        <v>533.38485626689112</v>
      </c>
      <c r="CD19" s="62">
        <f ca="1">AVERAGE(OFFSET($CC$3,0,0,'Données projet'!$E$12+1,1))-AVERAGE(OFFSET($H$3,0,0,'Données projet'!$E$12+1,1))</f>
        <v>74.926559033177455</v>
      </c>
      <c r="CE19" s="62">
        <f t="shared" si="40"/>
        <v>430.78114872558075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9.8124000000000002</v>
      </c>
      <c r="D20" s="12">
        <f t="shared" si="32"/>
        <v>3.4664478446384415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102.50338687089324</v>
      </c>
      <c r="H20" s="70">
        <f t="shared" si="1"/>
        <v>316.46065999607862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20.277777777777779</v>
      </c>
      <c r="N20" s="14">
        <f>IF('Données projet'!$A$36&gt;35,N19+M20-V19,IF(A20&lt;'Données projet'!$A$36,$K$205^A20,IF(A20='Données projet'!$A$36,'Données projet'!$B$36,N19+M20-V19)))</f>
        <v>262.99243786081934</v>
      </c>
      <c r="O20" s="14">
        <f>N20*VLOOKUP('Données projet'!$B$9,Paramètres!$A$1:$I$89,3,0)*VLOOKUP('Données projet'!$B$9,Paramètres!$A$1:$I$89,5,0)</f>
        <v>115.69563326373164</v>
      </c>
      <c r="P20" s="14">
        <f t="shared" si="33"/>
        <v>30.668952112711107</v>
      </c>
      <c r="Q20" s="22">
        <f t="shared" si="2"/>
        <v>254.91831953063775</v>
      </c>
      <c r="R20" s="62">
        <f t="shared" si="0"/>
        <v>548.251652863971</v>
      </c>
      <c r="S20" s="62">
        <f ca="1">AVERAGE(OFFSET($R$3,0,0,'Données projet'!$E$9+1,1))-AVERAGE(OFFSET($H$3,0,0,'Données projet'!$E$9+1,1))</f>
        <v>54.970220527721665</v>
      </c>
      <c r="T20" s="62">
        <f t="shared" si="34"/>
        <v>326.57367524399677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20.277777777777779</v>
      </c>
      <c r="AI20" s="14">
        <f>IF('Données projet'!$A$62&gt;35,AI19+AH20-AQ19,IF(A20&lt;'Données projet'!$A$62,$AF$205^A20,IF(A20='Données projet'!$A$62,'Données projet'!$B$62,AI19+AH20-AQ19)))</f>
        <v>262.99243786081934</v>
      </c>
      <c r="AJ20" s="14">
        <f>AI20*VLOOKUP('Données projet'!$B$10,Paramètres!$A$1:$I$89,3,0)*VLOOKUP('Données projet'!$B$10,Paramètres!$A$1:$I$89,5,0)</f>
        <v>150.97869872713918</v>
      </c>
      <c r="AK20" s="14">
        <f t="shared" si="35"/>
        <v>38.800914164938362</v>
      </c>
      <c r="AL20" s="22">
        <f t="shared" si="4"/>
        <v>330.53282578703499</v>
      </c>
      <c r="AM20" s="62">
        <f t="shared" si="5"/>
        <v>623.86615912036837</v>
      </c>
      <c r="AN20" s="62">
        <f ca="1">AVERAGE(OFFSET($AM$3,0,0,'Données projet'!$E$10+1,1))-AVERAGE(OFFSET($H$3,0,0,'Données projet'!$E$10+1,1))</f>
        <v>74.926559033177455</v>
      </c>
      <c r="AO20" s="62">
        <f t="shared" si="36"/>
        <v>430.78114872558075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20.277777777777779</v>
      </c>
      <c r="BD20" s="13">
        <f>IF('Données projet'!$A$88&gt;35,BD19+BC20-BL19,IF(A20&lt;'Données projet'!$A$88,$BA$205^A20,IF(A20='Données projet'!$A$88,'Données projet'!$B$88,BD19+BC20-BL19)))</f>
        <v>262.99243786081934</v>
      </c>
      <c r="BE20" s="14">
        <f>BD20*VLOOKUP('Données projet'!$B$11,Paramètres!$A$1:$I$89,3,0)*VLOOKUP('Données projet'!$B$11,Paramètres!$A$1:$I$89,5,0)</f>
        <v>125.13180193417783</v>
      </c>
      <c r="BF20" s="14">
        <f t="shared" si="37"/>
        <v>32.868975171180772</v>
      </c>
      <c r="BG20" s="22">
        <f t="shared" si="7"/>
        <v>275.18468679183292</v>
      </c>
      <c r="BH20" s="62">
        <f t="shared" si="8"/>
        <v>568.51802012516623</v>
      </c>
      <c r="BI20" s="62">
        <f ca="1">AVERAGE(OFFSET($BH$3,0,0,'Données projet'!$E$11+1,1))-AVERAGE(OFFSET($H$3,0,0,'Données projet'!$E$11+1,1))</f>
        <v>60.31958470054127</v>
      </c>
      <c r="BJ20" s="62">
        <f t="shared" si="38"/>
        <v>354.50173999733266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20.277777777777779</v>
      </c>
      <c r="BY20" s="13">
        <f>IF('Données projet'!$A$114&gt;35,BY19+BX20-CG19,IF(A20&lt;'Données projet'!$A$114,$BV$205^A20,IF(A20='Données projet'!$A$114,'Données projet'!$B$114,BY19+BX20-CG19)))</f>
        <v>262.99243786081934</v>
      </c>
      <c r="BZ20" s="14">
        <f>BY20*VLOOKUP('Données projet'!$B$12,Paramètres!$A$1:$I$89,3,0)*VLOOKUP('Données projet'!$B$12,Paramètres!$A$1:$I$89,5,0)</f>
        <v>150.97869872713918</v>
      </c>
      <c r="CA20" s="14">
        <f t="shared" si="39"/>
        <v>38.800914164938362</v>
      </c>
      <c r="CB20" s="22">
        <f t="shared" si="10"/>
        <v>330.53282578703499</v>
      </c>
      <c r="CC20" s="62">
        <f t="shared" si="11"/>
        <v>623.86615912036837</v>
      </c>
      <c r="CD20" s="62">
        <f ca="1">AVERAGE(OFFSET($CC$3,0,0,'Données projet'!$E$12+1,1))-AVERAGE(OFFSET($H$3,0,0,'Données projet'!$E$12+1,1))</f>
        <v>74.926559033177455</v>
      </c>
      <c r="CE20" s="62">
        <f t="shared" si="40"/>
        <v>430.78114872558075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10.3896</v>
      </c>
      <c r="D21" s="12">
        <f t="shared" si="32"/>
        <v>3.6460178361318003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108.34512013856126</v>
      </c>
      <c r="H21" s="70">
        <f t="shared" si="1"/>
        <v>317.77870106459619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365</v>
      </c>
      <c r="L21" s="13">
        <f>VLOOKUP(A21,'Données projet'!$A$35:$I$55,9,0)</f>
        <v>20.277777777777779</v>
      </c>
      <c r="M21" s="13">
        <f t="array" ref="M21">INDEX(L:L,MIN(IF(ISNUMBER(L21:L217),ROW(L21:L217),"")))</f>
        <v>20.277777777777779</v>
      </c>
      <c r="N21" s="14">
        <f>IF('Données projet'!$A$36&gt;35,N20+M21-V20,IF(A21&lt;'Données projet'!$A$36,$K$205^A21,IF(A21='Données projet'!$A$36,'Données projet'!$B$36,N20+M21-V20)))</f>
        <v>365</v>
      </c>
      <c r="O21" s="14">
        <f>N21*VLOOKUP('Données projet'!$B$9,Paramètres!$A$1:$I$89,3,0)*VLOOKUP('Données projet'!$B$9,Paramètres!$A$1:$I$89,5,0)</f>
        <v>160.57079999999999</v>
      </c>
      <c r="P21" s="14">
        <f t="shared" si="33"/>
        <v>40.971234244168215</v>
      </c>
      <c r="Q21" s="22">
        <f t="shared" si="2"/>
        <v>351.01904297525965</v>
      </c>
      <c r="R21" s="62">
        <f t="shared" si="0"/>
        <v>644.35237630859297</v>
      </c>
      <c r="S21" s="62">
        <f ca="1">AVERAGE(OFFSET($R$3,0,0,'Données projet'!$E$9+1,1))-AVERAGE(OFFSET($H$3,0,0,'Données projet'!$E$9+1,1))</f>
        <v>54.970220527721665</v>
      </c>
      <c r="T21" s="62">
        <f t="shared" si="34"/>
        <v>326.57367524399677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365</v>
      </c>
      <c r="W21" s="17">
        <f>IF(ISNA(VLOOKUP(A21,'Données projet'!$A$35:$I$55,5,0)),0%,VLOOKUP(A21,'Données projet'!$A$35:$I$55,5,0)*VLOOKUP('Données projet'!$B$9,Paramètres!$A$1:$I$89,7,0))</f>
        <v>0.46199999999999997</v>
      </c>
      <c r="X21" s="17">
        <f>IF(ISNA(VLOOKUP(A21,'Données projet'!$A$35:$I$55,6,0)),0%,VLOOKUP(A21,'Données projet'!$A$35:$I$55,6,0)*VLOOKUP('Données projet'!$B$9,Paramètres!$A$1:$I$89,7,0))</f>
        <v>0.126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82.007893606674131</v>
      </c>
      <c r="AA21" s="23">
        <f>EXP(-LN(2)/25)*AA20+(1-EXP(-LN(2)/25))/(LN(2)/25)*Calculateur!V21*Calculateur!X21*VLOOKUP('Données projet'!$B$9,Paramètres!$A$1:$I$89,3,0)*0.475*44/12</f>
        <v>22.277726531478393</v>
      </c>
      <c r="AB21" s="23">
        <f>EXP(-LN(2)/2)*AB20+(1-EXP(-LN(2)/2))/(LN(2)/2)*V21*Y21*VLOOKUP('Données projet'!$B$9,Paramètres!$A$1:$I$89,3,0)*0.475*44/12</f>
        <v>0</v>
      </c>
      <c r="AC21" s="24">
        <f t="shared" si="3"/>
        <v>104.28562013815252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365</v>
      </c>
      <c r="AG21" s="13">
        <f>VLOOKUP(A21,'Données projet'!$A$61:$I$81,9,0)</f>
        <v>20.277777777777779</v>
      </c>
      <c r="AH21" s="13">
        <f t="array" ref="AH21">INDEX(AG:AG,MIN(IF(ISNUMBER(AG21:AG217),ROW(AG21:AG217),"")))</f>
        <v>20.277777777777779</v>
      </c>
      <c r="AI21" s="14">
        <f>IF('Données projet'!$A$62&gt;35,AI20+AH21-AQ20,IF(A21&lt;'Données projet'!$A$62,$AF$205^A21,IF(A21='Données projet'!$A$62,'Données projet'!$B$62,AI20+AH21-AQ20)))</f>
        <v>365</v>
      </c>
      <c r="AJ21" s="14">
        <f>AI21*VLOOKUP('Données projet'!$B$10,Paramètres!$A$1:$I$89,3,0)*VLOOKUP('Données projet'!$B$10,Paramètres!$A$1:$I$89,5,0)</f>
        <v>209.53919999999999</v>
      </c>
      <c r="AK21" s="14">
        <f t="shared" si="35"/>
        <v>51.83487643455139</v>
      </c>
      <c r="AL21" s="22">
        <f t="shared" si="4"/>
        <v>455.22651645684368</v>
      </c>
      <c r="AM21" s="62">
        <f t="shared" si="5"/>
        <v>748.55984979017694</v>
      </c>
      <c r="AN21" s="62">
        <f ca="1">AVERAGE(OFFSET($AM$3,0,0,'Données projet'!$E$10+1,1))-AVERAGE(OFFSET($H$3,0,0,'Données projet'!$E$10+1,1))</f>
        <v>74.926559033177455</v>
      </c>
      <c r="AO21" s="62">
        <f t="shared" si="36"/>
        <v>430.78114872558075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365</v>
      </c>
      <c r="AR21" s="17">
        <f>IF(ISNA(VLOOKUP(A21,'Données projet'!$A$61:$I$81,5,0)),0%,VLOOKUP(A21,'Données projet'!$A$61:$I$81,5,0)*VLOOKUP('Données projet'!$B$10,Paramètres!$A$1:$I$89,7,0))</f>
        <v>0.46199999999999997</v>
      </c>
      <c r="AS21" s="17">
        <f>IF(ISNA(VLOOKUP(A21,'Données projet'!$A$61:$I$81,6,0)),0%,VLOOKUP(A21,'Données projet'!$A$61:$I$81,6,0)*VLOOKUP('Données projet'!$B$10,Paramètres!$A$1:$I$89,7,0))</f>
        <v>0.126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107.01739307537621</v>
      </c>
      <c r="AV21" s="23">
        <f>EXP(-LN(2)/25)*AV20+(1-EXP(-LN(2)/25))/(LN(2)/25)*Calculateur!AQ21*Calculateur!AS21*VLOOKUP('Données projet'!$B$10,Paramètres!$A$1:$I$89,3,0)*0.475*44/12</f>
        <v>29.071643133276769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136.08903620865297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>
        <f>VLOOKUP(A21,'Données projet'!$A$87:$I$107,2,0)</f>
        <v>365</v>
      </c>
      <c r="BB21" s="13">
        <f>VLOOKUP(A21,'Données projet'!$A$87:$I$107,9,0)</f>
        <v>20.277777777777779</v>
      </c>
      <c r="BC21" s="13">
        <f t="array" ref="BC21">INDEX(BB:BB,MIN(IF(ISNUMBER(BB21:BB217),ROW(BB21:BB217),"")))</f>
        <v>20.277777777777779</v>
      </c>
      <c r="BD21" s="13">
        <f>IF('Données projet'!$A$88&gt;35,BD20+BC21-BL20,IF(A21&lt;'Données projet'!$A$88,$BA$205^A21,IF(A21='Données projet'!$A$88,'Données projet'!$B$88,BD20+BC21-BL20)))</f>
        <v>365</v>
      </c>
      <c r="BE21" s="14">
        <f>BD21*VLOOKUP('Données projet'!$B$11,Paramètres!$A$1:$I$89,3,0)*VLOOKUP('Données projet'!$B$11,Paramètres!$A$1:$I$89,5,0)</f>
        <v>173.667</v>
      </c>
      <c r="BF21" s="14">
        <f t="shared" si="37"/>
        <v>43.91028673412184</v>
      </c>
      <c r="BG21" s="22">
        <f t="shared" si="7"/>
        <v>378.94710772859554</v>
      </c>
      <c r="BH21" s="62">
        <f t="shared" si="8"/>
        <v>672.28044106192885</v>
      </c>
      <c r="BI21" s="62">
        <f ca="1">AVERAGE(OFFSET($BH$3,0,0,'Données projet'!$E$11+1,1))-AVERAGE(OFFSET($H$3,0,0,'Données projet'!$E$11+1,1))</f>
        <v>60.31958470054127</v>
      </c>
      <c r="BJ21" s="62">
        <f t="shared" si="38"/>
        <v>354.50173999733266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365</v>
      </c>
      <c r="BM21" s="17">
        <f>IF(ISNA(VLOOKUP(A21,'Données projet'!$A$87:$I$107,5,0)),0%,VLOOKUP(A21,'Données projet'!$A$87:$I$107,5,0)*VLOOKUP('Données projet'!$B$11,Paramètres!$A$1:$I$89,7,0))</f>
        <v>0.46199999999999997</v>
      </c>
      <c r="BN21" s="17">
        <f>IF(ISNA(VLOOKUP(A21,'Données projet'!$A$87:$I$107,6,0)),0%,VLOOKUP(A21,'Données projet'!$A$87:$I$107,6,0)*VLOOKUP('Données projet'!$B$11,Paramètres!$A$1:$I$89,7,0))</f>
        <v>0.126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88.696480673885162</v>
      </c>
      <c r="BQ21" s="23">
        <f>EXP(-LN(2)/25)*BQ20+(1-EXP(-LN(2)/25))/(LN(2)/25)*Calculateur!BL21*Calculateur!BN21*VLOOKUP('Données projet'!$B$11,Paramètres!$A$1:$I$89,3,0)*0.475*44/12</f>
        <v>24.094704227308188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112.79118490119335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>
        <f>VLOOKUP(A21,'Données projet'!$A$113:$I$133,2,0)</f>
        <v>365</v>
      </c>
      <c r="BW21" s="13">
        <f>VLOOKUP(A21,'Données projet'!$A$113:$I$133,9,0)</f>
        <v>20.277777777777779</v>
      </c>
      <c r="BX21" s="13">
        <f t="array" ref="BX21">INDEX(BW:BW,MIN(IF(ISNUMBER(BW21:BW217),ROW(BW21:BW217),"")))</f>
        <v>20.277777777777779</v>
      </c>
      <c r="BY21" s="13">
        <f>IF('Données projet'!$A$114&gt;35,BY20+BX21-CG20,IF(A21&lt;'Données projet'!$A$114,$BV$205^A21,IF(A21='Données projet'!$A$114,'Données projet'!$B$114,BY20+BX21-CG20)))</f>
        <v>365</v>
      </c>
      <c r="BZ21" s="14">
        <f>BY21*VLOOKUP('Données projet'!$B$12,Paramètres!$A$1:$I$89,3,0)*VLOOKUP('Données projet'!$B$12,Paramètres!$A$1:$I$89,5,0)</f>
        <v>209.53919999999999</v>
      </c>
      <c r="CA21" s="14">
        <f t="shared" si="39"/>
        <v>51.83487643455139</v>
      </c>
      <c r="CB21" s="22">
        <f t="shared" si="10"/>
        <v>455.22651645684368</v>
      </c>
      <c r="CC21" s="62">
        <f t="shared" si="11"/>
        <v>748.55984979017694</v>
      </c>
      <c r="CD21" s="62">
        <f ca="1">AVERAGE(OFFSET($CC$3,0,0,'Données projet'!$E$12+1,1))-AVERAGE(OFFSET($H$3,0,0,'Données projet'!$E$12+1,1))</f>
        <v>74.926559033177455</v>
      </c>
      <c r="CE21" s="62">
        <f t="shared" si="40"/>
        <v>430.78114872558075</v>
      </c>
      <c r="CF21" s="16">
        <f>IF(ISNA(VLOOKUP(A21,'Données projet'!$A$113:$I$133,3,0)),0,VLOOKUP(A21,'Données projet'!$A$113:$I$133,3,0))</f>
        <v>1</v>
      </c>
      <c r="CG21" s="16">
        <f>IF(ISNA(VLOOKUP(A21,'Données projet'!$A$113:$I$133,4,0)),0,VLOOKUP(A21,'Données projet'!$A$113:$I$133,4,0))</f>
        <v>365</v>
      </c>
      <c r="CH21" s="17">
        <f>IF(ISNA(VLOOKUP(A21,'Données projet'!$A$113:$I$133,5,0)),0%,VLOOKUP(A21,'Données projet'!$A$113:$I$133,5,0)*VLOOKUP('Données projet'!$B$12,Paramètres!$A$1:$I$89,7,0))</f>
        <v>0.46199999999999997</v>
      </c>
      <c r="CI21" s="17">
        <f>IF(ISNA(VLOOKUP(A21,'Données projet'!$A$113:$I$133,6,0)),0%,VLOOKUP(A21,'Données projet'!$A$113:$I$133,6,0)*VLOOKUP('Données projet'!$B$12,Paramètres!$A$1:$I$89,7,0))</f>
        <v>0.126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107.01739307537621</v>
      </c>
      <c r="CL21" s="23">
        <f>EXP(-LN(2)/25)*CL20+(1-EXP(-LN(2)/25))/(LN(2)/25)*Calculateur!CG21*Calculateur!CI21*VLOOKUP('Données projet'!$B$12,Paramètres!$A$1:$I$89,3,0)*0.475*44/12</f>
        <v>29.071643133276769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136.08903620865297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10.966799999999999</v>
      </c>
      <c r="D22" s="12">
        <f t="shared" si="32"/>
        <v>3.824429726038145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114.17791367468043</v>
      </c>
      <c r="H22" s="70">
        <f t="shared" si="1"/>
        <v>319.09472510618309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54.970220527721665</v>
      </c>
      <c r="T22" s="62">
        <f t="shared" si="34"/>
        <v>326.57367524399677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80.3997688329233</v>
      </c>
      <c r="AA22" s="23">
        <f>EXP(-LN(2)/25)*AA21+(1-EXP(-LN(2)/25))/(LN(2)/25)*Calculateur!V22*Calculateur!X22*VLOOKUP('Données projet'!$B$9,Paramètres!$A$1:$I$89,3,0)*0.475*44/12</f>
        <v>21.668540927940395</v>
      </c>
      <c r="AB22" s="23">
        <f>EXP(-LN(2)/2)*AB21+(1-EXP(-LN(2)/2))/(LN(2)/2)*V22*Y22*VLOOKUP('Données projet'!$B$9,Paramètres!$A$1:$I$89,3,0)*0.475*44/12</f>
        <v>0</v>
      </c>
      <c r="AC22" s="24">
        <f t="shared" si="3"/>
        <v>102.0683097608637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74.926559033177455</v>
      </c>
      <c r="AO22" s="62">
        <f t="shared" si="36"/>
        <v>430.78114872558075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104.91884727133257</v>
      </c>
      <c r="AV22" s="23">
        <f>EXP(-LN(2)/25)*AV21+(1-EXP(-LN(2)/25))/(LN(2)/25)*Calculateur!AQ22*Calculateur!AS22*VLOOKUP('Données projet'!$B$10,Paramètres!$A$1:$I$89,3,0)*0.475*44/12</f>
        <v>28.276677522986049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133.1955247943186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>
        <f>BD22*VLOOKUP('Données projet'!$B$11,Paramètres!$A$1:$I$89,3,0)*VLOOKUP('Données projet'!$B$11,Paramètres!$A$1:$I$89,5,0)</f>
        <v>0</v>
      </c>
      <c r="BF22" s="14" t="e">
        <f t="shared" si="37"/>
        <v>#NUM!</v>
      </c>
      <c r="BG22" s="22" t="e">
        <f t="shared" si="7"/>
        <v>#NUM!</v>
      </c>
      <c r="BH22" s="62" t="e">
        <f t="shared" si="8"/>
        <v>#NUM!</v>
      </c>
      <c r="BI22" s="62">
        <f ca="1">AVERAGE(OFFSET($BH$3,0,0,'Données projet'!$E$11+1,1))-AVERAGE(OFFSET($H$3,0,0,'Données projet'!$E$11+1,1))</f>
        <v>60.31958470054127</v>
      </c>
      <c r="BJ22" s="62">
        <f t="shared" si="38"/>
        <v>354.50173999733266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86.957196787381605</v>
      </c>
      <c r="BQ22" s="23">
        <f>EXP(-LN(2)/25)*BQ21+(1-EXP(-LN(2)/25))/(LN(2)/25)*Calculateur!BL22*Calculateur!BN22*VLOOKUP('Données projet'!$B$11,Paramètres!$A$1:$I$89,3,0)*0.475*44/12</f>
        <v>23.43583327312702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110.39303006050862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>
        <f>BY22*VLOOKUP('Données projet'!$B$12,Paramètres!$A$1:$I$89,3,0)*VLOOKUP('Données projet'!$B$12,Paramètres!$A$1:$I$89,5,0)</f>
        <v>0</v>
      </c>
      <c r="CA22" s="14" t="e">
        <f t="shared" si="39"/>
        <v>#NUM!</v>
      </c>
      <c r="CB22" s="22" t="e">
        <f t="shared" si="10"/>
        <v>#NUM!</v>
      </c>
      <c r="CC22" s="62" t="e">
        <f t="shared" si="11"/>
        <v>#NUM!</v>
      </c>
      <c r="CD22" s="62">
        <f ca="1">AVERAGE(OFFSET($CC$3,0,0,'Données projet'!$E$12+1,1))-AVERAGE(OFFSET($H$3,0,0,'Données projet'!$E$12+1,1))</f>
        <v>74.926559033177455</v>
      </c>
      <c r="CE22" s="62">
        <f t="shared" si="40"/>
        <v>430.78114872558075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104.91884727133257</v>
      </c>
      <c r="CL22" s="23">
        <f>EXP(-LN(2)/25)*CL21+(1-EXP(-LN(2)/25))/(LN(2)/25)*Calculateur!CG22*Calculateur!CI22*VLOOKUP('Données projet'!$B$12,Paramètres!$A$1:$I$89,3,0)*0.475*44/12</f>
        <v>28.276677522986049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133.1955247943186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3" s="12">
        <f t="shared" si="32"/>
        <v>4.0017514182509002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120.00229164965606</v>
      </c>
      <c r="H23" s="70">
        <f t="shared" si="1"/>
        <v>320.40885038678698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54.970220527721665</v>
      </c>
      <c r="T23" s="62">
        <f t="shared" si="34"/>
        <v>326.57367524399677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78.823178405126455</v>
      </c>
      <c r="AA23" s="23">
        <f>EXP(-LN(2)/25)*AA22+(1-EXP(-LN(2)/25))/(LN(2)/25)*Calculateur!V23*Calculateur!X23*VLOOKUP('Données projet'!$B$9,Paramètres!$A$1:$I$89,3,0)*0.475*44/12</f>
        <v>21.076013536766823</v>
      </c>
      <c r="AB23" s="23">
        <f>EXP(-LN(2)/2)*AB22+(1-EXP(-LN(2)/2))/(LN(2)/2)*V23*Y23*VLOOKUP('Données projet'!$B$9,Paramètres!$A$1:$I$89,3,0)*0.475*44/12</f>
        <v>0</v>
      </c>
      <c r="AC23" s="24">
        <f t="shared" si="3"/>
        <v>99.899191941893278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74.926559033177455</v>
      </c>
      <c r="AO23" s="62">
        <f t="shared" si="36"/>
        <v>430.78114872558075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102.86145267051967</v>
      </c>
      <c r="AV23" s="23">
        <f>EXP(-LN(2)/25)*AV22+(1-EXP(-LN(2)/25))/(LN(2)/25)*Calculateur!AQ23*Calculateur!AS23*VLOOKUP('Données projet'!$B$10,Paramètres!$A$1:$I$89,3,0)*0.475*44/12</f>
        <v>27.503450289114152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130.36490295963381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>
        <f>BD23*VLOOKUP('Données projet'!$B$11,Paramètres!$A$1:$I$89,3,0)*VLOOKUP('Données projet'!$B$11,Paramètres!$A$1:$I$89,5,0)</f>
        <v>0</v>
      </c>
      <c r="BF23" s="14" t="e">
        <f t="shared" si="37"/>
        <v>#NUM!</v>
      </c>
      <c r="BG23" s="22" t="e">
        <f t="shared" si="7"/>
        <v>#NUM!</v>
      </c>
      <c r="BH23" s="62" t="e">
        <f t="shared" si="8"/>
        <v>#NUM!</v>
      </c>
      <c r="BI23" s="62">
        <f ca="1">AVERAGE(OFFSET($BH$3,0,0,'Données projet'!$E$11+1,1))-AVERAGE(OFFSET($H$3,0,0,'Données projet'!$E$11+1,1))</f>
        <v>60.31958470054127</v>
      </c>
      <c r="BJ23" s="62">
        <f t="shared" si="38"/>
        <v>354.50173999733266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85.25201919703396</v>
      </c>
      <c r="BQ23" s="23">
        <f>EXP(-LN(2)/25)*BQ22+(1-EXP(-LN(2)/25))/(LN(2)/25)*Calculateur!BL23*Calculateur!BN23*VLOOKUP('Données projet'!$B$11,Paramètres!$A$1:$I$89,3,0)*0.475*44/12</f>
        <v>22.794979179836453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108.04699837687042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>
        <f>BY23*VLOOKUP('Données projet'!$B$12,Paramètres!$A$1:$I$89,3,0)*VLOOKUP('Données projet'!$B$12,Paramètres!$A$1:$I$89,5,0)</f>
        <v>0</v>
      </c>
      <c r="CA23" s="14" t="e">
        <f t="shared" si="39"/>
        <v>#NUM!</v>
      </c>
      <c r="CB23" s="22" t="e">
        <f t="shared" si="10"/>
        <v>#NUM!</v>
      </c>
      <c r="CC23" s="62" t="e">
        <f t="shared" si="11"/>
        <v>#NUM!</v>
      </c>
      <c r="CD23" s="62">
        <f ca="1">AVERAGE(OFFSET($CC$3,0,0,'Données projet'!$E$12+1,1))-AVERAGE(OFFSET($H$3,0,0,'Données projet'!$E$12+1,1))</f>
        <v>74.926559033177455</v>
      </c>
      <c r="CE23" s="62">
        <f t="shared" si="40"/>
        <v>430.78114872558075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102.86145267051967</v>
      </c>
      <c r="CL23" s="23">
        <f>EXP(-LN(2)/25)*CL22+(1-EXP(-LN(2)/25))/(LN(2)/25)*Calculateur!CG23*Calculateur!CI23*VLOOKUP('Données projet'!$B$12,Paramètres!$A$1:$I$89,3,0)*0.475*44/12</f>
        <v>27.503450289114152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130.36490295963381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12.121199999999998</v>
      </c>
      <c r="D24" s="12">
        <f t="shared" si="32"/>
        <v>4.1780436426884888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125.81872285584097</v>
      </c>
      <c r="H24" s="70">
        <f t="shared" si="1"/>
        <v>321.72118267768241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54.970220527721665</v>
      </c>
      <c r="T24" s="62">
        <f t="shared" si="34"/>
        <v>326.57367524399677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77.277503953993502</v>
      </c>
      <c r="AA24" s="23">
        <f>EXP(-LN(2)/25)*AA23+(1-EXP(-LN(2)/25))/(LN(2)/25)*Calculateur!V24*Calculateur!X24*VLOOKUP('Données projet'!$B$9,Paramètres!$A$1:$I$89,3,0)*0.475*44/12</f>
        <v>20.49968883826455</v>
      </c>
      <c r="AB24" s="23">
        <f>EXP(-LN(2)/2)*AB23+(1-EXP(-LN(2)/2))/(LN(2)/2)*V24*Y24*VLOOKUP('Données projet'!$B$9,Paramètres!$A$1:$I$89,3,0)*0.475*44/12</f>
        <v>0</v>
      </c>
      <c r="AC24" s="24">
        <f t="shared" si="3"/>
        <v>97.777192792258049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74.926559033177455</v>
      </c>
      <c r="AO24" s="62">
        <f t="shared" si="36"/>
        <v>430.78114872558075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100.84440232294192</v>
      </c>
      <c r="AV24" s="23">
        <f>EXP(-LN(2)/25)*AV23+(1-EXP(-LN(2)/25))/(LN(2)/25)*Calculateur!AQ24*Calculateur!AS24*VLOOKUP('Données projet'!$B$10,Paramètres!$A$1:$I$89,3,0)*0.475*44/12</f>
        <v>26.751366994614735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127.59576931755666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60.31958470054127</v>
      </c>
      <c r="BJ24" s="62">
        <f t="shared" si="38"/>
        <v>354.50173999733266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83.580279099177403</v>
      </c>
      <c r="BQ24" s="23">
        <f>EXP(-LN(2)/25)*BQ23+(1-EXP(-LN(2)/25))/(LN(2)/25)*Calculateur!BL24*Calculateur!BN24*VLOOKUP('Données projet'!$B$11,Paramètres!$A$1:$I$89,3,0)*0.475*44/12</f>
        <v>22.171649275427967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105.75192837460537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>
        <f>BY24*VLOOKUP('Données projet'!$B$12,Paramètres!$A$1:$I$89,3,0)*VLOOKUP('Données projet'!$B$12,Paramètres!$A$1:$I$89,5,0)</f>
        <v>0</v>
      </c>
      <c r="CA24" s="14" t="e">
        <f t="shared" si="39"/>
        <v>#NUM!</v>
      </c>
      <c r="CB24" s="22" t="e">
        <f t="shared" si="10"/>
        <v>#NUM!</v>
      </c>
      <c r="CC24" s="62" t="e">
        <f t="shared" si="11"/>
        <v>#NUM!</v>
      </c>
      <c r="CD24" s="62">
        <f ca="1">AVERAGE(OFFSET($CC$3,0,0,'Données projet'!$E$12+1,1))-AVERAGE(OFFSET($H$3,0,0,'Données projet'!$E$12+1,1))</f>
        <v>74.926559033177455</v>
      </c>
      <c r="CE24" s="62">
        <f t="shared" si="40"/>
        <v>430.78114872558075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100.84440232294192</v>
      </c>
      <c r="CL24" s="23">
        <f>EXP(-LN(2)/25)*CL23+(1-EXP(-LN(2)/25))/(LN(2)/25)*Calculateur!CG24*Calculateur!CI24*VLOOKUP('Données projet'!$B$12,Paramètres!$A$1:$I$89,3,0)*0.475*44/12</f>
        <v>26.751366994614735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127.59576931755666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12.698399999999998</v>
      </c>
      <c r="D25" s="12">
        <f t="shared" si="32"/>
        <v>4.3533610186502001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131.62762891589625</v>
      </c>
      <c r="H25" s="70">
        <f t="shared" si="1"/>
        <v>323.03181710748242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54.970220527721665</v>
      </c>
      <c r="T25" s="62">
        <f t="shared" si="34"/>
        <v>326.57367524399677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75.762139236078937</v>
      </c>
      <c r="AA25" s="23">
        <f>EXP(-LN(2)/25)*AA24+(1-EXP(-LN(2)/25))/(LN(2)/25)*Calculateur!V25*Calculateur!X25*VLOOKUP('Données projet'!$B$9,Paramètres!$A$1:$I$89,3,0)*0.475*44/12</f>
        <v>19.939123768950424</v>
      </c>
      <c r="AB25" s="23">
        <f>EXP(-LN(2)/2)*AB24+(1-EXP(-LN(2)/2))/(LN(2)/2)*V25*Y25*VLOOKUP('Données projet'!$B$9,Paramètres!$A$1:$I$89,3,0)*0.475*44/12</f>
        <v>0</v>
      </c>
      <c r="AC25" s="24">
        <f t="shared" si="3"/>
        <v>95.701263005029361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74.926559033177455</v>
      </c>
      <c r="AO25" s="62">
        <f t="shared" si="36"/>
        <v>430.78114872558075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98.866905102400935</v>
      </c>
      <c r="AV25" s="23">
        <f>EXP(-LN(2)/25)*AV24+(1-EXP(-LN(2)/25))/(LN(2)/25)*Calculateur!AQ25*Calculateur!AS25*VLOOKUP('Données projet'!$B$10,Paramètres!$A$1:$I$89,3,0)*0.475*44/12</f>
        <v>26.019849457353747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124.88675455975468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60.31958470054127</v>
      </c>
      <c r="BJ25" s="62">
        <f t="shared" si="38"/>
        <v>354.50173999733266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81.941320804979028</v>
      </c>
      <c r="BQ25" s="23">
        <f>EXP(-LN(2)/25)*BQ24+(1-EXP(-LN(2)/25))/(LN(2)/25)*Calculateur!BL25*Calculateur!BN25*VLOOKUP('Données projet'!$B$11,Paramètres!$A$1:$I$89,3,0)*0.475*44/12</f>
        <v>21.565364360035026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103.50668516501406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>
        <f>BY25*VLOOKUP('Données projet'!$B$12,Paramètres!$A$1:$I$89,3,0)*VLOOKUP('Données projet'!$B$12,Paramètres!$A$1:$I$89,5,0)</f>
        <v>0</v>
      </c>
      <c r="CA25" s="14" t="e">
        <f t="shared" si="39"/>
        <v>#NUM!</v>
      </c>
      <c r="CB25" s="22" t="e">
        <f t="shared" si="10"/>
        <v>#NUM!</v>
      </c>
      <c r="CC25" s="62" t="e">
        <f t="shared" si="11"/>
        <v>#NUM!</v>
      </c>
      <c r="CD25" s="62">
        <f ca="1">AVERAGE(OFFSET($CC$3,0,0,'Données projet'!$E$12+1,1))-AVERAGE(OFFSET($H$3,0,0,'Données projet'!$E$12+1,1))</f>
        <v>74.926559033177455</v>
      </c>
      <c r="CE25" s="62">
        <f t="shared" si="40"/>
        <v>430.78114872558075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98.866905102400935</v>
      </c>
      <c r="CL25" s="23">
        <f>EXP(-LN(2)/25)*CL24+(1-EXP(-LN(2)/25))/(LN(2)/25)*Calculateur!CG25*Calculateur!CI25*VLOOKUP('Données projet'!$B$12,Paramètres!$A$1:$I$89,3,0)*0.475*44/12</f>
        <v>26.019849457353747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124.88675455975468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13.275599999999997</v>
      </c>
      <c r="D26" s="12">
        <f t="shared" si="32"/>
        <v>4.5277529193694512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137.42939095653611</v>
      </c>
      <c r="H26" s="70">
        <f t="shared" si="1"/>
        <v>324.34083966790178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54.970220527721665</v>
      </c>
      <c r="T26" s="62">
        <f t="shared" si="34"/>
        <v>326.57367524399677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74.276489896001465</v>
      </c>
      <c r="AA26" s="23">
        <f>EXP(-LN(2)/25)*AA25+(1-EXP(-LN(2)/25))/(LN(2)/25)*Calculateur!V26*Calculateur!X26*VLOOKUP('Données projet'!$B$9,Paramètres!$A$1:$I$89,3,0)*0.475*44/12</f>
        <v>19.393887380935528</v>
      </c>
      <c r="AB26" s="23">
        <f>EXP(-LN(2)/2)*AB25+(1-EXP(-LN(2)/2))/(LN(2)/2)*V26*Y26*VLOOKUP('Données projet'!$B$9,Paramètres!$A$1:$I$89,3,0)*0.475*44/12</f>
        <v>0</v>
      </c>
      <c r="AC26" s="24">
        <f t="shared" si="3"/>
        <v>93.670377276936989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74.926559033177455</v>
      </c>
      <c r="AO26" s="62">
        <f t="shared" si="36"/>
        <v>430.78114872558075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96.928185396200547</v>
      </c>
      <c r="AV26" s="23">
        <f>EXP(-LN(2)/25)*AV25+(1-EXP(-LN(2)/25))/(LN(2)/25)*Calculateur!AQ26*Calculateur!AS26*VLOOKUP('Données projet'!$B$10,Paramètres!$A$1:$I$89,3,0)*0.475*44/12</f>
        <v>25.308335305617994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122.23652070181853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60.31958470054127</v>
      </c>
      <c r="BJ26" s="62">
        <f t="shared" si="38"/>
        <v>354.50173999733266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80.334501483264035</v>
      </c>
      <c r="BQ26" s="23">
        <f>EXP(-LN(2)/25)*BQ25+(1-EXP(-LN(2)/25))/(LN(2)/25)*Calculateur!BL26*Calculateur!BN26*VLOOKUP('Données projet'!$B$11,Paramètres!$A$1:$I$89,3,0)*0.475*44/12</f>
        <v>20.975658337536647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101.31015982080068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>
        <f>BY26*VLOOKUP('Données projet'!$B$12,Paramètres!$A$1:$I$89,3,0)*VLOOKUP('Données projet'!$B$12,Paramètres!$A$1:$I$89,5,0)</f>
        <v>0</v>
      </c>
      <c r="CA26" s="14" t="e">
        <f t="shared" si="39"/>
        <v>#NUM!</v>
      </c>
      <c r="CB26" s="22" t="e">
        <f t="shared" si="10"/>
        <v>#NUM!</v>
      </c>
      <c r="CC26" s="62" t="e">
        <f t="shared" si="11"/>
        <v>#NUM!</v>
      </c>
      <c r="CD26" s="62">
        <f ca="1">AVERAGE(OFFSET($CC$3,0,0,'Données projet'!$E$12+1,1))-AVERAGE(OFFSET($H$3,0,0,'Données projet'!$E$12+1,1))</f>
        <v>74.926559033177455</v>
      </c>
      <c r="CE26" s="62">
        <f t="shared" si="40"/>
        <v>430.78114872558075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96.928185396200547</v>
      </c>
      <c r="CL26" s="23">
        <f>EXP(-LN(2)/25)*CL25+(1-EXP(-LN(2)/25))/(LN(2)/25)*Calculateur!CG26*Calculateur!CI26*VLOOKUP('Données projet'!$B$12,Paramètres!$A$1:$I$89,3,0)*0.475*44/12</f>
        <v>25.308335305617994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122.23652070181853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13.852799999999997</v>
      </c>
      <c r="D27" s="12">
        <f t="shared" si="32"/>
        <v>4.7012641819673213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143.22435508887054</v>
      </c>
      <c r="H27" s="70">
        <f t="shared" si="1"/>
        <v>325.64832845025973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54.970220527721665</v>
      </c>
      <c r="T27" s="62">
        <f t="shared" si="34"/>
        <v>326.57367524399677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72.819973233326294</v>
      </c>
      <c r="AA27" s="23">
        <f>EXP(-LN(2)/25)*AA26+(1-EXP(-LN(2)/25))/(LN(2)/25)*Calculateur!V27*Calculateur!X27*VLOOKUP('Données projet'!$B$9,Paramètres!$A$1:$I$89,3,0)*0.475*44/12</f>
        <v>18.863560510623635</v>
      </c>
      <c r="AB27" s="23">
        <f>EXP(-LN(2)/2)*AB26+(1-EXP(-LN(2)/2))/(LN(2)/2)*V27*Y27*VLOOKUP('Données projet'!$B$9,Paramètres!$A$1:$I$89,3,0)*0.475*44/12</f>
        <v>0</v>
      </c>
      <c r="AC27" s="24">
        <f t="shared" si="3"/>
        <v>91.683533743949937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74.926559033177455</v>
      </c>
      <c r="AO27" s="62">
        <f t="shared" si="36"/>
        <v>430.78114872558075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95.027482800936497</v>
      </c>
      <c r="AV27" s="23">
        <f>EXP(-LN(2)/25)*AV26+(1-EXP(-LN(2)/25))/(LN(2)/25)*Calculateur!AQ27*Calculateur!AS27*VLOOKUP('Données projet'!$B$10,Paramètres!$A$1:$I$89,3,0)*0.475*44/12</f>
        <v>24.61627754577836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119.64376034671486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60.31958470054127</v>
      </c>
      <c r="BJ27" s="62">
        <f t="shared" si="38"/>
        <v>354.50173999733266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78.759190908384866</v>
      </c>
      <c r="BQ27" s="23">
        <f>EXP(-LN(2)/25)*BQ26+(1-EXP(-LN(2)/25))/(LN(2)/25)*Calculateur!BL27*Calculateur!BN27*VLOOKUP('Données projet'!$B$11,Paramètres!$A$1:$I$89,3,0)*0.475*44/12</f>
        <v>20.402077857234776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99.161268765619639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>
        <f>BY27*VLOOKUP('Données projet'!$B$12,Paramètres!$A$1:$I$89,3,0)*VLOOKUP('Données projet'!$B$12,Paramètres!$A$1:$I$89,5,0)</f>
        <v>0</v>
      </c>
      <c r="CA27" s="14" t="e">
        <f t="shared" si="39"/>
        <v>#NUM!</v>
      </c>
      <c r="CB27" s="22" t="e">
        <f t="shared" si="10"/>
        <v>#NUM!</v>
      </c>
      <c r="CC27" s="62" t="e">
        <f t="shared" si="11"/>
        <v>#NUM!</v>
      </c>
      <c r="CD27" s="62">
        <f ca="1">AVERAGE(OFFSET($CC$3,0,0,'Données projet'!$E$12+1,1))-AVERAGE(OFFSET($H$3,0,0,'Données projet'!$E$12+1,1))</f>
        <v>74.926559033177455</v>
      </c>
      <c r="CE27" s="62">
        <f t="shared" si="40"/>
        <v>430.78114872558075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95.027482800936497</v>
      </c>
      <c r="CL27" s="23">
        <f>EXP(-LN(2)/25)*CL26+(1-EXP(-LN(2)/25))/(LN(2)/25)*Calculateur!CG27*Calculateur!CI27*VLOOKUP('Données projet'!$B$12,Paramètres!$A$1:$I$89,3,0)*0.475*44/12</f>
        <v>24.61627754577836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119.64376034671486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14.429999999999996</v>
      </c>
      <c r="D28" s="12">
        <f t="shared" si="32"/>
        <v>4.8739356957462956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149.01283694962049</v>
      </c>
      <c r="H28" s="70">
        <f t="shared" si="1"/>
        <v>326.95435467009145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54.970220527721665</v>
      </c>
      <c r="T28" s="62">
        <f t="shared" si="34"/>
        <v>326.57367524399677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71.392017974018742</v>
      </c>
      <c r="AA28" s="23">
        <f>EXP(-LN(2)/25)*AA27+(1-EXP(-LN(2)/25))/(LN(2)/25)*Calculateur!V28*Calculateur!X28*VLOOKUP('Données projet'!$B$9,Paramètres!$A$1:$I$89,3,0)*0.475*44/12</f>
        <v>18.347735456469099</v>
      </c>
      <c r="AB28" s="23">
        <f>EXP(-LN(2)/2)*AB27+(1-EXP(-LN(2)/2))/(LN(2)/2)*V28*Y28*VLOOKUP('Données projet'!$B$9,Paramètres!$A$1:$I$89,3,0)*0.475*44/12</f>
        <v>0</v>
      </c>
      <c r="AC28" s="24">
        <f t="shared" si="3"/>
        <v>89.739753430487838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74.926559033177455</v>
      </c>
      <c r="AO28" s="62">
        <f t="shared" si="36"/>
        <v>430.78114872558075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93.164051824251459</v>
      </c>
      <c r="AV28" s="23">
        <f>EXP(-LN(2)/25)*AV27+(1-EXP(-LN(2)/25))/(LN(2)/25)*Calculateur!AQ28*Calculateur!AS28*VLOOKUP('Données projet'!$B$10,Paramètres!$A$1:$I$89,3,0)*0.475*44/12</f>
        <v>23.943144141775274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117.10719596602674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60.31958470054127</v>
      </c>
      <c r="BJ28" s="62">
        <f t="shared" si="38"/>
        <v>354.50173999733266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77.214771213034496</v>
      </c>
      <c r="BQ28" s="23">
        <f>EXP(-LN(2)/25)*BQ27+(1-EXP(-LN(2)/25))/(LN(2)/25)*Calculateur!BL28*Calculateur!BN28*VLOOKUP('Données projet'!$B$11,Paramètres!$A$1:$I$89,3,0)*0.475*44/12</f>
        <v>19.844181965330048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97.058953178364547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>
        <f>BY28*VLOOKUP('Données projet'!$B$12,Paramètres!$A$1:$I$89,3,0)*VLOOKUP('Données projet'!$B$12,Paramètres!$A$1:$I$89,5,0)</f>
        <v>0</v>
      </c>
      <c r="CA28" s="14" t="e">
        <f t="shared" si="39"/>
        <v>#NUM!</v>
      </c>
      <c r="CB28" s="22" t="e">
        <f t="shared" si="10"/>
        <v>#NUM!</v>
      </c>
      <c r="CC28" s="62" t="e">
        <f t="shared" si="11"/>
        <v>#NUM!</v>
      </c>
      <c r="CD28" s="62">
        <f ca="1">AVERAGE(OFFSET($CC$3,0,0,'Données projet'!$E$12+1,1))-AVERAGE(OFFSET($H$3,0,0,'Données projet'!$E$12+1,1))</f>
        <v>74.926559033177455</v>
      </c>
      <c r="CE28" s="62">
        <f t="shared" si="40"/>
        <v>430.78114872558075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93.164051824251459</v>
      </c>
      <c r="CL28" s="23">
        <f>EXP(-LN(2)/25)*CL27+(1-EXP(-LN(2)/25))/(LN(2)/25)*Calculateur!CG28*Calculateur!CI28*VLOOKUP('Données projet'!$B$12,Paramètres!$A$1:$I$89,3,0)*0.475*44/12</f>
        <v>23.943144141775274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117.10719596602674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15.007199999999996</v>
      </c>
      <c r="D29" s="12">
        <f t="shared" si="32"/>
        <v>5.0458048937074587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154.79512549528559</v>
      </c>
      <c r="H29" s="70">
        <f t="shared" si="1"/>
        <v>328.25898352320712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54.970220527721665</v>
      </c>
      <c r="T29" s="62">
        <f t="shared" si="34"/>
        <v>326.57367524399677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69.992064046379497</v>
      </c>
      <c r="AA29" s="23">
        <f>EXP(-LN(2)/25)*AA28+(1-EXP(-LN(2)/25))/(LN(2)/25)*Calculateur!V29*Calculateur!X29*VLOOKUP('Données projet'!$B$9,Paramètres!$A$1:$I$89,3,0)*0.475*44/12</f>
        <v>17.846015665546478</v>
      </c>
      <c r="AB29" s="23">
        <f>EXP(-LN(2)/2)*AB28+(1-EXP(-LN(2)/2))/(LN(2)/2)*V29*Y29*VLOOKUP('Données projet'!$B$9,Paramètres!$A$1:$I$89,3,0)*0.475*44/12</f>
        <v>0</v>
      </c>
      <c r="AC29" s="24">
        <f t="shared" si="3"/>
        <v>87.838079711925971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74.926559033177455</v>
      </c>
      <c r="AO29" s="62">
        <f t="shared" si="36"/>
        <v>430.78114872558075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91.337161592438548</v>
      </c>
      <c r="AV29" s="23">
        <f>EXP(-LN(2)/25)*AV28+(1-EXP(-LN(2)/25))/(LN(2)/25)*Calculateur!AQ29*Calculateur!AS29*VLOOKUP('Données projet'!$B$10,Paramètres!$A$1:$I$89,3,0)*0.475*44/12</f>
        <v>23.288417606103202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114.62557919854174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60.31958470054127</v>
      </c>
      <c r="BJ29" s="62">
        <f t="shared" si="38"/>
        <v>354.50173999733266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75.700636645906954</v>
      </c>
      <c r="BQ29" s="23">
        <f>EXP(-LN(2)/25)*BQ28+(1-EXP(-LN(2)/25))/(LN(2)/25)*Calculateur!BL29*Calculateur!BN29*VLOOKUP('Données projet'!$B$11,Paramètres!$A$1:$I$89,3,0)*0.475*44/12</f>
        <v>19.301541765927922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95.002178411834876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>
        <f>BY29*VLOOKUP('Données projet'!$B$12,Paramètres!$A$1:$I$89,3,0)*VLOOKUP('Données projet'!$B$12,Paramètres!$A$1:$I$89,5,0)</f>
        <v>0</v>
      </c>
      <c r="CA29" s="14" t="e">
        <f t="shared" si="39"/>
        <v>#NUM!</v>
      </c>
      <c r="CB29" s="22" t="e">
        <f t="shared" si="10"/>
        <v>#NUM!</v>
      </c>
      <c r="CC29" s="62" t="e">
        <f t="shared" si="11"/>
        <v>#NUM!</v>
      </c>
      <c r="CD29" s="62">
        <f ca="1">AVERAGE(OFFSET($CC$3,0,0,'Données projet'!$E$12+1,1))-AVERAGE(OFFSET($H$3,0,0,'Données projet'!$E$12+1,1))</f>
        <v>74.926559033177455</v>
      </c>
      <c r="CE29" s="62">
        <f t="shared" si="40"/>
        <v>430.78114872558075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91.337161592438548</v>
      </c>
      <c r="CL29" s="23">
        <f>EXP(-LN(2)/25)*CL28+(1-EXP(-LN(2)/25))/(LN(2)/25)*Calculateur!CG29*Calculateur!CI29*VLOOKUP('Données projet'!$B$12,Paramètres!$A$1:$I$89,3,0)*0.475*44/12</f>
        <v>23.288417606103202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114.62557919854174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15.584399999999995</v>
      </c>
      <c r="D30" s="12">
        <f t="shared" si="32"/>
        <v>5.2169061663227199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160.57148619617533</v>
      </c>
      <c r="H30" s="70">
        <f t="shared" si="1"/>
        <v>329.56227490634535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54.970220527721665</v>
      </c>
      <c r="T30" s="62">
        <f t="shared" si="34"/>
        <v>326.57367524399677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68.619562361373681</v>
      </c>
      <c r="AA30" s="23">
        <f>EXP(-LN(2)/25)*AA29+(1-EXP(-LN(2)/25))/(LN(2)/25)*Calculateur!V30*Calculateur!X30*VLOOKUP('Données projet'!$B$9,Paramètres!$A$1:$I$89,3,0)*0.475*44/12</f>
        <v>17.358015428690933</v>
      </c>
      <c r="AB30" s="23">
        <f>EXP(-LN(2)/2)*AB29+(1-EXP(-LN(2)/2))/(LN(2)/2)*V30*Y30*VLOOKUP('Données projet'!$B$9,Paramètres!$A$1:$I$89,3,0)*0.475*44/12</f>
        <v>0</v>
      </c>
      <c r="AC30" s="24">
        <f t="shared" si="3"/>
        <v>85.977577790064615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74.926559033177455</v>
      </c>
      <c r="AO30" s="62">
        <f t="shared" si="36"/>
        <v>430.78114872558075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89.546095563778479</v>
      </c>
      <c r="AV30" s="23">
        <f>EXP(-LN(2)/25)*AV29+(1-EXP(-LN(2)/25))/(LN(2)/25)*Calculateur!AQ30*Calculateur!AS30*VLOOKUP('Données projet'!$B$10,Paramètres!$A$1:$I$89,3,0)*0.475*44/12</f>
        <v>22.651594601979653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112.19769016575813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60.31958470054127</v>
      </c>
      <c r="BJ30" s="62">
        <f t="shared" si="38"/>
        <v>354.50173999733266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74.216193334109889</v>
      </c>
      <c r="BQ30" s="23">
        <f>EXP(-LN(2)/25)*BQ29+(1-EXP(-LN(2)/25))/(LN(2)/25)*Calculateur!BL30*Calculateur!BN30*VLOOKUP('Données projet'!$B$11,Paramètres!$A$1:$I$89,3,0)*0.475*44/12</f>
        <v>18.773740091314657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92.989933425424539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>
        <f>BY30*VLOOKUP('Données projet'!$B$12,Paramètres!$A$1:$I$89,3,0)*VLOOKUP('Données projet'!$B$12,Paramètres!$A$1:$I$89,5,0)</f>
        <v>0</v>
      </c>
      <c r="CA30" s="14" t="e">
        <f t="shared" si="39"/>
        <v>#NUM!</v>
      </c>
      <c r="CB30" s="22" t="e">
        <f t="shared" si="10"/>
        <v>#NUM!</v>
      </c>
      <c r="CC30" s="62" t="e">
        <f t="shared" si="11"/>
        <v>#NUM!</v>
      </c>
      <c r="CD30" s="62">
        <f ca="1">AVERAGE(OFFSET($CC$3,0,0,'Données projet'!$E$12+1,1))-AVERAGE(OFFSET($H$3,0,0,'Données projet'!$E$12+1,1))</f>
        <v>74.926559033177455</v>
      </c>
      <c r="CE30" s="62">
        <f t="shared" si="40"/>
        <v>430.78114872558075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89.546095563778479</v>
      </c>
      <c r="CL30" s="23">
        <f>EXP(-LN(2)/25)*CL29+(1-EXP(-LN(2)/25))/(LN(2)/25)*Calculateur!CG30*Calculateur!CI30*VLOOKUP('Données projet'!$B$12,Paramètres!$A$1:$I$89,3,0)*0.475*44/12</f>
        <v>22.651594601979653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112.19769016575813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16.161599999999996</v>
      </c>
      <c r="D31" s="12">
        <f t="shared" si="32"/>
        <v>5.3872712122842215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166.34216374394836</v>
      </c>
      <c r="H31" s="70">
        <f t="shared" si="1"/>
        <v>330.86428402806166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54.970220527721665</v>
      </c>
      <c r="T31" s="62">
        <f t="shared" si="34"/>
        <v>326.57367524399677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67.273974597267468</v>
      </c>
      <c r="AA31" s="23">
        <f>EXP(-LN(2)/25)*AA30+(1-EXP(-LN(2)/25))/(LN(2)/25)*Calculateur!V31*Calculateur!X31*VLOOKUP('Données projet'!$B$9,Paramètres!$A$1:$I$89,3,0)*0.475*44/12</f>
        <v>16.883359583975022</v>
      </c>
      <c r="AB31" s="23">
        <f>EXP(-LN(2)/2)*AB30+(1-EXP(-LN(2)/2))/(LN(2)/2)*V31*Y31*VLOOKUP('Données projet'!$B$9,Paramètres!$A$1:$I$89,3,0)*0.475*44/12</f>
        <v>0</v>
      </c>
      <c r="AC31" s="24">
        <f t="shared" si="3"/>
        <v>84.15733418124249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74.926559033177455</v>
      </c>
      <c r="AO31" s="62">
        <f t="shared" si="36"/>
        <v>430.78114872558075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87.790151247498031</v>
      </c>
      <c r="AV31" s="23">
        <f>EXP(-LN(2)/25)*AV30+(1-EXP(-LN(2)/25))/(LN(2)/25)*Calculateur!AQ31*Calculateur!AS31*VLOOKUP('Données projet'!$B$10,Paramètres!$A$1:$I$89,3,0)*0.475*44/12</f>
        <v>22.032185556392932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109.82233680389096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60.31958470054127</v>
      </c>
      <c r="BJ31" s="62">
        <f t="shared" si="38"/>
        <v>354.50173999733266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72.760859050236149</v>
      </c>
      <c r="BQ31" s="23">
        <f>EXP(-LN(2)/25)*BQ30+(1-EXP(-LN(2)/25))/(LN(2)/25)*Calculateur!BL31*Calculateur!BN31*VLOOKUP('Données projet'!$B$11,Paramètres!$A$1:$I$89,3,0)*0.475*44/12</f>
        <v>18.260371181249575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91.021230231485731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>
        <f>BY31*VLOOKUP('Données projet'!$B$12,Paramètres!$A$1:$I$89,3,0)*VLOOKUP('Données projet'!$B$12,Paramètres!$A$1:$I$89,5,0)</f>
        <v>0</v>
      </c>
      <c r="CA31" s="14" t="e">
        <f t="shared" si="39"/>
        <v>#NUM!</v>
      </c>
      <c r="CB31" s="22" t="e">
        <f t="shared" si="10"/>
        <v>#NUM!</v>
      </c>
      <c r="CC31" s="62" t="e">
        <f t="shared" si="11"/>
        <v>#NUM!</v>
      </c>
      <c r="CD31" s="62">
        <f ca="1">AVERAGE(OFFSET($CC$3,0,0,'Données projet'!$E$12+1,1))-AVERAGE(OFFSET($H$3,0,0,'Données projet'!$E$12+1,1))</f>
        <v>74.926559033177455</v>
      </c>
      <c r="CE31" s="62">
        <f t="shared" si="40"/>
        <v>430.78114872558075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87.790151247498031</v>
      </c>
      <c r="CL31" s="23">
        <f>EXP(-LN(2)/25)*CL30+(1-EXP(-LN(2)/25))/(LN(2)/25)*Calculateur!CG31*Calculateur!CI31*VLOOKUP('Données projet'!$B$12,Paramètres!$A$1:$I$89,3,0)*0.475*44/12</f>
        <v>22.032185556392932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109.82233680389096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16.738799999999998</v>
      </c>
      <c r="D32" s="12">
        <f t="shared" si="32"/>
        <v>5.5569293377386115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172.10738436149106</v>
      </c>
      <c r="H32" s="70">
        <f t="shared" si="1"/>
        <v>332.1650619298947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54.970220527721665</v>
      </c>
      <c r="T32" s="62">
        <f t="shared" si="34"/>
        <v>326.57367524399677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65.954772988487875</v>
      </c>
      <c r="AA32" s="23">
        <f>EXP(-LN(2)/25)*AA31+(1-EXP(-LN(2)/25))/(LN(2)/25)*Calculateur!V32*Calculateur!X32*VLOOKUP('Données projet'!$B$9,Paramètres!$A$1:$I$89,3,0)*0.475*44/12</f>
        <v>16.421683228293933</v>
      </c>
      <c r="AB32" s="23">
        <f>EXP(-LN(2)/2)*AB31+(1-EXP(-LN(2)/2))/(LN(2)/2)*V32*Y32*VLOOKUP('Données projet'!$B$9,Paramètres!$A$1:$I$89,3,0)*0.475*44/12</f>
        <v>0</v>
      </c>
      <c r="AC32" s="24">
        <f t="shared" si="3"/>
        <v>82.376456216781804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74.926559033177455</v>
      </c>
      <c r="AO32" s="62">
        <f t="shared" si="36"/>
        <v>430.78114872558075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86.068639928239563</v>
      </c>
      <c r="AV32" s="23">
        <f>EXP(-LN(2)/25)*AV31+(1-EXP(-LN(2)/25))/(LN(2)/25)*Calculateur!AQ32*Calculateur!AS32*VLOOKUP('Données projet'!$B$10,Paramètres!$A$1:$I$89,3,0)*0.475*44/12</f>
        <v>21.429714283731084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107.49835421197065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60.31958470054127</v>
      </c>
      <c r="BJ32" s="62">
        <f t="shared" si="38"/>
        <v>354.50173999733266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71.334062984002898</v>
      </c>
      <c r="BQ32" s="23">
        <f>EXP(-LN(2)/25)*BQ31+(1-EXP(-LN(2)/25))/(LN(2)/25)*Calculateur!BL32*Calculateur!BN32*VLOOKUP('Données projet'!$B$11,Paramètres!$A$1:$I$89,3,0)*0.475*44/12</f>
        <v>17.761040371027118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89.09510335503002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>
        <f>BY32*VLOOKUP('Données projet'!$B$12,Paramètres!$A$1:$I$89,3,0)*VLOOKUP('Données projet'!$B$12,Paramètres!$A$1:$I$89,5,0)</f>
        <v>0</v>
      </c>
      <c r="CA32" s="14" t="e">
        <f t="shared" si="39"/>
        <v>#NUM!</v>
      </c>
      <c r="CB32" s="22" t="e">
        <f t="shared" si="10"/>
        <v>#NUM!</v>
      </c>
      <c r="CC32" s="62" t="e">
        <f t="shared" si="11"/>
        <v>#NUM!</v>
      </c>
      <c r="CD32" s="62">
        <f ca="1">AVERAGE(OFFSET($CC$3,0,0,'Données projet'!$E$12+1,1))-AVERAGE(OFFSET($H$3,0,0,'Données projet'!$E$12+1,1))</f>
        <v>74.926559033177455</v>
      </c>
      <c r="CE32" s="62">
        <f t="shared" si="40"/>
        <v>430.78114872558075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86.068639928239563</v>
      </c>
      <c r="CL32" s="23">
        <f>EXP(-LN(2)/25)*CL31+(1-EXP(-LN(2)/25))/(LN(2)/25)*Calculateur!CG32*Calculateur!CI32*VLOOKUP('Données projet'!$B$12,Paramètres!$A$1:$I$89,3,0)*0.475*44/12</f>
        <v>21.429714283731084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107.49835421197065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33" s="12">
        <f t="shared" si="32"/>
        <v>5.7259077130880893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177.86735778524135</v>
      </c>
      <c r="H33" s="70">
        <f t="shared" si="1"/>
        <v>333.46465593362842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54.970220527721665</v>
      </c>
      <c r="T33" s="62">
        <f t="shared" si="34"/>
        <v>326.57367524399677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64.66144011862292</v>
      </c>
      <c r="AA33" s="23">
        <f>EXP(-LN(2)/25)*AA32+(1-EXP(-LN(2)/25))/(LN(2)/25)*Calculateur!V33*Calculateur!X33*VLOOKUP('Données projet'!$B$9,Paramètres!$A$1:$I$89,3,0)*0.475*44/12</f>
        <v>15.972631436837446</v>
      </c>
      <c r="AB33" s="23">
        <f>EXP(-LN(2)/2)*AB32+(1-EXP(-LN(2)/2))/(LN(2)/2)*V33*Y33*VLOOKUP('Données projet'!$B$9,Paramètres!$A$1:$I$89,3,0)*0.475*44/12</f>
        <v>0</v>
      </c>
      <c r="AC33" s="24">
        <f t="shared" si="3"/>
        <v>80.634071555460366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74.926559033177455</v>
      </c>
      <c r="AO33" s="62">
        <f t="shared" si="36"/>
        <v>430.78114872558075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84.38088639593353</v>
      </c>
      <c r="AV33" s="23">
        <f>EXP(-LN(2)/25)*AV32+(1-EXP(-LN(2)/25))/(LN(2)/25)*Calculateur!AQ33*Calculateur!AS33*VLOOKUP('Données projet'!$B$10,Paramètres!$A$1:$I$89,3,0)*0.475*44/12</f>
        <v>20.843717619702762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105.22460401563629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60.31958470054127</v>
      </c>
      <c r="BJ33" s="62">
        <f t="shared" si="38"/>
        <v>354.50173999733266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69.935245518368816</v>
      </c>
      <c r="BQ33" s="23">
        <f>EXP(-LN(2)/25)*BQ32+(1-EXP(-LN(2)/25))/(LN(2)/25)*Calculateur!BL33*Calculateur!BN33*VLOOKUP('Données projet'!$B$11,Paramètres!$A$1:$I$89,3,0)*0.475*44/12</f>
        <v>17.275363788068862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87.210609306437675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>
        <f>BY33*VLOOKUP('Données projet'!$B$12,Paramètres!$A$1:$I$89,3,0)*VLOOKUP('Données projet'!$B$12,Paramètres!$A$1:$I$89,5,0)</f>
        <v>0</v>
      </c>
      <c r="CA33" s="14" t="e">
        <f t="shared" si="39"/>
        <v>#NUM!</v>
      </c>
      <c r="CB33" s="22" t="e">
        <f t="shared" si="10"/>
        <v>#NUM!</v>
      </c>
      <c r="CC33" s="62" t="e">
        <f t="shared" si="11"/>
        <v>#NUM!</v>
      </c>
      <c r="CD33" s="62">
        <f ca="1">AVERAGE(OFFSET($CC$3,0,0,'Données projet'!$E$12+1,1))-AVERAGE(OFFSET($H$3,0,0,'Données projet'!$E$12+1,1))</f>
        <v>74.926559033177455</v>
      </c>
      <c r="CE33" s="62">
        <f t="shared" si="40"/>
        <v>430.78114872558075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84.38088639593353</v>
      </c>
      <c r="CL33" s="23">
        <f>EXP(-LN(2)/25)*CL32+(1-EXP(-LN(2)/25))/(LN(2)/25)*Calculateur!CG33*Calculateur!CI33*VLOOKUP('Données projet'!$B$12,Paramètres!$A$1:$I$89,3,0)*0.475*44/12</f>
        <v>20.843717619702762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105.22460401563629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17.8932</v>
      </c>
      <c r="D34" s="12">
        <f t="shared" si="32"/>
        <v>5.8942315945894066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183.6222789757779</v>
      </c>
      <c r="H34" s="70">
        <f t="shared" si="1"/>
        <v>334.76311002724321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54.970220527721665</v>
      </c>
      <c r="T34" s="62">
        <f t="shared" si="34"/>
        <v>326.57367524399677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63.393468717480864</v>
      </c>
      <c r="AA34" s="23">
        <f>EXP(-LN(2)/25)*AA33+(1-EXP(-LN(2)/25))/(LN(2)/25)*Calculateur!V34*Calculateur!X34*VLOOKUP('Données projet'!$B$9,Paramètres!$A$1:$I$89,3,0)*0.475*44/12</f>
        <v>15.535858990232946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78.92932770771381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74.926559033177455</v>
      </c>
      <c r="AO34" s="62">
        <f t="shared" si="36"/>
        <v>430.78114872558075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82.726228680968006</v>
      </c>
      <c r="AV34" s="23">
        <f>EXP(-LN(2)/25)*AV33+(1-EXP(-LN(2)/25))/(LN(2)/25)*Calculateur!AQ34*Calculateur!AS34*VLOOKUP('Données projet'!$B$10,Paramètres!$A$1:$I$89,3,0)*0.475*44/12</f>
        <v>20.273745065268518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102.99997374623652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60.31958470054127</v>
      </c>
      <c r="BJ34" s="62">
        <f t="shared" si="38"/>
        <v>354.50173999733266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68.563858010041415</v>
      </c>
      <c r="BQ34" s="23">
        <f>EXP(-LN(2)/25)*BQ33+(1-EXP(-LN(2)/25))/(LN(2)/25)*Calculateur!BL34*Calculateur!BN34*VLOOKUP('Données projet'!$B$11,Paramètres!$A$1:$I$89,3,0)*0.475*44/12</f>
        <v>16.802968056812222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85.366826066853633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>
        <f>BY34*VLOOKUP('Données projet'!$B$12,Paramètres!$A$1:$I$89,3,0)*VLOOKUP('Données projet'!$B$12,Paramètres!$A$1:$I$89,5,0)</f>
        <v>0</v>
      </c>
      <c r="CA34" s="14" t="e">
        <f t="shared" si="39"/>
        <v>#NUM!</v>
      </c>
      <c r="CB34" s="22" t="e">
        <f t="shared" si="10"/>
        <v>#NUM!</v>
      </c>
      <c r="CC34" s="62" t="e">
        <f t="shared" si="11"/>
        <v>#NUM!</v>
      </c>
      <c r="CD34" s="62">
        <f ca="1">AVERAGE(OFFSET($CC$3,0,0,'Données projet'!$E$12+1,1))-AVERAGE(OFFSET($H$3,0,0,'Données projet'!$E$12+1,1))</f>
        <v>74.926559033177455</v>
      </c>
      <c r="CE34" s="62">
        <f t="shared" si="40"/>
        <v>430.78114872558075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82.726228680968006</v>
      </c>
      <c r="CL34" s="23">
        <f>EXP(-LN(2)/25)*CL33+(1-EXP(-LN(2)/25))/(LN(2)/25)*Calculateur!CG34*Calculateur!CI34*VLOOKUP('Données projet'!$B$12,Paramètres!$A$1:$I$89,3,0)*0.475*44/12</f>
        <v>20.273745065268518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102.99997374623652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18.470400000000001</v>
      </c>
      <c r="D35" s="12">
        <f t="shared" si="32"/>
        <v>6.0619245165562869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189.37232960148711</v>
      </c>
      <c r="H35" s="70">
        <f t="shared" si="1"/>
        <v>336.06046519966884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54.970220527721665</v>
      </c>
      <c r="T35" s="62">
        <f t="shared" si="34"/>
        <v>326.57367524399677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62.150361462129013</v>
      </c>
      <c r="AA35" s="23">
        <f>EXP(-LN(2)/25)*AA34+(1-EXP(-LN(2)/25))/(LN(2)/25)*Calculateur!V35*Calculateur!X35*VLOOKUP('Données projet'!$B$9,Paramètres!$A$1:$I$89,3,0)*0.475*44/12</f>
        <v>15.111030109149709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77.261391571278722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74.926559033177455</v>
      </c>
      <c r="AO35" s="62">
        <f t="shared" si="36"/>
        <v>430.78114872558075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81.10401779455141</v>
      </c>
      <c r="AV35" s="23">
        <f>EXP(-LN(2)/25)*AV34+(1-EXP(-LN(2)/25))/(LN(2)/25)*Calculateur!AQ35*Calculateur!AS35*VLOOKUP('Données projet'!$B$10,Paramètres!$A$1:$I$89,3,0)*0.475*44/12</f>
        <v>19.719358440308834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100.82337623486025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60.31958470054127</v>
      </c>
      <c r="BJ35" s="62">
        <f t="shared" si="38"/>
        <v>354.50173999733266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67.219362574288525</v>
      </c>
      <c r="BQ35" s="23">
        <f>EXP(-LN(2)/25)*BQ34+(1-EXP(-LN(2)/25))/(LN(2)/25)*Calculateur!BL35*Calculateur!BN35*VLOOKUP('Données projet'!$B$11,Paramètres!$A$1:$I$89,3,0)*0.475*44/12</f>
        <v>16.343490011669005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83.562852585957529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>
        <f>BY35*VLOOKUP('Données projet'!$B$12,Paramètres!$A$1:$I$89,3,0)*VLOOKUP('Données projet'!$B$12,Paramètres!$A$1:$I$89,5,0)</f>
        <v>0</v>
      </c>
      <c r="CA35" s="14" t="e">
        <f t="shared" si="39"/>
        <v>#NUM!</v>
      </c>
      <c r="CB35" s="22" t="e">
        <f t="shared" si="10"/>
        <v>#NUM!</v>
      </c>
      <c r="CC35" s="62" t="e">
        <f t="shared" si="11"/>
        <v>#NUM!</v>
      </c>
      <c r="CD35" s="62">
        <f ca="1">AVERAGE(OFFSET($CC$3,0,0,'Données projet'!$E$12+1,1))-AVERAGE(OFFSET($H$3,0,0,'Données projet'!$E$12+1,1))</f>
        <v>74.926559033177455</v>
      </c>
      <c r="CE35" s="62">
        <f t="shared" si="40"/>
        <v>430.78114872558075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81.10401779455141</v>
      </c>
      <c r="CL35" s="23">
        <f>EXP(-LN(2)/25)*CL34+(1-EXP(-LN(2)/25))/(LN(2)/25)*Calculateur!CG35*Calculateur!CI35*VLOOKUP('Données projet'!$B$12,Paramètres!$A$1:$I$89,3,0)*0.475*44/12</f>
        <v>19.719358440308834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100.82337623486025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19.047600000000003</v>
      </c>
      <c r="D36" s="12">
        <f t="shared" si="32"/>
        <v>6.2290084588615819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195.11767933156315</v>
      </c>
      <c r="H36" s="70">
        <f t="shared" si="1"/>
        <v>337.35675973251722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54.970220527721665</v>
      </c>
      <c r="T36" s="62">
        <f t="shared" si="34"/>
        <v>326.57367524399677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60.931630781834052</v>
      </c>
      <c r="AA36" s="23">
        <f>EXP(-LN(2)/25)*AA35+(1-EXP(-LN(2)/25))/(LN(2)/25)*Calculateur!V36*Calculateur!X36*VLOOKUP('Données projet'!$B$9,Paramètres!$A$1:$I$89,3,0)*0.475*44/12</f>
        <v>14.697818196160474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75.629448977994528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74.926559033177455</v>
      </c>
      <c r="AO36" s="62">
        <f t="shared" si="36"/>
        <v>430.78114872558075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79.513617474166495</v>
      </c>
      <c r="AV36" s="23">
        <f>EXP(-LN(2)/25)*AV35+(1-EXP(-LN(2)/25))/(LN(2)/25)*Calculateur!AQ36*Calculateur!AS36*VLOOKUP('Données projet'!$B$10,Paramètres!$A$1:$I$89,3,0)*0.475*44/12</f>
        <v>19.180131546762599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98.69374902092909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60.31958470054127</v>
      </c>
      <c r="BJ36" s="62">
        <f t="shared" si="38"/>
        <v>354.50173999733266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65.901231873969508</v>
      </c>
      <c r="BQ36" s="23">
        <f>EXP(-LN(2)/25)*BQ35+(1-EXP(-LN(2)/25))/(LN(2)/25)*Calculateur!BL36*Calculateur!BN36*VLOOKUP('Données projet'!$B$11,Paramètres!$A$1:$I$89,3,0)*0.475*44/12</f>
        <v>15.896576417833129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81.797808291802639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>
        <f>BY36*VLOOKUP('Données projet'!$B$12,Paramètres!$A$1:$I$89,3,0)*VLOOKUP('Données projet'!$B$12,Paramètres!$A$1:$I$89,5,0)</f>
        <v>0</v>
      </c>
      <c r="CA36" s="14" t="e">
        <f t="shared" si="39"/>
        <v>#NUM!</v>
      </c>
      <c r="CB36" s="22" t="e">
        <f t="shared" si="10"/>
        <v>#NUM!</v>
      </c>
      <c r="CC36" s="62" t="e">
        <f t="shared" si="11"/>
        <v>#NUM!</v>
      </c>
      <c r="CD36" s="62">
        <f ca="1">AVERAGE(OFFSET($CC$3,0,0,'Données projet'!$E$12+1,1))-AVERAGE(OFFSET($H$3,0,0,'Données projet'!$E$12+1,1))</f>
        <v>74.926559033177455</v>
      </c>
      <c r="CE36" s="62">
        <f t="shared" si="40"/>
        <v>430.78114872558075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79.513617474166495</v>
      </c>
      <c r="CL36" s="23">
        <f>EXP(-LN(2)/25)*CL35+(1-EXP(-LN(2)/25))/(LN(2)/25)*Calculateur!CG36*Calculateur!CI36*VLOOKUP('Données projet'!$B$12,Paramètres!$A$1:$I$89,3,0)*0.475*44/12</f>
        <v>19.180131546762599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98.69374902092909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19.624800000000004</v>
      </c>
      <c r="D37" s="12">
        <f t="shared" si="32"/>
        <v>6.3955039935657112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200.85848696787571</v>
      </c>
      <c r="H37" s="70">
        <f t="shared" si="1"/>
        <v>338.65202945546025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54.970220527721665</v>
      </c>
      <c r="T37" s="62">
        <f t="shared" si="34"/>
        <v>326.57367524399677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59.736798666827362</v>
      </c>
      <c r="AA37" s="23">
        <f>EXP(-LN(2)/25)*AA36+(1-EXP(-LN(2)/25))/(LN(2)/25)*Calculateur!V37*Calculateur!X37*VLOOKUP('Données projet'!$B$9,Paramètres!$A$1:$I$89,3,0)*0.475*44/12</f>
        <v>14.295905584661799</v>
      </c>
      <c r="AB37" s="23">
        <f>EXP(-LN(2)/2)*AB36+(1-EXP(-LN(2)/2))/(LN(2)/2)*V37*Y37*VLOOKUP('Données projet'!$B$9,Paramètres!$A$1:$I$89,3,0)*0.475*44/12</f>
        <v>0</v>
      </c>
      <c r="AC37" s="24">
        <f t="shared" si="3"/>
        <v>74.032704251489164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74.926559033177455</v>
      </c>
      <c r="AO37" s="62">
        <f t="shared" si="36"/>
        <v>430.78114872558075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77.954403934015915</v>
      </c>
      <c r="AV37" s="23">
        <f>EXP(-LN(2)/25)*AV36+(1-EXP(-LN(2)/25))/(LN(2)/25)*Calculateur!AQ37*Calculateur!AS37*VLOOKUP('Données projet'!$B$10,Paramètres!$A$1:$I$89,3,0)*0.475*44/12</f>
        <v>18.655649840977095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96.610053774993006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60.31958470054127</v>
      </c>
      <c r="BJ37" s="62">
        <f t="shared" si="38"/>
        <v>354.50173999733266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64.608948912703411</v>
      </c>
      <c r="BQ37" s="23">
        <f>EXP(-LN(2)/25)*BQ36+(1-EXP(-LN(2)/25))/(LN(2)/25)*Calculateur!BL37*Calculateur!BN37*VLOOKUP('Données projet'!$B$11,Paramètres!$A$1:$I$89,3,0)*0.475*44/12</f>
        <v>15.461883699722861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80.070832612426273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>
        <f>BY37*VLOOKUP('Données projet'!$B$12,Paramètres!$A$1:$I$89,3,0)*VLOOKUP('Données projet'!$B$12,Paramètres!$A$1:$I$89,5,0)</f>
        <v>0</v>
      </c>
      <c r="CA37" s="14" t="e">
        <f t="shared" si="39"/>
        <v>#NUM!</v>
      </c>
      <c r="CB37" s="22" t="e">
        <f t="shared" si="10"/>
        <v>#NUM!</v>
      </c>
      <c r="CC37" s="62" t="e">
        <f t="shared" si="11"/>
        <v>#NUM!</v>
      </c>
      <c r="CD37" s="62">
        <f ca="1">AVERAGE(OFFSET($CC$3,0,0,'Données projet'!$E$12+1,1))-AVERAGE(OFFSET($H$3,0,0,'Données projet'!$E$12+1,1))</f>
        <v>74.926559033177455</v>
      </c>
      <c r="CE37" s="62">
        <f t="shared" si="40"/>
        <v>430.78114872558075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77.954403934015915</v>
      </c>
      <c r="CL37" s="23">
        <f>EXP(-LN(2)/25)*CL36+(1-EXP(-LN(2)/25))/(LN(2)/25)*Calculateur!CG37*Calculateur!CI37*VLOOKUP('Données projet'!$B$12,Paramètres!$A$1:$I$89,3,0)*0.475*44/12</f>
        <v>18.655649840977095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96.610053774993006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20.202000000000005</v>
      </c>
      <c r="D38" s="12">
        <f t="shared" si="32"/>
        <v>6.5614304138099309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206.59490143993636</v>
      </c>
      <c r="H38" s="70">
        <f t="shared" si="1"/>
        <v>339.94630797071898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54.970220527721665</v>
      </c>
      <c r="T38" s="62">
        <f t="shared" si="34"/>
        <v>326.57367524399677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58.565396480820326</v>
      </c>
      <c r="AA38" s="23">
        <f>EXP(-LN(2)/25)*AA37+(1-EXP(-LN(2)/25))/(LN(2)/25)*Calculateur!V38*Calculateur!X38*VLOOKUP('Données projet'!$B$9,Paramètres!$A$1:$I$89,3,0)*0.475*44/12</f>
        <v>13.904983294660221</v>
      </c>
      <c r="AB38" s="23">
        <f>EXP(-LN(2)/2)*AB37+(1-EXP(-LN(2)/2))/(LN(2)/2)*V38*Y38*VLOOKUP('Données projet'!$B$9,Paramètres!$A$1:$I$89,3,0)*0.475*44/12</f>
        <v>0</v>
      </c>
      <c r="AC38" s="24">
        <f t="shared" si="3"/>
        <v>72.470379775480552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74.926559033177455</v>
      </c>
      <c r="AO38" s="62">
        <f t="shared" si="36"/>
        <v>430.78114872558075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76.425765620361332</v>
      </c>
      <c r="AV38" s="23">
        <f>EXP(-LN(2)/25)*AV37+(1-EXP(-LN(2)/25))/(LN(2)/25)*Calculateur!AQ38*Calculateur!AS38*VLOOKUP('Données projet'!$B$10,Paramètres!$A$1:$I$89,3,0)*0.475*44/12</f>
        <v>18.14551011501759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94.571275735378919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60.31958470054127</v>
      </c>
      <c r="BJ38" s="62">
        <f t="shared" si="38"/>
        <v>354.50173999733266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63.342006832092963</v>
      </c>
      <c r="BQ38" s="23">
        <f>EXP(-LN(2)/25)*BQ37+(1-EXP(-LN(2)/25))/(LN(2)/25)*Calculateur!BL38*Calculateur!BN38*VLOOKUP('Données projet'!$B$11,Paramètres!$A$1:$I$89,3,0)*0.475*44/12</f>
        <v>15.039077676848814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78.381084508941782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74.926559033177455</v>
      </c>
      <c r="CE38" s="62">
        <f t="shared" si="40"/>
        <v>430.78114872558075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76.425765620361332</v>
      </c>
      <c r="CL38" s="23">
        <f>EXP(-LN(2)/25)*CL37+(1-EXP(-LN(2)/25))/(LN(2)/25)*Calculateur!CG38*Calculateur!CI38*VLOOKUP('Données projet'!$B$12,Paramètres!$A$1:$I$89,3,0)*0.475*44/12</f>
        <v>18.14551011501759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94.571275735378919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20.779200000000007</v>
      </c>
      <c r="D39" s="12">
        <f t="shared" si="32"/>
        <v>6.7268058475649397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212.32706268295749</v>
      </c>
      <c r="H39" s="70">
        <f t="shared" si="1"/>
        <v>341.23962685117561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54.970220527721665</v>
      </c>
      <c r="T39" s="62">
        <f t="shared" si="34"/>
        <v>326.57367524399677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57.4169647771961</v>
      </c>
      <c r="AA39" s="23">
        <f>EXP(-LN(2)/25)*AA38+(1-EXP(-LN(2)/25))/(LN(2)/25)*Calculateur!V39*Calculateur!X39*VLOOKUP('Données projet'!$B$9,Paramètres!$A$1:$I$89,3,0)*0.475*44/12</f>
        <v>13.524750795236447</v>
      </c>
      <c r="AB39" s="23">
        <f>EXP(-LN(2)/2)*AB38+(1-EXP(-LN(2)/2))/(LN(2)/2)*V39*Y39*VLOOKUP('Données projet'!$B$9,Paramètres!$A$1:$I$89,3,0)*0.475*44/12</f>
        <v>0</v>
      </c>
      <c r="AC39" s="24">
        <f t="shared" si="3"/>
        <v>70.941715572432543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74.926559033177455</v>
      </c>
      <c r="AO39" s="62">
        <f t="shared" si="36"/>
        <v>430.78114872558075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74.927102971660219</v>
      </c>
      <c r="AV39" s="23">
        <f>EXP(-LN(2)/25)*AV38+(1-EXP(-LN(2)/25))/(LN(2)/25)*Calculateur!AQ39*Calculateur!AS39*VLOOKUP('Données projet'!$B$10,Paramètres!$A$1:$I$89,3,0)*0.475*44/12</f>
        <v>17.649320186691529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92.576423158351744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60.31958470054127</v>
      </c>
      <c r="BJ39" s="62">
        <f t="shared" si="38"/>
        <v>354.50173999733266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62.099908712924915</v>
      </c>
      <c r="BQ39" s="23">
        <f>EXP(-LN(2)/25)*BQ38+(1-EXP(-LN(2)/25))/(LN(2)/25)*Calculateur!BL39*Calculateur!BN39*VLOOKUP('Données projet'!$B$11,Paramètres!$A$1:$I$89,3,0)*0.475*44/12</f>
        <v>14.627833306904661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76.727742019829577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74.926559033177455</v>
      </c>
      <c r="CE39" s="62">
        <f t="shared" si="40"/>
        <v>430.78114872558075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74.927102971660219</v>
      </c>
      <c r="CL39" s="23">
        <f>EXP(-LN(2)/25)*CL38+(1-EXP(-LN(2)/25))/(LN(2)/25)*Calculateur!CG39*Calculateur!CI39*VLOOKUP('Données projet'!$B$12,Paramètres!$A$1:$I$89,3,0)*0.475*44/12</f>
        <v>17.649320186691529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92.576423158351744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21.356400000000008</v>
      </c>
      <c r="D40" s="12">
        <f t="shared" si="32"/>
        <v>6.8916473583854003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218.05510241560668</v>
      </c>
      <c r="H40" s="70">
        <f t="shared" si="1"/>
        <v>342.53201581585455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54.970220527721665</v>
      </c>
      <c r="T40" s="62">
        <f t="shared" si="34"/>
        <v>326.57367524399677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56.29105311880577</v>
      </c>
      <c r="AA40" s="23">
        <f>EXP(-LN(2)/25)*AA39+(1-EXP(-LN(2)/25))/(LN(2)/25)*Calculateur!V40*Calculateur!X40*VLOOKUP('Données projet'!$B$9,Paramètres!$A$1:$I$89,3,0)*0.475*44/12</f>
        <v>13.154915773504973</v>
      </c>
      <c r="AB40" s="23">
        <f>EXP(-LN(2)/2)*AB39+(1-EXP(-LN(2)/2))/(LN(2)/2)*V40*Y40*VLOOKUP('Données projet'!$B$9,Paramètres!$A$1:$I$89,3,0)*0.475*44/12</f>
        <v>0</v>
      </c>
      <c r="AC40" s="24">
        <f t="shared" si="3"/>
        <v>69.445968892310745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74.926559033177455</v>
      </c>
      <c r="AO40" s="62">
        <f t="shared" si="36"/>
        <v>430.78114872558075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73.457828183406178</v>
      </c>
      <c r="AV40" s="23">
        <f>EXP(-LN(2)/25)*AV39+(1-EXP(-LN(2)/25))/(LN(2)/25)*Calculateur!AQ40*Calculateur!AS40*VLOOKUP('Données projet'!$B$10,Paramètres!$A$1:$I$89,3,0)*0.475*44/12</f>
        <v>17.166698598049038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90.624526781455216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60.31958470054127</v>
      </c>
      <c r="BJ40" s="62">
        <f t="shared" si="38"/>
        <v>354.50173999733266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60.882167380268712</v>
      </c>
      <c r="BQ40" s="23">
        <f>EXP(-LN(2)/25)*BQ39+(1-EXP(-LN(2)/25))/(LN(2)/25)*Calculateur!BL40*Calculateur!BN40*VLOOKUP('Données projet'!$B$11,Paramètres!$A$1:$I$89,3,0)*0.475*44/12</f>
        <v>14.227834435883031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75.110001816151737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74.926559033177455</v>
      </c>
      <c r="CE40" s="62">
        <f t="shared" si="40"/>
        <v>430.78114872558075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73.457828183406178</v>
      </c>
      <c r="CL40" s="23">
        <f>EXP(-LN(2)/25)*CL39+(1-EXP(-LN(2)/25))/(LN(2)/25)*Calculateur!CG40*Calculateur!CI40*VLOOKUP('Données projet'!$B$12,Paramètres!$A$1:$I$89,3,0)*0.475*44/12</f>
        <v>17.166698598049038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90.624526781455216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21.933600000000009</v>
      </c>
      <c r="D41" s="12">
        <f t="shared" si="32"/>
        <v>7.0559710349657756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223.77914483131485</v>
      </c>
      <c r="H41" s="70">
        <f t="shared" si="1"/>
        <v>343.82350288589873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54.970220527721665</v>
      </c>
      <c r="T41" s="62">
        <f t="shared" si="34"/>
        <v>326.57367524399677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55.187219901298178</v>
      </c>
      <c r="AA41" s="23">
        <f>EXP(-LN(2)/25)*AA40+(1-EXP(-LN(2)/25))/(LN(2)/25)*Calculateur!V41*Calculateur!X41*VLOOKUP('Données projet'!$B$9,Paramètres!$A$1:$I$89,3,0)*0.475*44/12</f>
        <v>12.795193909891525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67.982413811189701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74.926559033177455</v>
      </c>
      <c r="AO41" s="62">
        <f t="shared" si="36"/>
        <v>430.78114872558075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72.017364977580669</v>
      </c>
      <c r="AV41" s="23">
        <f>EXP(-LN(2)/25)*AV40+(1-EXP(-LN(2)/25))/(LN(2)/25)*Calculateur!AQ41*Calculateur!AS41*VLOOKUP('Données projet'!$B$10,Paramètres!$A$1:$I$89,3,0)*0.475*44/12</f>
        <v>16.697274322127942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88.714639299708608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60.31958470054127</v>
      </c>
      <c r="BJ41" s="62">
        <f t="shared" si="38"/>
        <v>354.50173999733266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59.688305212397019</v>
      </c>
      <c r="BQ41" s="23">
        <f>EXP(-LN(2)/25)*BQ40+(1-EXP(-LN(2)/25))/(LN(2)/25)*Calculateur!BL41*Calculateur!BN41*VLOOKUP('Données projet'!$B$11,Paramètres!$A$1:$I$89,3,0)*0.475*44/12</f>
        <v>13.838773555024515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73.527078767421528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74.926559033177455</v>
      </c>
      <c r="CE41" s="62">
        <f t="shared" si="40"/>
        <v>430.78114872558075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72.017364977580669</v>
      </c>
      <c r="CL41" s="23">
        <f>EXP(-LN(2)/25)*CL40+(1-EXP(-LN(2)/25))/(LN(2)/25)*Calculateur!CG41*Calculateur!CI41*VLOOKUP('Données projet'!$B$12,Paramètres!$A$1:$I$89,3,0)*0.475*44/12</f>
        <v>16.697274322127942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88.714639299708608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22.51080000000001</v>
      </c>
      <c r="D42" s="12">
        <f t="shared" si="32"/>
        <v>7.2197920710040782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229.49930721476844</v>
      </c>
      <c r="H42" s="70">
        <f t="shared" si="1"/>
        <v>345.11411452366542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54.970220527721665</v>
      </c>
      <c r="T42" s="62">
        <f t="shared" si="34"/>
        <v>326.57367524399677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54.105032179914126</v>
      </c>
      <c r="AA42" s="23">
        <f>EXP(-LN(2)/25)*AA41+(1-EXP(-LN(2)/25))/(LN(2)/25)*Calculateur!V42*Calculateur!X42*VLOOKUP('Données projet'!$B$9,Paramètres!$A$1:$I$89,3,0)*0.475*44/12</f>
        <v>12.445308659555538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66.550340839469669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74.926559033177455</v>
      </c>
      <c r="AO42" s="62">
        <f t="shared" si="36"/>
        <v>430.78114872558075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70.605148376625593</v>
      </c>
      <c r="AV42" s="23">
        <f>EXP(-LN(2)/25)*AV41+(1-EXP(-LN(2)/25))/(LN(2)/25)*Calculateur!AQ42*Calculateur!AS42*VLOOKUP('Données projet'!$B$10,Paramètres!$A$1:$I$89,3,0)*0.475*44/12</f>
        <v>16.240686477717858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86.845834854343451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60.31958470054127</v>
      </c>
      <c r="BJ42" s="62">
        <f t="shared" si="38"/>
        <v>354.50173999733266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58.517853953453269</v>
      </c>
      <c r="BQ42" s="23">
        <f>EXP(-LN(2)/25)*BQ41+(1-EXP(-LN(2)/25))/(LN(2)/25)*Calculateur!BL42*Calculateur!BN42*VLOOKUP('Données projet'!$B$11,Paramètres!$A$1:$I$89,3,0)*0.475*44/12</f>
        <v>13.460351564412898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71.978205517866172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74.926559033177455</v>
      </c>
      <c r="CE42" s="62">
        <f t="shared" si="40"/>
        <v>430.78114872558075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70.605148376625593</v>
      </c>
      <c r="CL42" s="23">
        <f>EXP(-LN(2)/25)*CL41+(1-EXP(-LN(2)/25))/(LN(2)/25)*Calculateur!CG42*Calculateur!CI42*VLOOKUP('Données projet'!$B$12,Paramètres!$A$1:$I$89,3,0)*0.475*44/12</f>
        <v>16.240686477717858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86.845834854343451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23.088000000000012</v>
      </c>
      <c r="D43" s="12">
        <f t="shared" si="32"/>
        <v>7.3831248366439288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235.21570049339184</v>
      </c>
      <c r="H43" s="70">
        <f t="shared" si="1"/>
        <v>346.40387575715482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54.970220527721665</v>
      </c>
      <c r="T43" s="62">
        <f t="shared" si="34"/>
        <v>326.57367524399677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53.044065499677082</v>
      </c>
      <c r="AA43" s="23">
        <f>EXP(-LN(2)/25)*AA42+(1-EXP(-LN(2)/25))/(LN(2)/25)*Calculateur!V43*Calculateur!X43*VLOOKUP('Données projet'!$B$9,Paramètres!$A$1:$I$89,3,0)*0.475*44/12</f>
        <v>12.104991039789654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65.149056539466741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74.926559033177455</v>
      </c>
      <c r="AO43" s="62">
        <f t="shared" si="36"/>
        <v>430.78114872558075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69.220624481848176</v>
      </c>
      <c r="AV43" s="23">
        <f>EXP(-LN(2)/25)*AV42+(1-EXP(-LN(2)/25))/(LN(2)/25)*Calculateur!AQ43*Calculateur!AS43*VLOOKUP('Données projet'!$B$10,Paramètres!$A$1:$I$89,3,0)*0.475*44/12</f>
        <v>15.79658405192408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85.017208533772262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60.31958470054127</v>
      </c>
      <c r="BJ43" s="62">
        <f t="shared" si="38"/>
        <v>354.50173999733266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57.370354529792635</v>
      </c>
      <c r="BQ43" s="23">
        <f>EXP(-LN(2)/25)*BQ42+(1-EXP(-LN(2)/25))/(LN(2)/25)*Calculateur!BL43*Calculateur!BN43*VLOOKUP('Données projet'!$B$11,Paramètres!$A$1:$I$89,3,0)*0.475*44/12</f>
        <v>13.092277543034902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70.462632072827532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74.926559033177455</v>
      </c>
      <c r="CE43" s="62">
        <f t="shared" si="40"/>
        <v>430.78114872558075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69.220624481848176</v>
      </c>
      <c r="CL43" s="23">
        <f>EXP(-LN(2)/25)*CL42+(1-EXP(-LN(2)/25))/(LN(2)/25)*Calculateur!CG43*Calculateur!CI43*VLOOKUP('Données projet'!$B$12,Paramètres!$A$1:$I$89,3,0)*0.475*44/12</f>
        <v>15.79658405192408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85.017208533772262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23.665200000000013</v>
      </c>
      <c r="D44" s="12">
        <f t="shared" si="32"/>
        <v>7.5459829425713734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240.92842973213001</v>
      </c>
      <c r="H44" s="70">
        <f t="shared" si="1"/>
        <v>347.69281029164517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54.970220527721665</v>
      </c>
      <c r="T44" s="62">
        <f t="shared" si="34"/>
        <v>326.57367524399677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52.003903728913706</v>
      </c>
      <c r="AA44" s="23">
        <f>EXP(-LN(2)/25)*AA43+(1-EXP(-LN(2)/25))/(LN(2)/25)*Calculateur!V44*Calculateur!X44*VLOOKUP('Données projet'!$B$9,Paramètres!$A$1:$I$89,3,0)*0.475*44/12</f>
        <v>11.773979423232793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63.777883152146501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74.926559033177455</v>
      </c>
      <c r="AO44" s="62">
        <f t="shared" si="36"/>
        <v>430.78114872558075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67.863250256171142</v>
      </c>
      <c r="AV44" s="23">
        <f>EXP(-LN(2)/25)*AV43+(1-EXP(-LN(2)/25))/(LN(2)/25)*Calculateur!AQ44*Calculateur!AS44*VLOOKUP('Données projet'!$B$10,Paramètres!$A$1:$I$89,3,0)*0.475*44/12</f>
        <v>15.364625630317965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83.227875886489102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60.31958470054127</v>
      </c>
      <c r="BJ44" s="62">
        <f t="shared" si="38"/>
        <v>354.50173999733266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56.24535686992445</v>
      </c>
      <c r="BQ44" s="23">
        <f>EXP(-LN(2)/25)*BQ43+(1-EXP(-LN(2)/25))/(LN(2)/25)*Calculateur!BL44*Calculateur!BN44*VLOOKUP('Données projet'!$B$11,Paramètres!$A$1:$I$89,3,0)*0.475*44/12</f>
        <v>12.734268525127659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68.979625395052111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74.926559033177455</v>
      </c>
      <c r="CE44" s="62">
        <f t="shared" si="40"/>
        <v>430.78114872558075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67.863250256171142</v>
      </c>
      <c r="CL44" s="23">
        <f>EXP(-LN(2)/25)*CL43+(1-EXP(-LN(2)/25))/(LN(2)/25)*Calculateur!CG44*Calculateur!CI44*VLOOKUP('Données projet'!$B$12,Paramètres!$A$1:$I$89,3,0)*0.475*44/12</f>
        <v>15.364625630317965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83.227875886489102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24.242400000000014</v>
      </c>
      <c r="D45" s="12">
        <f t="shared" si="32"/>
        <v>7.7083792976822068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246.63759457859965</v>
      </c>
      <c r="H45" s="70">
        <f t="shared" si="1"/>
        <v>348.98094061012984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54.970220527721665</v>
      </c>
      <c r="T45" s="62">
        <f t="shared" si="34"/>
        <v>326.57367524399677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50.984138896038964</v>
      </c>
      <c r="AA45" s="23">
        <f>EXP(-LN(2)/25)*AA44+(1-EXP(-LN(2)/25))/(LN(2)/25)*Calculateur!V45*Calculateur!X45*VLOOKUP('Données projet'!$B$9,Paramètres!$A$1:$I$89,3,0)*0.475*44/12</f>
        <v>11.452019336737825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62.436158232776791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74.926559033177455</v>
      </c>
      <c r="AO45" s="62">
        <f t="shared" si="36"/>
        <v>430.78114872558075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66.532493311143114</v>
      </c>
      <c r="AV45" s="23">
        <f>EXP(-LN(2)/25)*AV44+(1-EXP(-LN(2)/25))/(LN(2)/25)*Calculateur!AQ45*Calculateur!AS45*VLOOKUP('Données projet'!$B$10,Paramètres!$A$1:$I$89,3,0)*0.475*44/12</f>
        <v>14.944479134466375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81.476972445609491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60.31958470054127</v>
      </c>
      <c r="BJ45" s="62">
        <f t="shared" si="38"/>
        <v>354.50173999733266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55.142419727985455</v>
      </c>
      <c r="BQ45" s="23">
        <f>EXP(-LN(2)/25)*BQ44+(1-EXP(-LN(2)/25))/(LN(2)/25)*Calculateur!BL45*Calculateur!BN45*VLOOKUP('Données projet'!$B$11,Paramètres!$A$1:$I$89,3,0)*0.475*44/12</f>
        <v>12.386049282641967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67.528469010627418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74.926559033177455</v>
      </c>
      <c r="CE45" s="62">
        <f t="shared" si="40"/>
        <v>430.78114872558075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66.532493311143114</v>
      </c>
      <c r="CL45" s="23">
        <f>EXP(-LN(2)/25)*CL44+(1-EXP(-LN(2)/25))/(LN(2)/25)*Calculateur!CG45*Calculateur!CI45*VLOOKUP('Données projet'!$B$12,Paramètres!$A$1:$I$89,3,0)*0.475*44/12</f>
        <v>14.944479134466375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81.476972445609491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24.819600000000015</v>
      </c>
      <c r="D46" s="12">
        <f t="shared" si="32"/>
        <v>7.870326161102529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252.34328966465125</v>
      </c>
      <c r="H46" s="70">
        <f t="shared" si="1"/>
        <v>350.26828806392024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54.970220527721665</v>
      </c>
      <c r="T46" s="62">
        <f t="shared" si="34"/>
        <v>326.57367524399677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49.984371029541769</v>
      </c>
      <c r="AA46" s="23">
        <f>EXP(-LN(2)/25)*AA45+(1-EXP(-LN(2)/25))/(LN(2)/25)*Calculateur!V46*Calculateur!X46*VLOOKUP('Données projet'!$B$9,Paramètres!$A$1:$I$89,3,0)*0.475*44/12</f>
        <v>11.138863265739205</v>
      </c>
      <c r="AB46" s="23">
        <f>EXP(-LN(2)/2)*AB45+(1-EXP(-LN(2)/2))/(LN(2)/2)*V46*Y46*VLOOKUP('Données projet'!$B$9,Paramètres!$A$1:$I$89,3,0)*0.475*44/12</f>
        <v>0</v>
      </c>
      <c r="AC46" s="24">
        <f t="shared" si="3"/>
        <v>61.123234295280973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74.926559033177455</v>
      </c>
      <c r="AO46" s="62">
        <f t="shared" si="36"/>
        <v>430.78114872558075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65.227831698125499</v>
      </c>
      <c r="AV46" s="23">
        <f>EXP(-LN(2)/25)*AV45+(1-EXP(-LN(2)/25))/(LN(2)/25)*Calculateur!AQ46*Calculateur!AS46*VLOOKUP('Données projet'!$B$10,Paramètres!$A$1:$I$89,3,0)*0.475*44/12</f>
        <v>14.53582156663839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79.763653264763889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60.31958470054127</v>
      </c>
      <c r="BJ46" s="62">
        <f t="shared" si="38"/>
        <v>354.50173999733266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54.061110510674659</v>
      </c>
      <c r="BQ46" s="23">
        <f>EXP(-LN(2)/25)*BQ45+(1-EXP(-LN(2)/25))/(LN(2)/25)*Calculateur!BL46*Calculateur!BN46*VLOOKUP('Données projet'!$B$11,Paramètres!$A$1:$I$89,3,0)*0.475*44/12</f>
        <v>12.0473521136541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66.108462624328752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74.926559033177455</v>
      </c>
      <c r="CE46" s="62">
        <f t="shared" si="40"/>
        <v>430.78114872558075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65.227831698125499</v>
      </c>
      <c r="CL46" s="23">
        <f>EXP(-LN(2)/25)*CL45+(1-EXP(-LN(2)/25))/(LN(2)/25)*Calculateur!CG46*Calculateur!CI46*VLOOKUP('Données projet'!$B$12,Paramètres!$A$1:$I$89,3,0)*0.475*44/12</f>
        <v>14.53582156663839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79.763653264763889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25.396800000000017</v>
      </c>
      <c r="D47" s="12">
        <f t="shared" si="32"/>
        <v>8.0318351892337905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258.04560496952416</v>
      </c>
      <c r="H47" s="70">
        <f t="shared" si="1"/>
        <v>351.55487295458221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54.970220527721665</v>
      </c>
      <c r="T47" s="62">
        <f t="shared" si="34"/>
        <v>326.57367524399677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49.004208001108395</v>
      </c>
      <c r="AA47" s="23">
        <f>EXP(-LN(2)/25)*AA46+(1-EXP(-LN(2)/25))/(LN(2)/25)*Calculateur!V47*Calculateur!X47*VLOOKUP('Données projet'!$B$9,Paramètres!$A$1:$I$89,3,0)*0.475*44/12</f>
        <v>10.834270463970206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59.838478465078602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74.926559033177455</v>
      </c>
      <c r="AO47" s="62">
        <f t="shared" si="36"/>
        <v>430.78114872558075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63.948753703574148</v>
      </c>
      <c r="AV47" s="23">
        <f>EXP(-LN(2)/25)*AV46+(1-EXP(-LN(2)/25))/(LN(2)/25)*Calculateur!AQ47*Calculateur!AS47*VLOOKUP('Données projet'!$B$10,Paramètres!$A$1:$I$89,3,0)*0.475*44/12</f>
        <v>14.13833876149303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78.087092465067172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60.31958470054127</v>
      </c>
      <c r="BJ47" s="62">
        <f t="shared" si="38"/>
        <v>354.50173999733266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53.001005107581825</v>
      </c>
      <c r="BQ47" s="23">
        <f>EXP(-LN(2)/25)*BQ46+(1-EXP(-LN(2)/25))/(LN(2)/25)*Calculateur!BL47*Calculateur!BN47*VLOOKUP('Données projet'!$B$11,Paramètres!$A$1:$I$89,3,0)*0.475*44/12</f>
        <v>11.717916636563515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64.718921744145348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74.926559033177455</v>
      </c>
      <c r="CE47" s="62">
        <f t="shared" si="40"/>
        <v>430.78114872558075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63.948753703574148</v>
      </c>
      <c r="CL47" s="23">
        <f>EXP(-LN(2)/25)*CL46+(1-EXP(-LN(2)/25))/(LN(2)/25)*Calculateur!CG47*Calculateur!CI47*VLOOKUP('Données projet'!$B$12,Paramètres!$A$1:$I$89,3,0)*0.475*44/12</f>
        <v>14.13833876149303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78.087092465067172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25.974000000000018</v>
      </c>
      <c r="D48" s="12">
        <f t="shared" si="32"/>
        <v>8.1929174784004726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263.7446261490565</v>
      </c>
      <c r="H48" s="70">
        <f t="shared" si="1"/>
        <v>352.84071460821417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54.970220527721665</v>
      </c>
      <c r="T48" s="62">
        <f t="shared" si="34"/>
        <v>326.57367524399677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48.043265371822187</v>
      </c>
      <c r="AA48" s="23">
        <f>EXP(-LN(2)/25)*AA47+(1-EXP(-LN(2)/25))/(LN(2)/25)*Calculateur!V48*Calculateur!X48*VLOOKUP('Données projet'!$B$9,Paramètres!$A$1:$I$89,3,0)*0.475*44/12</f>
        <v>10.53800676838342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58.581272140205606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74.926559033177455</v>
      </c>
      <c r="AO48" s="62">
        <f t="shared" si="36"/>
        <v>430.78114872558075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62.694757648335404</v>
      </c>
      <c r="AV48" s="23">
        <f>EXP(-LN(2)/25)*AV47+(1-EXP(-LN(2)/25))/(LN(2)/25)*Calculateur!AQ48*Calculateur!AS48*VLOOKUP('Données projet'!$B$10,Paramètres!$A$1:$I$89,3,0)*0.475*44/12</f>
        <v>13.751725144557081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76.446482792892482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60.31958470054127</v>
      </c>
      <c r="BJ48" s="62">
        <f t="shared" si="38"/>
        <v>354.50173999733266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51.961687724843195</v>
      </c>
      <c r="BQ48" s="23">
        <f>EXP(-LN(2)/25)*BQ47+(1-EXP(-LN(2)/25))/(LN(2)/25)*Calculateur!BL48*Calculateur!BN48*VLOOKUP('Données projet'!$B$11,Paramètres!$A$1:$I$89,3,0)*0.475*44/12</f>
        <v>11.397489589918232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63.359177314761425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74.926559033177455</v>
      </c>
      <c r="CE48" s="62">
        <f t="shared" si="40"/>
        <v>430.78114872558075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62.694757648335404</v>
      </c>
      <c r="CL48" s="23">
        <f>EXP(-LN(2)/25)*CL47+(1-EXP(-LN(2)/25))/(LN(2)/25)*Calculateur!CG48*Calculateur!CI48*VLOOKUP('Données projet'!$B$12,Paramètres!$A$1:$I$89,3,0)*0.475*44/12</f>
        <v>13.751725144557081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76.446482792892482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26.551200000000019</v>
      </c>
      <c r="D49" s="12">
        <f t="shared" si="32"/>
        <v>8.353583603599974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269.44043483480698</v>
      </c>
      <c r="H49" s="70">
        <f t="shared" si="1"/>
        <v>354.12583144293666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54.970220527721665</v>
      </c>
      <c r="T49" s="62">
        <f t="shared" si="34"/>
        <v>326.57367524399677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47.101166241379154</v>
      </c>
      <c r="AA49" s="23">
        <f>EXP(-LN(2)/25)*AA48+(1-EXP(-LN(2)/25))/(LN(2)/25)*Calculateur!V49*Calculateur!X49*VLOOKUP('Données projet'!$B$9,Paramètres!$A$1:$I$89,3,0)*0.475*44/12</f>
        <v>10.249844419132284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57.351010660511434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74.926559033177455</v>
      </c>
      <c r="AO49" s="62">
        <f t="shared" si="36"/>
        <v>430.78114872558075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61.465351690877824</v>
      </c>
      <c r="AV49" s="23">
        <f>EXP(-LN(2)/25)*AV48+(1-EXP(-LN(2)/25))/(LN(2)/25)*Calculateur!AQ49*Calculateur!AS49*VLOOKUP('Données projet'!$B$10,Paramètres!$A$1:$I$89,3,0)*0.475*44/12</f>
        <v>13.375683497307373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74.841035188185202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60.31958470054127</v>
      </c>
      <c r="BJ49" s="62">
        <f t="shared" si="38"/>
        <v>354.50173999733266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50.94275072205906</v>
      </c>
      <c r="BQ49" s="23">
        <f>EXP(-LN(2)/25)*BQ48+(1-EXP(-LN(2)/25))/(LN(2)/25)*Calculateur!BL49*Calculateur!BN49*VLOOKUP('Données projet'!$B$11,Paramètres!$A$1:$I$89,3,0)*0.475*44/12</f>
        <v>11.085824637713989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62.02857535977305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74.926559033177455</v>
      </c>
      <c r="CE49" s="62">
        <f t="shared" si="40"/>
        <v>430.78114872558075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61.465351690877824</v>
      </c>
      <c r="CL49" s="23">
        <f>EXP(-LN(2)/25)*CL48+(1-EXP(-LN(2)/25))/(LN(2)/25)*Calculateur!CG49*Calculateur!CI49*VLOOKUP('Données projet'!$B$12,Paramètres!$A$1:$I$89,3,0)*0.475*44/12</f>
        <v>13.375683497307373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74.841035188185202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27.12840000000002</v>
      </c>
      <c r="D50" s="12">
        <f t="shared" si="32"/>
        <v>8.5138436537878874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275.13310890643294</v>
      </c>
      <c r="H50" s="70">
        <f t="shared" si="1"/>
        <v>355.41024103034727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54.970220527721665</v>
      </c>
      <c r="T50" s="62">
        <f t="shared" si="34"/>
        <v>326.57367524399677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46.177541100260378</v>
      </c>
      <c r="AA50" s="23">
        <f>EXP(-LN(2)/25)*AA49+(1-EXP(-LN(2)/25))/(LN(2)/25)*Calculateur!V50*Calculateur!X50*VLOOKUP('Données projet'!$B$9,Paramètres!$A$1:$I$89,3,0)*0.475*44/12</f>
        <v>9.9695618844752207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56.147102984735596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74.926559033177455</v>
      </c>
      <c r="AO50" s="62">
        <f t="shared" si="36"/>
        <v>430.78114872558075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60.260053634382395</v>
      </c>
      <c r="AV50" s="23">
        <f>EXP(-LN(2)/25)*AV49+(1-EXP(-LN(2)/25))/(LN(2)/25)*Calculateur!AQ50*Calculateur!AS50*VLOOKUP('Données projet'!$B$10,Paramètres!$A$1:$I$89,3,0)*0.475*44/12</f>
        <v>13.009924728676879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73.269978363059266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60.31958470054127</v>
      </c>
      <c r="BJ50" s="62">
        <f t="shared" si="38"/>
        <v>354.50173999733266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49.943794452409314</v>
      </c>
      <c r="BQ50" s="23">
        <f>EXP(-LN(2)/25)*BQ49+(1-EXP(-LN(2)/25))/(LN(2)/25)*Calculateur!BL50*Calculateur!BN50*VLOOKUP('Données projet'!$B$11,Paramètres!$A$1:$I$89,3,0)*0.475*44/12</f>
        <v>10.782682180017519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60.726476632426831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74.926559033177455</v>
      </c>
      <c r="CE50" s="62">
        <f t="shared" si="40"/>
        <v>430.78114872558075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60.260053634382395</v>
      </c>
      <c r="CL50" s="23">
        <f>EXP(-LN(2)/25)*CL49+(1-EXP(-LN(2)/25))/(LN(2)/25)*Calculateur!CG50*Calculateur!CI50*VLOOKUP('Données projet'!$B$12,Paramètres!$A$1:$I$89,3,0)*0.475*44/12</f>
        <v>13.009924728676879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73.269978363059266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27.705600000000022</v>
      </c>
      <c r="D51" s="12">
        <f t="shared" si="32"/>
        <v>8.6737072640755422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280.82272274023239</v>
      </c>
      <c r="H51" s="70">
        <f t="shared" si="1"/>
        <v>356.69396015159828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54.970220527721665</v>
      </c>
      <c r="T51" s="62">
        <f t="shared" si="34"/>
        <v>326.57367524399677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45.272027684803227</v>
      </c>
      <c r="AA51" s="23">
        <f>EXP(-LN(2)/25)*AA50+(1-EXP(-LN(2)/25))/(LN(2)/25)*Calculateur!V51*Calculateur!X51*VLOOKUP('Données projet'!$B$9,Paramètres!$A$1:$I$89,3,0)*0.475*44/12</f>
        <v>9.6969436904677728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54.968971375270996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74.926559033177455</v>
      </c>
      <c r="AO51" s="62">
        <f t="shared" si="36"/>
        <v>430.78114872558075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59.078390737615621</v>
      </c>
      <c r="AV51" s="23">
        <f>EXP(-LN(2)/25)*AV50+(1-EXP(-LN(2)/25))/(LN(2)/25)*Calculateur!AQ51*Calculateur!AS51*VLOOKUP('Données projet'!$B$10,Paramètres!$A$1:$I$89,3,0)*0.475*44/12</f>
        <v>12.654167652809003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71.732558390424629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60.31958470054127</v>
      </c>
      <c r="BJ51" s="62">
        <f t="shared" si="38"/>
        <v>354.50173999733266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48.964427105904242</v>
      </c>
      <c r="BQ51" s="23">
        <f>EXP(-LN(2)/25)*BQ50+(1-EXP(-LN(2)/25))/(LN(2)/25)*Calculateur!BL51*Calculateur!BN51*VLOOKUP('Données projet'!$B$11,Paramètres!$A$1:$I$89,3,0)*0.475*44/12</f>
        <v>10.487829168768327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59.452256274672571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74.926559033177455</v>
      </c>
      <c r="CE51" s="62">
        <f t="shared" si="40"/>
        <v>430.78114872558075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59.078390737615621</v>
      </c>
      <c r="CL51" s="23">
        <f>EXP(-LN(2)/25)*CL50+(1-EXP(-LN(2)/25))/(LN(2)/25)*Calculateur!CG51*Calculateur!CI51*VLOOKUP('Données projet'!$B$12,Paramètres!$A$1:$I$89,3,0)*0.475*44/12</f>
        <v>12.654167652809003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71.732558390424629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28.282800000000023</v>
      </c>
      <c r="D52" s="12">
        <f t="shared" si="32"/>
        <v>8.8331836451686723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286.50934743638999</v>
      </c>
      <c r="H52" s="70">
        <f t="shared" si="1"/>
        <v>357.9770048486688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54.970220527721665</v>
      </c>
      <c r="T52" s="62">
        <f t="shared" si="34"/>
        <v>326.57367524399677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44.384270835114549</v>
      </c>
      <c r="AA52" s="23">
        <f>EXP(-LN(2)/25)*AA51+(1-EXP(-LN(2)/25))/(LN(2)/25)*Calculateur!V52*Calculateur!X52*VLOOKUP('Données projet'!$B$9,Paramètres!$A$1:$I$89,3,0)*0.475*44/12</f>
        <v>9.4317802553118248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53.81605109042637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74.926559033177455</v>
      </c>
      <c r="AO52" s="62">
        <f t="shared" si="36"/>
        <v>430.78114872558075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57.919899529511241</v>
      </c>
      <c r="AV52" s="23">
        <f>EXP(-LN(2)/25)*AV51+(1-EXP(-LN(2)/25))/(LN(2)/25)*Calculateur!AQ52*Calculateur!AS52*VLOOKUP('Données projet'!$B$10,Paramètres!$A$1:$I$89,3,0)*0.475*44/12</f>
        <v>12.308138772889185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70.228038302400421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60.31958470054127</v>
      </c>
      <c r="BJ52" s="62">
        <f t="shared" si="38"/>
        <v>354.50173999733266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48.004264555709035</v>
      </c>
      <c r="BQ52" s="23">
        <f>EXP(-LN(2)/25)*BQ51+(1-EXP(-LN(2)/25))/(LN(2)/25)*Calculateur!BL52*Calculateur!BN52*VLOOKUP('Données projet'!$B$11,Paramètres!$A$1:$I$89,3,0)*0.475*44/12</f>
        <v>10.201038928617391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58.205303484326429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74.926559033177455</v>
      </c>
      <c r="CE52" s="62">
        <f t="shared" si="40"/>
        <v>430.78114872558075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57.919899529511241</v>
      </c>
      <c r="CL52" s="23">
        <f>EXP(-LN(2)/25)*CL51+(1-EXP(-LN(2)/25))/(LN(2)/25)*Calculateur!CG52*Calculateur!CI52*VLOOKUP('Données projet'!$B$12,Paramètres!$A$1:$I$89,3,0)*0.475*44/12</f>
        <v>12.308138772889185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70.228038302400421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28.860000000000024</v>
      </c>
      <c r="D53" s="12">
        <f t="shared" si="32"/>
        <v>8.9922816103350787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292.19305102714816</v>
      </c>
      <c r="H53" s="70">
        <f t="shared" si="1"/>
        <v>359.25939047133363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54.970220527721665</v>
      </c>
      <c r="T53" s="62">
        <f t="shared" si="34"/>
        <v>326.57367524399677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43.513922355770049</v>
      </c>
      <c r="AA53" s="23">
        <f>EXP(-LN(2)/25)*AA52+(1-EXP(-LN(2)/25))/(LN(2)/25)*Calculateur!V53*Calculateur!X53*VLOOKUP('Données projet'!$B$9,Paramètres!$A$1:$I$89,3,0)*0.475*44/12</f>
        <v>9.1738677282345567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52.687790084004604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74.926559033177455</v>
      </c>
      <c r="AO53" s="62">
        <f t="shared" si="36"/>
        <v>430.78114872558075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56.784125627387922</v>
      </c>
      <c r="AV53" s="23">
        <f>EXP(-LN(2)/25)*AV52+(1-EXP(-LN(2)/25))/(LN(2)/25)*Calculateur!AQ53*Calculateur!AS53*VLOOKUP('Données projet'!$B$10,Paramètres!$A$1:$I$89,3,0)*0.475*44/12</f>
        <v>11.971572070887643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68.755697698275569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60.31958470054127</v>
      </c>
      <c r="BJ53" s="62">
        <f t="shared" si="38"/>
        <v>354.50173999733266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47.062930207481827</v>
      </c>
      <c r="BQ53" s="23">
        <f>EXP(-LN(2)/25)*BQ52+(1-EXP(-LN(2)/25))/(LN(2)/25)*Calculateur!BL53*Calculateur!BN53*VLOOKUP('Données projet'!$B$11,Paramètres!$A$1:$I$89,3,0)*0.475*44/12</f>
        <v>9.9220909826650256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56.985021190146853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74.926559033177455</v>
      </c>
      <c r="CE53" s="62">
        <f t="shared" si="40"/>
        <v>430.78114872558075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56.784125627387922</v>
      </c>
      <c r="CL53" s="23">
        <f>EXP(-LN(2)/25)*CL52+(1-EXP(-LN(2)/25))/(LN(2)/25)*Calculateur!CG53*Calculateur!CI53*VLOOKUP('Données projet'!$B$12,Paramètres!$A$1:$I$89,3,0)*0.475*44/12</f>
        <v>11.971572070887643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68.755697698275569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29.437200000000026</v>
      </c>
      <c r="D54" s="12">
        <f t="shared" si="32"/>
        <v>9.1510096001539285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297.87389866785509</v>
      </c>
      <c r="H54" s="70">
        <f t="shared" si="1"/>
        <v>360.54113172026814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54.970220527721665</v>
      </c>
      <c r="T54" s="62">
        <f t="shared" si="34"/>
        <v>326.57367524399677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42.660640879245342</v>
      </c>
      <c r="AA54" s="23">
        <f>EXP(-LN(2)/25)*AA53+(1-EXP(-LN(2)/25))/(LN(2)/25)*Calculateur!V54*Calculateur!X54*VLOOKUP('Données projet'!$B$9,Paramètres!$A$1:$I$89,3,0)*0.475*44/12</f>
        <v>8.9230078327732461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51.583648712018586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74.926559033177455</v>
      </c>
      <c r="AO54" s="62">
        <f t="shared" si="36"/>
        <v>430.78114872558075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55.670623558731563</v>
      </c>
      <c r="AV54" s="23">
        <f>EXP(-LN(2)/25)*AV53+(1-EXP(-LN(2)/25))/(LN(2)/25)*Calculateur!AQ54*Calculateur!AS54*VLOOKUP('Données projet'!$B$10,Paramètres!$A$1:$I$89,3,0)*0.475*44/12</f>
        <v>11.644208803051606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67.314832361783175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60.31958470054127</v>
      </c>
      <c r="BJ54" s="62">
        <f t="shared" si="38"/>
        <v>354.50173999733266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46.1400548516661</v>
      </c>
      <c r="BQ54" s="23">
        <f>EXP(-LN(2)/25)*BQ53+(1-EXP(-LN(2)/25))/(LN(2)/25)*Calculateur!BL54*Calculateur!BN54*VLOOKUP('Données projet'!$B$11,Paramètres!$A$1:$I$89,3,0)*0.475*44/12</f>
        <v>9.6507708829639629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55.790825734630062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74.926559033177455</v>
      </c>
      <c r="CE54" s="62">
        <f t="shared" si="40"/>
        <v>430.78114872558075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55.670623558731563</v>
      </c>
      <c r="CL54" s="23">
        <f>EXP(-LN(2)/25)*CL53+(1-EXP(-LN(2)/25))/(LN(2)/25)*Calculateur!CG54*Calculateur!CI54*VLOOKUP('Données projet'!$B$12,Paramètres!$A$1:$I$89,3,0)*0.475*44/12</f>
        <v>11.644208803051606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67.314832361783175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30.014400000000027</v>
      </c>
      <c r="D55" s="12">
        <f t="shared" si="32"/>
        <v>9.3093757052690869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303.5519528126037</v>
      </c>
      <c r="H55" s="70">
        <f t="shared" si="1"/>
        <v>361.82224268667704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54.970220527721665</v>
      </c>
      <c r="T55" s="62">
        <f t="shared" si="34"/>
        <v>326.57367524399677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41.824091732024975</v>
      </c>
      <c r="AA55" s="23">
        <f>EXP(-LN(2)/25)*AA54+(1-EXP(-LN(2)/25))/(LN(2)/25)*Calculateur!V55*Calculateur!X55*VLOOKUP('Données projet'!$B$9,Paramètres!$A$1:$I$89,3,0)*0.475*44/12</f>
        <v>8.6790077143454738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50.503099446370449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74.926559033177455</v>
      </c>
      <c r="AO55" s="62">
        <f t="shared" si="36"/>
        <v>430.78114872558075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54.578956586472358</v>
      </c>
      <c r="AV55" s="23">
        <f>EXP(-LN(2)/25)*AV54+(1-EXP(-LN(2)/25))/(LN(2)/25)*Calculateur!AQ55*Calculateur!AS55*VLOOKUP('Données projet'!$B$10,Paramètres!$A$1:$I$89,3,0)*0.475*44/12</f>
        <v>11.325797300989832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65.904753887462192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60.31958470054127</v>
      </c>
      <c r="BJ55" s="62">
        <f t="shared" si="38"/>
        <v>354.50173999733266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45.235276518679534</v>
      </c>
      <c r="BQ55" s="23">
        <f>EXP(-LN(2)/25)*BQ54+(1-EXP(-LN(2)/25))/(LN(2)/25)*Calculateur!BL55*Calculateur!BN55*VLOOKUP('Données projet'!$B$11,Paramètres!$A$1:$I$89,3,0)*0.475*44/12</f>
        <v>9.3868700456573304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54.622146564336866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74.926559033177455</v>
      </c>
      <c r="CE55" s="62">
        <f t="shared" si="40"/>
        <v>430.78114872558075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54.578956586472358</v>
      </c>
      <c r="CL55" s="23">
        <f>EXP(-LN(2)/25)*CL54+(1-EXP(-LN(2)/25))/(LN(2)/25)*Calculateur!CG55*Calculateur!CI55*VLOOKUP('Données projet'!$B$12,Paramètres!$A$1:$I$89,3,0)*0.475*44/12</f>
        <v>11.325797300989832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65.904753887462192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30.591600000000028</v>
      </c>
      <c r="D56" s="12">
        <f t="shared" si="32"/>
        <v>9.4673876873427094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309.227273375979</v>
      </c>
      <c r="H56" s="70">
        <f t="shared" si="1"/>
        <v>363.10273688878857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54.970220527721665</v>
      </c>
      <c r="T56" s="62">
        <f t="shared" si="34"/>
        <v>326.57367524399677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41.003946803337001</v>
      </c>
      <c r="AA56" s="23">
        <f>EXP(-LN(2)/25)*AA55+(1-EXP(-LN(2)/25))/(LN(2)/25)*Calculateur!V56*Calculateur!X56*VLOOKUP('Données projet'!$B$9,Paramètres!$A$1:$I$89,3,0)*0.475*44/12</f>
        <v>8.4416797919875179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49.445626595324519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74.926559033177455</v>
      </c>
      <c r="AO56" s="62">
        <f t="shared" si="36"/>
        <v>430.78114872558075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53.508696537688053</v>
      </c>
      <c r="AV56" s="23">
        <f>EXP(-LN(2)/25)*AV55+(1-EXP(-LN(2)/25))/(LN(2)/25)*Calculateur!AQ56*Calculateur!AS56*VLOOKUP('Données projet'!$B$10,Paramètres!$A$1:$I$89,3,0)*0.475*44/12</f>
        <v>11.016092778196469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64.524789315884519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60.31958470054127</v>
      </c>
      <c r="BJ56" s="62">
        <f t="shared" si="38"/>
        <v>354.50173999733266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44.348240336942538</v>
      </c>
      <c r="BQ56" s="23">
        <f>EXP(-LN(2)/25)*BQ55+(1-EXP(-LN(2)/25))/(LN(2)/25)*Calculateur!BL56*Calculateur!BN56*VLOOKUP('Données projet'!$B$11,Paramètres!$A$1:$I$89,3,0)*0.475*44/12</f>
        <v>9.1301855906247891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53.478425927567329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74.926559033177455</v>
      </c>
      <c r="CE56" s="62">
        <f t="shared" si="40"/>
        <v>430.78114872558075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53.508696537688053</v>
      </c>
      <c r="CL56" s="23">
        <f>EXP(-LN(2)/25)*CL55+(1-EXP(-LN(2)/25))/(LN(2)/25)*Calculateur!CG56*Calculateur!CI56*VLOOKUP('Données projet'!$B$12,Paramètres!$A$1:$I$89,3,0)*0.475*44/12</f>
        <v>11.016092778196469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64.524789315884519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31.168800000000029</v>
      </c>
      <c r="D57" s="12">
        <f t="shared" si="32"/>
        <v>9.6250529983827278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314.89991788225291</v>
      </c>
      <c r="H57" s="70">
        <f t="shared" si="1"/>
        <v>364.38262730551662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54.970220527721665</v>
      </c>
      <c r="T57" s="62">
        <f t="shared" si="34"/>
        <v>326.57367524399677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40.199884416461586</v>
      </c>
      <c r="AA57" s="23">
        <f>EXP(-LN(2)/25)*AA56+(1-EXP(-LN(2)/25))/(LN(2)/25)*Calculateur!V57*Calculateur!X57*VLOOKUP('Données projet'!$B$9,Paramètres!$A$1:$I$89,3,0)*0.475*44/12</f>
        <v>8.2108416141469736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48.410726030608558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74.926559033177455</v>
      </c>
      <c r="AO57" s="62">
        <f t="shared" si="36"/>
        <v>430.78114872558075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52.459423635666234</v>
      </c>
      <c r="AV57" s="23">
        <f>EXP(-LN(2)/25)*AV56+(1-EXP(-LN(2)/25))/(LN(2)/25)*Calculateur!AQ57*Calculateur!AS57*VLOOKUP('Données projet'!$B$10,Paramètres!$A$1:$I$89,3,0)*0.475*44/12</f>
        <v>10.714857141865545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63.174280777531777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60.31958470054127</v>
      </c>
      <c r="BJ57" s="62">
        <f t="shared" si="38"/>
        <v>354.50173999733266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43.47859839369076</v>
      </c>
      <c r="BQ57" s="23">
        <f>EXP(-LN(2)/25)*BQ56+(1-EXP(-LN(2)/25))/(LN(2)/25)*Calculateur!BL57*Calculateur!BN57*VLOOKUP('Données projet'!$B$11,Paramètres!$A$1:$I$89,3,0)*0.475*44/12</f>
        <v>8.8805201855135607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52.359118579204321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74.926559033177455</v>
      </c>
      <c r="CE57" s="62">
        <f t="shared" si="40"/>
        <v>430.78114872558075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52.459423635666234</v>
      </c>
      <c r="CL57" s="23">
        <f>EXP(-LN(2)/25)*CL56+(1-EXP(-LN(2)/25))/(LN(2)/25)*Calculateur!CG57*Calculateur!CI57*VLOOKUP('Données projet'!$B$12,Paramètres!$A$1:$I$89,3,0)*0.475*44/12</f>
        <v>10.714857141865545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63.174280777531777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31.746000000000031</v>
      </c>
      <c r="D58" s="12">
        <f t="shared" si="32"/>
        <v>9.7823787985981721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320.5699416032142</v>
      </c>
      <c r="H58" s="70">
        <f t="shared" si="1"/>
        <v>365.6619264075585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54.970220527721665</v>
      </c>
      <c r="T58" s="62">
        <f t="shared" si="34"/>
        <v>326.57367524399677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39.411589202563171</v>
      </c>
      <c r="AA58" s="23">
        <f>EXP(-LN(2)/25)*AA57+(1-EXP(-LN(2)/25))/(LN(2)/25)*Calculateur!V58*Calculateur!X58*VLOOKUP('Données projet'!$B$9,Paramètres!$A$1:$I$89,3,0)*0.475*44/12</f>
        <v>7.9863157184187301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47.397904920981901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74.926559033177455</v>
      </c>
      <c r="AO58" s="62">
        <f t="shared" si="36"/>
        <v>430.78114872558075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51.430726335259784</v>
      </c>
      <c r="AV58" s="23">
        <f>EXP(-LN(2)/25)*AV57+(1-EXP(-LN(2)/25))/(LN(2)/25)*Calculateur!AQ58*Calculateur!AS58*VLOOKUP('Données projet'!$B$10,Paramètres!$A$1:$I$89,3,0)*0.475*44/12</f>
        <v>10.421858809851384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61.852585145111171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60.31958470054127</v>
      </c>
      <c r="BJ58" s="62">
        <f t="shared" si="38"/>
        <v>354.50173999733266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42.626009598516937</v>
      </c>
      <c r="BQ58" s="23">
        <f>EXP(-LN(2)/25)*BQ57+(1-EXP(-LN(2)/25))/(LN(2)/25)*Calculateur!BL58*Calculateur!BN58*VLOOKUP('Données projet'!$B$11,Paramètres!$A$1:$I$89,3,0)*0.475*44/12</f>
        <v>8.6376818940344329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51.263691492551374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74.926559033177455</v>
      </c>
      <c r="CE58" s="62">
        <f t="shared" si="40"/>
        <v>430.78114872558075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51.430726335259784</v>
      </c>
      <c r="CL58" s="23">
        <f>EXP(-LN(2)/25)*CL57+(1-EXP(-LN(2)/25))/(LN(2)/25)*Calculateur!CG58*Calculateur!CI58*VLOOKUP('Données projet'!$B$12,Paramètres!$A$1:$I$89,3,0)*0.475*44/12</f>
        <v>10.421858809851384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61.852585145111171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32.323200000000028</v>
      </c>
      <c r="D59" s="12">
        <f t="shared" si="32"/>
        <v>9.9393719729191581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326.23739768569197</v>
      </c>
      <c r="H59" s="70">
        <f t="shared" si="1"/>
        <v>366.94064618616756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54.970220527721665</v>
      </c>
      <c r="T59" s="62">
        <f t="shared" si="34"/>
        <v>326.57367524399677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38.638751976996694</v>
      </c>
      <c r="AA59" s="23">
        <f>EXP(-LN(2)/25)*AA58+(1-EXP(-LN(2)/25))/(LN(2)/25)*Calculateur!V59*Calculateur!X59*VLOOKUP('Données projet'!$B$9,Paramètres!$A$1:$I$89,3,0)*0.475*44/12</f>
        <v>7.767929495116479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46.406681472113171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74.926559033177455</v>
      </c>
      <c r="AO59" s="62">
        <f t="shared" si="36"/>
        <v>430.78114872558075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50.422201161470909</v>
      </c>
      <c r="AV59" s="23">
        <f>EXP(-LN(2)/25)*AV58+(1-EXP(-LN(2)/25))/(LN(2)/25)*Calculateur!AQ59*Calculateur!AS59*VLOOKUP('Données projet'!$B$10,Paramètres!$A$1:$I$89,3,0)*0.475*44/12</f>
        <v>10.136872532634262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60.559073694105173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60.31958470054127</v>
      </c>
      <c r="BJ59" s="62">
        <f t="shared" si="38"/>
        <v>354.50173999733266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41.790139549588659</v>
      </c>
      <c r="BQ59" s="23">
        <f>EXP(-LN(2)/25)*BQ58+(1-EXP(-LN(2)/25))/(LN(2)/25)*Calculateur!BL59*Calculateur!BN59*VLOOKUP('Données projet'!$B$11,Paramètres!$A$1:$I$89,3,0)*0.475*44/12</f>
        <v>8.401484028406113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50.191623577994775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74.926559033177455</v>
      </c>
      <c r="CE59" s="62">
        <f t="shared" si="40"/>
        <v>430.78114872558075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50.422201161470909</v>
      </c>
      <c r="CL59" s="23">
        <f>EXP(-LN(2)/25)*CL58+(1-EXP(-LN(2)/25))/(LN(2)/25)*Calculateur!CG59*Calculateur!CI59*VLOOKUP('Données projet'!$B$12,Paramètres!$A$1:$I$89,3,0)*0.475*44/12</f>
        <v>10.136872532634262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60.559073694105173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32.900400000000026</v>
      </c>
      <c r="D60" s="12">
        <f t="shared" si="32"/>
        <v>10.096039146303513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331.90233726971155</v>
      </c>
      <c r="H60" s="70">
        <f t="shared" si="1"/>
        <v>368.21879817981198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54.970220527721665</v>
      </c>
      <c r="T60" s="62">
        <f t="shared" si="34"/>
        <v>326.57367524399677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37.881069618039419</v>
      </c>
      <c r="AA60" s="23">
        <f>EXP(-LN(2)/25)*AA59+(1-EXP(-LN(2)/25))/(LN(2)/25)*Calculateur!V60*Calculateur!X60*VLOOKUP('Données projet'!$B$9,Paramètres!$A$1:$I$89,3,0)*0.475*44/12</f>
        <v>7.5555150545748608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45.436584672614281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74.926559033177455</v>
      </c>
      <c r="AO60" s="62">
        <f t="shared" si="36"/>
        <v>430.78114872558075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49.433452551200418</v>
      </c>
      <c r="AV60" s="23">
        <f>EXP(-LN(2)/25)*AV59+(1-EXP(-LN(2)/25))/(LN(2)/25)*Calculateur!AQ60*Calculateur!AS60*VLOOKUP('Données projet'!$B$10,Paramètres!$A$1:$I$89,3,0)*0.475*44/12</f>
        <v>9.8596792201544208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59.293131771354837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60.31958470054127</v>
      </c>
      <c r="BJ60" s="62">
        <f t="shared" si="38"/>
        <v>354.50173999733266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40.970660402489472</v>
      </c>
      <c r="BQ60" s="23">
        <f>EXP(-LN(2)/25)*BQ59+(1-EXP(-LN(2)/25))/(LN(2)/25)*Calculateur!BL60*Calculateur!BN60*VLOOKUP('Données projet'!$B$11,Paramètres!$A$1:$I$89,3,0)*0.475*44/12</f>
        <v>8.171745005834504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49.142405408323974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74.926559033177455</v>
      </c>
      <c r="CE60" s="62">
        <f t="shared" si="40"/>
        <v>430.78114872558075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49.433452551200418</v>
      </c>
      <c r="CL60" s="23">
        <f>EXP(-LN(2)/25)*CL59+(1-EXP(-LN(2)/25))/(LN(2)/25)*Calculateur!CG60*Calculateur!CI60*VLOOKUP('Données projet'!$B$12,Paramètres!$A$1:$I$89,3,0)*0.475*44/12</f>
        <v>9.8596792201544208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59.293131771354837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33.477600000000024</v>
      </c>
      <c r="D61" s="12">
        <f t="shared" si="32"/>
        <v>10.2523866979388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337.56480959812433</v>
      </c>
      <c r="H61" s="70">
        <f t="shared" si="1"/>
        <v>369.49639349891009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54.970220527721665</v>
      </c>
      <c r="T61" s="62">
        <f t="shared" si="34"/>
        <v>326.57367524399677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37.13824494800069</v>
      </c>
      <c r="AA61" s="23">
        <f>EXP(-LN(2)/25)*AA60+(1-EXP(-LN(2)/25))/(LN(2)/25)*Calculateur!V61*Calculateur!X61*VLOOKUP('Données projet'!$B$9,Paramètres!$A$1:$I$89,3,0)*0.475*44/12</f>
        <v>7.3489090980802425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44.487154046080931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74.926559033177455</v>
      </c>
      <c r="AO61" s="62">
        <f t="shared" si="36"/>
        <v>430.78114872558075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48.464092698100231</v>
      </c>
      <c r="AV61" s="23">
        <f>EXP(-LN(2)/25)*AV60+(1-EXP(-LN(2)/25))/(LN(2)/25)*Calculateur!AQ61*Calculateur!AS61*VLOOKUP('Données projet'!$B$10,Paramètres!$A$1:$I$89,3,0)*0.475*44/12</f>
        <v>9.5900657733813031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58.054158471481536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60.31958470054127</v>
      </c>
      <c r="BJ61" s="62">
        <f t="shared" si="38"/>
        <v>354.50173999733266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40.167250741631975</v>
      </c>
      <c r="BQ61" s="23">
        <f>EXP(-LN(2)/25)*BQ60+(1-EXP(-LN(2)/25))/(LN(2)/25)*Calculateur!BL61*Calculateur!BN61*VLOOKUP('Données projet'!$B$11,Paramètres!$A$1:$I$89,3,0)*0.475*44/12</f>
        <v>7.9482882089165665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48.11553895054854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74.926559033177455</v>
      </c>
      <c r="CE61" s="62">
        <f t="shared" si="40"/>
        <v>430.78114872558075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48.464092698100231</v>
      </c>
      <c r="CL61" s="23">
        <f>EXP(-LN(2)/25)*CL60+(1-EXP(-LN(2)/25))/(LN(2)/25)*Calculateur!CG61*Calculateur!CI61*VLOOKUP('Données projet'!$B$12,Paramètres!$A$1:$I$89,3,0)*0.475*44/12</f>
        <v>9.5900657733813031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58.054158471481536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34.054800000000021</v>
      </c>
      <c r="D62" s="12">
        <f t="shared" si="32"/>
        <v>10.408420774437195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343.22486211846268</v>
      </c>
      <c r="H62" s="70">
        <f t="shared" si="1"/>
        <v>370.77344284881144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54.970220527721665</v>
      </c>
      <c r="T62" s="62">
        <f t="shared" si="34"/>
        <v>326.57367524399677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36.409986616663105</v>
      </c>
      <c r="AA62" s="23">
        <f>EXP(-LN(2)/25)*AA61+(1-EXP(-LN(2)/25))/(LN(2)/25)*Calculateur!V62*Calculateur!X62*VLOOKUP('Données projet'!$B$9,Paramètres!$A$1:$I$89,3,0)*0.475*44/12</f>
        <v>7.147952792330905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43.55793940899401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74.926559033177455</v>
      </c>
      <c r="AO62" s="62">
        <f t="shared" si="36"/>
        <v>430.78114872558075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47.513741400468206</v>
      </c>
      <c r="AV62" s="23">
        <f>EXP(-LN(2)/25)*AV61+(1-EXP(-LN(2)/25))/(LN(2)/25)*Calculateur!AQ62*Calculateur!AS62*VLOOKUP('Données projet'!$B$10,Paramètres!$A$1:$I$89,3,0)*0.475*44/12</f>
        <v>9.3278249204885508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56.841566320956758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60.31958470054127</v>
      </c>
      <c r="BJ62" s="62">
        <f t="shared" si="38"/>
        <v>354.50173999733266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39.37959545419239</v>
      </c>
      <c r="BQ62" s="23">
        <f>EXP(-LN(2)/25)*BQ61+(1-EXP(-LN(2)/25))/(LN(2)/25)*Calculateur!BL62*Calculateur!BN62*VLOOKUP('Données projet'!$B$11,Paramètres!$A$1:$I$89,3,0)*0.475*44/12</f>
        <v>7.7309418498614324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47.110537304053821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74.926559033177455</v>
      </c>
      <c r="CE62" s="62">
        <f t="shared" si="40"/>
        <v>430.78114872558075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47.513741400468206</v>
      </c>
      <c r="CL62" s="23">
        <f>EXP(-LN(2)/25)*CL61+(1-EXP(-LN(2)/25))/(LN(2)/25)*Calculateur!CG62*Calculateur!CI62*VLOOKUP('Données projet'!$B$12,Paramètres!$A$1:$I$89,3,0)*0.475*44/12</f>
        <v>9.3278249204885508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56.841566320956758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63" s="12">
        <f t="shared" si="32"/>
        <v>10.564147302110397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348.88254057769444</v>
      </c>
      <c r="H63" s="70">
        <f t="shared" si="1"/>
        <v>372.04995655117563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54.970220527721665</v>
      </c>
      <c r="T63" s="62">
        <f t="shared" si="34"/>
        <v>326.57367524399677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35.696008987009328</v>
      </c>
      <c r="AA63" s="23">
        <f>EXP(-LN(2)/25)*AA62+(1-EXP(-LN(2)/25))/(LN(2)/25)*Calculateur!V63*Calculateur!X63*VLOOKUP('Données projet'!$B$9,Paramètres!$A$1:$I$89,3,0)*0.475*44/12</f>
        <v>6.9524916473301159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42.648500634339442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74.926559033177455</v>
      </c>
      <c r="AO63" s="62">
        <f t="shared" si="36"/>
        <v>430.78114872558075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46.582025912125687</v>
      </c>
      <c r="AV63" s="23">
        <f>EXP(-LN(2)/25)*AV62+(1-EXP(-LN(2)/25))/(LN(2)/25)*Calculateur!AQ63*Calculateur!AS63*VLOOKUP('Données projet'!$B$10,Paramètres!$A$1:$I$89,3,0)*0.475*44/12</f>
        <v>9.0727550575087985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55.654780969634487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60.31958470054127</v>
      </c>
      <c r="BJ63" s="62">
        <f t="shared" si="38"/>
        <v>354.50173999733266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38.607385606517205</v>
      </c>
      <c r="BQ63" s="23">
        <f>EXP(-LN(2)/25)*BQ62+(1-EXP(-LN(2)/25))/(LN(2)/25)*Calculateur!BL63*Calculateur!BN63*VLOOKUP('Données projet'!$B$11,Paramètres!$A$1:$I$89,3,0)*0.475*44/12</f>
        <v>7.5195388384244088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46.126924444941615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74.926559033177455</v>
      </c>
      <c r="CE63" s="62">
        <f t="shared" si="40"/>
        <v>430.78114872558075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46.582025912125687</v>
      </c>
      <c r="CL63" s="23">
        <f>EXP(-LN(2)/25)*CL62+(1-EXP(-LN(2)/25))/(LN(2)/25)*Calculateur!CG63*Calculateur!CI63*VLOOKUP('Données projet'!$B$12,Paramètres!$A$1:$I$89,3,0)*0.475*44/12</f>
        <v>9.0727550575087985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55.654780969634487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35.209200000000017</v>
      </c>
      <c r="D64" s="12">
        <f t="shared" si="32"/>
        <v>10.719571998403087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354.53788911048014</v>
      </c>
      <c r="H64" s="70">
        <f t="shared" si="1"/>
        <v>373.3259445638854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54.970220527721665</v>
      </c>
      <c r="T64" s="62">
        <f t="shared" si="34"/>
        <v>326.57367524399677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34.996032023189713</v>
      </c>
      <c r="AA64" s="23">
        <f>EXP(-LN(2)/25)*AA63+(1-EXP(-LN(2)/25))/(LN(2)/25)*Calculateur!V64*Calculateur!X64*VLOOKUP('Données projet'!$B$9,Paramètres!$A$1:$I$89,3,0)*0.475*44/12</f>
        <v>6.7623753976182286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41.758407420807941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74.926559033177455</v>
      </c>
      <c r="AO64" s="62">
        <f t="shared" si="36"/>
        <v>430.78114872558075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45.668580796219231</v>
      </c>
      <c r="AV64" s="23">
        <f>EXP(-LN(2)/25)*AV63+(1-EXP(-LN(2)/25))/(LN(2)/25)*Calculateur!AQ64*Calculateur!AS64*VLOOKUP('Données projet'!$B$10,Paramètres!$A$1:$I$89,3,0)*0.475*44/12</f>
        <v>8.8246600933457682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54.493240889565001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60.31958470054127</v>
      </c>
      <c r="BJ64" s="62">
        <f t="shared" si="38"/>
        <v>354.50173999733266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37.850318322953434</v>
      </c>
      <c r="BQ64" s="23">
        <f>EXP(-LN(2)/25)*BQ63+(1-EXP(-LN(2)/25))/(LN(2)/25)*Calculateur!BL64*Calculateur!BN64*VLOOKUP('Données projet'!$B$11,Paramètres!$A$1:$I$89,3,0)*0.475*44/12</f>
        <v>7.3139166534523321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45.164234976405766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74.926559033177455</v>
      </c>
      <c r="CE64" s="62">
        <f t="shared" si="40"/>
        <v>430.78114872558075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45.668580796219231</v>
      </c>
      <c r="CL64" s="23">
        <f>EXP(-LN(2)/25)*CL63+(1-EXP(-LN(2)/25))/(LN(2)/25)*Calculateur!CG64*Calculateur!CI64*VLOOKUP('Données projet'!$B$12,Paramètres!$A$1:$I$89,3,0)*0.475*44/12</f>
        <v>8.8246600933457682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54.493240889565001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35.786400000000015</v>
      </c>
      <c r="D65" s="12">
        <f t="shared" si="32"/>
        <v>10.874700382555325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360.19095032147987</v>
      </c>
      <c r="H65" s="70">
        <f t="shared" si="1"/>
        <v>374.60141649961719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54.970220527721665</v>
      </c>
      <c r="T65" s="62">
        <f t="shared" si="34"/>
        <v>326.57367524399677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34.309781180686805</v>
      </c>
      <c r="AA65" s="23">
        <f>EXP(-LN(2)/25)*AA64+(1-EXP(-LN(2)/25))/(LN(2)/25)*Calculateur!V65*Calculateur!X65*VLOOKUP('Données projet'!$B$9,Paramètres!$A$1:$I$89,3,0)*0.475*44/12</f>
        <v>6.5774578867524918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40.887239067439296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74.926559033177455</v>
      </c>
      <c r="AO65" s="62">
        <f t="shared" si="36"/>
        <v>430.78114872558075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44.773047781889197</v>
      </c>
      <c r="AV65" s="23">
        <f>EXP(-LN(2)/25)*AV64+(1-EXP(-LN(2)/25))/(LN(2)/25)*Calculateur!AQ65*Calculateur!AS65*VLOOKUP('Données projet'!$B$10,Paramètres!$A$1:$I$89,3,0)*0.475*44/12</f>
        <v>8.5833492990245226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53.356397080913723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60.31958470054127</v>
      </c>
      <c r="BJ65" s="62">
        <f t="shared" si="38"/>
        <v>354.50173999733266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37.108096667054902</v>
      </c>
      <c r="BQ65" s="23">
        <f>EXP(-LN(2)/25)*BQ64+(1-EXP(-LN(2)/25))/(LN(2)/25)*Calculateur!BL65*Calculateur!BN65*VLOOKUP('Données projet'!$B$11,Paramètres!$A$1:$I$89,3,0)*0.475*44/12</f>
        <v>7.1139172179415171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44.222013884996421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74.926559033177455</v>
      </c>
      <c r="CE65" s="62">
        <f t="shared" si="40"/>
        <v>430.78114872558075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44.773047781889197</v>
      </c>
      <c r="CL65" s="23">
        <f>EXP(-LN(2)/25)*CL64+(1-EXP(-LN(2)/25))/(LN(2)/25)*Calculateur!CG65*Calculateur!CI65*VLOOKUP('Données projet'!$B$12,Paramètres!$A$1:$I$89,3,0)*0.475*44/12</f>
        <v>8.5833492990245226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53.356397080913723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36.363600000000012</v>
      </c>
      <c r="D66" s="12">
        <f t="shared" si="32"/>
        <v>11.02953778555761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365.84176536219917</v>
      </c>
      <c r="H66" s="70">
        <f t="shared" si="1"/>
        <v>375.87638164317951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54.970220527721665</v>
      </c>
      <c r="T66" s="62">
        <f t="shared" si="34"/>
        <v>326.57367524399677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33.636987298633699</v>
      </c>
      <c r="AA66" s="23">
        <f>EXP(-LN(2)/25)*AA65+(1-EXP(-LN(2)/25))/(LN(2)/25)*Calculateur!V66*Calculateur!X66*VLOOKUP('Données projet'!$B$9,Paramètres!$A$1:$I$89,3,0)*0.475*44/12</f>
        <v>6.3975969549457679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40.034584253579467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74.926559033177455</v>
      </c>
      <c r="AO66" s="62">
        <f t="shared" si="36"/>
        <v>430.78114872558075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43.895075623748973</v>
      </c>
      <c r="AV66" s="23">
        <f>EXP(-LN(2)/25)*AV65+(1-EXP(-LN(2)/25))/(LN(2)/25)*Calculateur!AQ66*Calculateur!AS66*VLOOKUP('Données projet'!$B$10,Paramètres!$A$1:$I$89,3,0)*0.475*44/12</f>
        <v>8.3486371610639747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52.243712784812949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60.31958470054127</v>
      </c>
      <c r="BJ66" s="62">
        <f t="shared" si="38"/>
        <v>354.50173999733266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36.380429525118032</v>
      </c>
      <c r="BQ66" s="23">
        <f>EXP(-LN(2)/25)*BQ65+(1-EXP(-LN(2)/25))/(LN(2)/25)*Calculateur!BL66*Calculateur!BN66*VLOOKUP('Données projet'!$B$11,Paramètres!$A$1:$I$89,3,0)*0.475*44/12</f>
        <v>6.9193867775122593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43.29981630263029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74.926559033177455</v>
      </c>
      <c r="CE66" s="62">
        <f t="shared" si="40"/>
        <v>430.78114872558075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43.895075623748973</v>
      </c>
      <c r="CL66" s="23">
        <f>EXP(-LN(2)/25)*CL65+(1-EXP(-LN(2)/25))/(LN(2)/25)*Calculateur!CG66*Calculateur!CI66*VLOOKUP('Données projet'!$B$12,Paramètres!$A$1:$I$89,3,0)*0.475*44/12</f>
        <v>8.3486371610639747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52.243712784812949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36.94080000000001</v>
      </c>
      <c r="D67" s="12">
        <f t="shared" si="32"/>
        <v>11.184089359455896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371.49037400281753</v>
      </c>
      <c r="H67" s="70">
        <f t="shared" si="1"/>
        <v>377.15084896771901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54.970220527721665</v>
      </c>
      <c r="T67" s="62">
        <f t="shared" si="34"/>
        <v>326.57367524399677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32.977386494243902</v>
      </c>
      <c r="AA67" s="23">
        <f>EXP(-LN(2)/25)*AA66+(1-EXP(-LN(2)/25))/(LN(2)/25)*Calculateur!V67*Calculateur!X67*VLOOKUP('Données projet'!$B$9,Paramètres!$A$1:$I$89,3,0)*0.475*44/12</f>
        <v>6.2226543297777734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39.200040824021677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74.926559033177455</v>
      </c>
      <c r="AO67" s="62">
        <f t="shared" si="36"/>
        <v>430.78114872558075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43.034319964119739</v>
      </c>
      <c r="AV67" s="23">
        <f>EXP(-LN(2)/25)*AV66+(1-EXP(-LN(2)/25))/(LN(2)/25)*Calculateur!AQ67*Calculateur!AS67*VLOOKUP('Données projet'!$B$10,Paramètres!$A$1:$I$89,3,0)*0.475*44/12</f>
        <v>8.1203432388589327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51.154663202978668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60.31958470054127</v>
      </c>
      <c r="BJ67" s="62">
        <f t="shared" si="38"/>
        <v>354.50173999733266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35.667031492001414</v>
      </c>
      <c r="BQ67" s="23">
        <f>EXP(-LN(2)/25)*BQ66+(1-EXP(-LN(2)/25))/(LN(2)/25)*Calculateur!BL67*Calculateur!BN67*VLOOKUP('Données projet'!$B$11,Paramètres!$A$1:$I$89,3,0)*0.475*44/12</f>
        <v>6.7301757822064507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42.397207274207865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74.926559033177455</v>
      </c>
      <c r="CE67" s="62">
        <f t="shared" si="40"/>
        <v>430.78114872558075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43.034319964119739</v>
      </c>
      <c r="CL67" s="23">
        <f>EXP(-LN(2)/25)*CL66+(1-EXP(-LN(2)/25))/(LN(2)/25)*Calculateur!CG67*Calculateur!CI67*VLOOKUP('Données projet'!$B$12,Paramètres!$A$1:$I$89,3,0)*0.475*44/12</f>
        <v>8.1203432388589327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51.154663202978668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37.518000000000008</v>
      </c>
      <c r="D68" s="12">
        <f t="shared" si="32"/>
        <v>11.338360086058575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377.13681469939962</v>
      </c>
      <c r="H68" s="70">
        <f t="shared" ref="H68:H131" si="56">(B68+E68+F68)*44/12+(C68+D68)*0.475*44/12</f>
        <v>378.42482714988535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54.970220527721665</v>
      </c>
      <c r="T68" s="62">
        <f t="shared" si="34"/>
        <v>326.57367524399677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32.330720059311425</v>
      </c>
      <c r="AA68" s="23">
        <f>EXP(-LN(2)/25)*AA67+(1-EXP(-LN(2)/25))/(LN(2)/25)*Calculateur!V68*Calculateur!X68*VLOOKUP('Données projet'!$B$9,Paramètres!$A$1:$I$89,3,0)*0.475*44/12</f>
        <v>6.0524955198948307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38.383215579206258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74.926559033177455</v>
      </c>
      <c r="AO68" s="62">
        <f t="shared" si="36"/>
        <v>430.78114872558075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42.190443197966722</v>
      </c>
      <c r="AV68" s="23">
        <f>EXP(-LN(2)/25)*AV67+(1-EXP(-LN(2)/25))/(LN(2)/25)*Calculateur!AQ68*Calculateur!AS68*VLOOKUP('Données projet'!$B$10,Paramètres!$A$1:$I$89,3,0)*0.475*44/12</f>
        <v>7.8982920259620437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50.088735223928765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60.31958470054127</v>
      </c>
      <c r="BJ68" s="62">
        <f t="shared" si="38"/>
        <v>354.50173999733266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34.967622759184373</v>
      </c>
      <c r="BQ68" s="23">
        <f>EXP(-LN(2)/25)*BQ67+(1-EXP(-LN(2)/25))/(LN(2)/25)*Calculateur!BL68*Calculateur!BN68*VLOOKUP('Données projet'!$B$11,Paramètres!$A$1:$I$89,3,0)*0.475*44/12</f>
        <v>6.5461387715174526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41.513761530701828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74.926559033177455</v>
      </c>
      <c r="CE68" s="62">
        <f t="shared" si="40"/>
        <v>430.78114872558075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42.190443197966722</v>
      </c>
      <c r="CL68" s="23">
        <f>EXP(-LN(2)/25)*CL67+(1-EXP(-LN(2)/25))/(LN(2)/25)*Calculateur!CG68*Calculateur!CI68*VLOOKUP('Données projet'!$B$12,Paramètres!$A$1:$I$89,3,0)*0.475*44/12</f>
        <v>7.8982920259620437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50.088735223928765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38.095200000000006</v>
      </c>
      <c r="D69" s="12">
        <f t="shared" ref="D69:D132" si="86">IFERROR(EXP(-1.0587+0.8836*LN(C69)+0.284),0)</f>
        <v>11.492354785092406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382.78112465685371</v>
      </c>
      <c r="H69" s="70">
        <f t="shared" si="56"/>
        <v>379.6983245840359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54.970220527721665</v>
      </c>
      <c r="T69" s="62">
        <f t="shared" ref="T69:T132" si="88">$T$3</f>
        <v>326.57367524399677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31.696734358740397</v>
      </c>
      <c r="AA69" s="23">
        <f>EXP(-LN(2)/25)*AA68+(1-EXP(-LN(2)/25))/(LN(2)/25)*Calculateur!V69*Calculateur!X69*VLOOKUP('Données projet'!$B$9,Paramètres!$A$1:$I$89,3,0)*0.475*44/12</f>
        <v>5.8869897116164003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37.583724070356794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74.926559033177455</v>
      </c>
      <c r="AO69" s="62">
        <f t="shared" ref="AO69:AO132" si="90">$AO$3</f>
        <v>430.78114872558075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41.363114340483961</v>
      </c>
      <c r="AV69" s="23">
        <f>EXP(-LN(2)/25)*AV68+(1-EXP(-LN(2)/25))/(LN(2)/25)*Calculateur!AQ69*Calculateur!AS69*VLOOKUP('Données projet'!$B$10,Paramètres!$A$1:$I$89,3,0)*0.475*44/12</f>
        <v>7.6823128151589861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49.045427155642948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60.31958470054127</v>
      </c>
      <c r="BJ69" s="62">
        <f t="shared" ref="BJ69:BJ132" si="92">$BJ$3</f>
        <v>354.50173999733266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34.281929005020672</v>
      </c>
      <c r="BQ69" s="23">
        <f>EXP(-LN(2)/25)*BQ68+(1-EXP(-LN(2)/25))/(LN(2)/25)*Calculateur!BL69*Calculateur!BN69*VLOOKUP('Données projet'!$B$11,Paramètres!$A$1:$I$89,3,0)*0.475*44/12</f>
        <v>6.3671342625638312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40.649063267584502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74.926559033177455</v>
      </c>
      <c r="CE69" s="62">
        <f t="shared" ref="CE69:CE132" si="94">$CE$3</f>
        <v>430.78114872558075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41.363114340483961</v>
      </c>
      <c r="CL69" s="23">
        <f>EXP(-LN(2)/25)*CL68+(1-EXP(-LN(2)/25))/(LN(2)/25)*Calculateur!CG69*Calculateur!CI69*VLOOKUP('Données projet'!$B$12,Paramètres!$A$1:$I$89,3,0)*0.475*44/12</f>
        <v>7.6823128151589861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49.045427155642948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38.672400000000003</v>
      </c>
      <c r="D70" s="12">
        <f t="shared" si="86"/>
        <v>11.646078121850156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388.42333988796622</v>
      </c>
      <c r="H70" s="70">
        <f t="shared" si="56"/>
        <v>380.97134939555565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54.970220527721665</v>
      </c>
      <c r="T70" s="62">
        <f t="shared" si="88"/>
        <v>326.57367524399677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31.075180731064471</v>
      </c>
      <c r="AA70" s="23">
        <f>EXP(-LN(2)/25)*AA69+(1-EXP(-LN(2)/25))/(LN(2)/25)*Calculateur!V70*Calculateur!X70*VLOOKUP('Données projet'!$B$9,Paramètres!$A$1:$I$89,3,0)*0.475*44/12</f>
        <v>5.7260096683689161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36.801190399433388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74.926559033177455</v>
      </c>
      <c r="AO70" s="62">
        <f t="shared" si="90"/>
        <v>430.78114872558075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40.552008897275662</v>
      </c>
      <c r="AV70" s="23">
        <f>EXP(-LN(2)/25)*AV69+(1-EXP(-LN(2)/25))/(LN(2)/25)*Calculateur!AQ70*Calculateur!AS70*VLOOKUP('Données projet'!$B$10,Paramètres!$A$1:$I$89,3,0)*0.475*44/12</f>
        <v>7.4722395672331912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48.024248464508851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60.31958470054127</v>
      </c>
      <c r="BJ70" s="62">
        <f t="shared" si="92"/>
        <v>354.50173999733266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33.609681287144227</v>
      </c>
      <c r="BQ70" s="23">
        <f>EXP(-LN(2)/25)*BQ69+(1-EXP(-LN(2)/25))/(LN(2)/25)*Calculateur!BL70*Calculateur!BN70*VLOOKUP('Données projet'!$B$11,Paramètres!$A$1:$I$89,3,0)*0.475*44/12</f>
        <v>6.1930246413209851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39.802705928465215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74.926559033177455</v>
      </c>
      <c r="CE70" s="62">
        <f t="shared" si="94"/>
        <v>430.78114872558075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40.552008897275662</v>
      </c>
      <c r="CL70" s="23">
        <f>EXP(-LN(2)/25)*CL69+(1-EXP(-LN(2)/25))/(LN(2)/25)*Calculateur!CG70*Calculateur!CI70*VLOOKUP('Données projet'!$B$12,Paramètres!$A$1:$I$89,3,0)*0.475*44/12</f>
        <v>7.4722395672331912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48.024248464508851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39.249600000000001</v>
      </c>
      <c r="D71" s="12">
        <f t="shared" si="86"/>
        <v>11.799534614368666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394.06349526881075</v>
      </c>
      <c r="H71" s="70">
        <f t="shared" si="56"/>
        <v>382.24390945335875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54.970220527721665</v>
      </c>
      <c r="T71" s="62">
        <f t="shared" si="88"/>
        <v>326.57367524399677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30.46581539091699</v>
      </c>
      <c r="AA71" s="23">
        <f>EXP(-LN(2)/25)*AA70+(1-EXP(-LN(2)/25))/(LN(2)/25)*Calculateur!V71*Calculateur!X71*VLOOKUP('Données projet'!$B$9,Paramètres!$A$1:$I$89,3,0)*0.475*44/12</f>
        <v>5.5694316328696063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36.035247023786596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74.926559033177455</v>
      </c>
      <c r="AO71" s="62">
        <f t="shared" si="90"/>
        <v>430.78114872558075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39.756808737083205</v>
      </c>
      <c r="AV71" s="23">
        <f>EXP(-LN(2)/25)*AV70+(1-EXP(-LN(2)/25))/(LN(2)/25)*Calculateur!AQ71*Calculateur!AS71*VLOOKUP('Données projet'!$B$10,Paramètres!$A$1:$I$89,3,0)*0.475*44/12</f>
        <v>7.2679107833191985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47.0247195204024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60.31958470054127</v>
      </c>
      <c r="BJ71" s="62">
        <f t="shared" si="92"/>
        <v>354.50173999733266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32.950615936984718</v>
      </c>
      <c r="BQ71" s="23">
        <f>EXP(-LN(2)/25)*BQ70+(1-EXP(-LN(2)/25))/(LN(2)/25)*Calculateur!BL71*Calculateur!BN71*VLOOKUP('Données projet'!$B$11,Paramètres!$A$1:$I$89,3,0)*0.475*44/12</f>
        <v>6.0236760568270515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38.974291993811768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74.926559033177455</v>
      </c>
      <c r="CE71" s="62">
        <f t="shared" si="94"/>
        <v>430.78114872558075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39.756808737083205</v>
      </c>
      <c r="CL71" s="23">
        <f>EXP(-LN(2)/25)*CL70+(1-EXP(-LN(2)/25))/(LN(2)/25)*Calculateur!CG71*Calculateur!CI71*VLOOKUP('Données projet'!$B$12,Paramètres!$A$1:$I$89,3,0)*0.475*44/12</f>
        <v>7.2679107833191985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47.0247195204024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39.826799999999999</v>
      </c>
      <c r="D72" s="12">
        <f t="shared" si="86"/>
        <v>11.95272864017269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399.70162459080666</v>
      </c>
      <c r="H72" s="70">
        <f t="shared" si="56"/>
        <v>383.51601238163408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54.970220527721665</v>
      </c>
      <c r="T72" s="62">
        <f t="shared" si="88"/>
        <v>326.57367524399677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29.868399333413645</v>
      </c>
      <c r="AA72" s="23">
        <f>EXP(-LN(2)/25)*AA71+(1-EXP(-LN(2)/25))/(LN(2)/25)*Calculateur!V72*Calculateur!X72*VLOOKUP('Données projet'!$B$9,Paramètres!$A$1:$I$89,3,0)*0.475*44/12</f>
        <v>5.4171352319851067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35.285534565398748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74.926559033177455</v>
      </c>
      <c r="AO72" s="62">
        <f t="shared" si="90"/>
        <v>430.78114872558075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38.977201967007915</v>
      </c>
      <c r="AV72" s="23">
        <f>EXP(-LN(2)/25)*AV71+(1-EXP(-LN(2)/25))/(LN(2)/25)*Calculateur!AQ72*Calculateur!AS72*VLOOKUP('Données projet'!$B$10,Paramètres!$A$1:$I$89,3,0)*0.475*44/12</f>
        <v>7.0691693807465183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46.04637134775443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60.31958470054127</v>
      </c>
      <c r="BJ72" s="62">
        <f t="shared" si="92"/>
        <v>354.50173999733266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32.30447445635167</v>
      </c>
      <c r="BQ72" s="23">
        <f>EXP(-LN(2)/25)*BQ71+(1-EXP(-LN(2)/25))/(LN(2)/25)*Calculateur!BL72*Calculateur!BN72*VLOOKUP('Données projet'!$B$11,Paramètres!$A$1:$I$89,3,0)*0.475*44/12</f>
        <v>5.8589583182817595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38.163432774633428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74.926559033177455</v>
      </c>
      <c r="CE72" s="62">
        <f t="shared" si="94"/>
        <v>430.78114872558075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38.977201967007915</v>
      </c>
      <c r="CL72" s="23">
        <f>EXP(-LN(2)/25)*CL71+(1-EXP(-LN(2)/25))/(LN(2)/25)*Calculateur!CG72*Calculateur!CI72*VLOOKUP('Données projet'!$B$12,Paramètres!$A$1:$I$89,3,0)*0.475*44/12</f>
        <v>7.0691693807465183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46.04637134775443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40.403999999999996</v>
      </c>
      <c r="D73" s="12">
        <f t="shared" si="86"/>
        <v>12.105664442616712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405.33776060967284</v>
      </c>
      <c r="H73" s="70">
        <f t="shared" si="56"/>
        <v>384.78766557089074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54.970220527721665</v>
      </c>
      <c r="T73" s="62">
        <f t="shared" si="88"/>
        <v>326.57367524399677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29.282698240410127</v>
      </c>
      <c r="AA73" s="23">
        <f>EXP(-LN(2)/25)*AA72+(1-EXP(-LN(2)/25))/(LN(2)/25)*Calculateur!V73*Calculateur!X73*VLOOKUP('Données projet'!$B$9,Paramètres!$A$1:$I$89,3,0)*0.475*44/12</f>
        <v>5.2690033841917128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34.55170162460184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74.926559033177455</v>
      </c>
      <c r="AO73" s="62">
        <f t="shared" si="90"/>
        <v>430.78114872558075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38.212882810180623</v>
      </c>
      <c r="AV73" s="23">
        <f>EXP(-LN(2)/25)*AV72+(1-EXP(-LN(2)/25))/(LN(2)/25)*Calculateur!AQ73*Calculateur!AS73*VLOOKUP('Données projet'!$B$10,Paramètres!$A$1:$I$89,3,0)*0.475*44/12</f>
        <v>6.8758625722785442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45.088745382459166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60.31958470054127</v>
      </c>
      <c r="BJ73" s="62">
        <f t="shared" si="92"/>
        <v>354.50173999733266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31.671003416046446</v>
      </c>
      <c r="BQ73" s="23">
        <f>EXP(-LN(2)/25)*BQ72+(1-EXP(-LN(2)/25))/(LN(2)/25)*Calculateur!BL73*Calculateur!BN73*VLOOKUP('Données projet'!$B$11,Paramètres!$A$1:$I$89,3,0)*0.475*44/12</f>
        <v>5.6987447949591177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37.369748211005565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74.926559033177455</v>
      </c>
      <c r="CE73" s="62">
        <f t="shared" si="94"/>
        <v>430.78114872558075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38.212882810180623</v>
      </c>
      <c r="CL73" s="23">
        <f>EXP(-LN(2)/25)*CL72+(1-EXP(-LN(2)/25))/(LN(2)/25)*Calculateur!CG73*Calculateur!CI73*VLOOKUP('Données projet'!$B$12,Paramètres!$A$1:$I$89,3,0)*0.475*44/12</f>
        <v>6.8758625722785442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45.088745382459166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40.981199999999994</v>
      </c>
      <c r="D74" s="12">
        <f t="shared" si="86"/>
        <v>12.258346136853991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410.97193509150452</v>
      </c>
      <c r="H74" s="70">
        <f t="shared" si="56"/>
        <v>386.05887618835402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54.970220527721665</v>
      </c>
      <c r="T74" s="62">
        <f t="shared" si="88"/>
        <v>326.57367524399677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28.708482388598014</v>
      </c>
      <c r="AA74" s="23">
        <f>EXP(-LN(2)/25)*AA73+(1-EXP(-LN(2)/25))/(LN(2)/25)*Calculateur!V74*Calculateur!X74*VLOOKUP('Données projet'!$B$9,Paramètres!$A$1:$I$89,3,0)*0.475*44/12</f>
        <v>5.1249222095661446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33.833404598164158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74.926559033177455</v>
      </c>
      <c r="AO74" s="62">
        <f t="shared" si="90"/>
        <v>430.78114872558075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37.463551485830067</v>
      </c>
      <c r="AV74" s="23">
        <f>EXP(-LN(2)/25)*AV73+(1-EXP(-LN(2)/25))/(LN(2)/25)*Calculateur!AQ74*Calculateur!AS74*VLOOKUP('Données projet'!$B$10,Paramètres!$A$1:$I$89,3,0)*0.475*44/12</f>
        <v>6.6878417486536899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44.151393234483756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60.31958470054127</v>
      </c>
      <c r="BJ74" s="62">
        <f t="shared" si="92"/>
        <v>354.50173999733266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31.049954356462425</v>
      </c>
      <c r="BQ74" s="23">
        <f>EXP(-LN(2)/25)*BQ73+(1-EXP(-LN(2)/25))/(LN(2)/25)*Calculateur!BL74*Calculateur!BN74*VLOOKUP('Données projet'!$B$11,Paramètres!$A$1:$I$89,3,0)*0.475*44/12</f>
        <v>5.5429123188569962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36.592866675319421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74.926559033177455</v>
      </c>
      <c r="CE74" s="62">
        <f t="shared" si="94"/>
        <v>430.78114872558075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37.463551485830067</v>
      </c>
      <c r="CL74" s="23">
        <f>EXP(-LN(2)/25)*CL73+(1-EXP(-LN(2)/25))/(LN(2)/25)*Calculateur!CG74*Calculateur!CI74*VLOOKUP('Données projet'!$B$12,Paramètres!$A$1:$I$89,3,0)*0.475*44/12</f>
        <v>6.6878417486536899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44.151393234483756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41.558399999999992</v>
      </c>
      <c r="D75" s="12">
        <f t="shared" si="86"/>
        <v>12.410777715459892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416.60417885618159</v>
      </c>
      <c r="H75" s="70">
        <f t="shared" si="56"/>
        <v>387.32965118775928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54.970220527721665</v>
      </c>
      <c r="T75" s="62">
        <f t="shared" si="88"/>
        <v>326.57367524399677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28.14552655940285</v>
      </c>
      <c r="AA75" s="23">
        <f>EXP(-LN(2)/25)*AA74+(1-EXP(-LN(2)/25))/(LN(2)/25)*Calculateur!V75*Calculateur!X75*VLOOKUP('Données projet'!$B$9,Paramètres!$A$1:$I$89,3,0)*0.475*44/12</f>
        <v>4.9847809422376121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33.130307501640459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74.926559033177455</v>
      </c>
      <c r="AO75" s="62">
        <f t="shared" si="90"/>
        <v>430.78114872558075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36.728914091703047</v>
      </c>
      <c r="AV75" s="23">
        <f>EXP(-LN(2)/25)*AV74+(1-EXP(-LN(2)/25))/(LN(2)/25)*Calculateur!AQ75*Calculateur!AS75*VLOOKUP('Données projet'!$B$10,Paramètres!$A$1:$I$89,3,0)*0.475*44/12</f>
        <v>6.504962364338442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43.233876456041486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60.31958470054127</v>
      </c>
      <c r="BJ75" s="62">
        <f t="shared" si="92"/>
        <v>354.50173999733266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30.441083690134324</v>
      </c>
      <c r="BQ75" s="23">
        <f>EXP(-LN(2)/25)*BQ74+(1-EXP(-LN(2)/25))/(LN(2)/25)*Calculateur!BL75*Calculateur!BN75*VLOOKUP('Données projet'!$B$11,Paramètres!$A$1:$I$89,3,0)*0.475*44/12</f>
        <v>5.3913410900087611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35.832424780143086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74.926559033177455</v>
      </c>
      <c r="CE75" s="62">
        <f t="shared" si="94"/>
        <v>430.78114872558075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36.728914091703047</v>
      </c>
      <c r="CL75" s="23">
        <f>EXP(-LN(2)/25)*CL74+(1-EXP(-LN(2)/25))/(LN(2)/25)*Calculateur!CG75*Calculateur!CI75*VLOOKUP('Données projet'!$B$12,Paramètres!$A$1:$I$89,3,0)*0.475*44/12</f>
        <v>6.504962364338442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43.233876456041486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42.13559999999999</v>
      </c>
      <c r="D76" s="12">
        <f t="shared" si="86"/>
        <v>12.562963053733787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422.23452181829589</v>
      </c>
      <c r="H76" s="70">
        <f t="shared" si="56"/>
        <v>388.5999973185863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54.970220527721665</v>
      </c>
      <c r="T76" s="62">
        <f t="shared" si="88"/>
        <v>326.57367524399677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27.593609950649054</v>
      </c>
      <c r="AA76" s="23">
        <f>EXP(-LN(2)/25)*AA75+(1-EXP(-LN(2)/25))/(LN(2)/25)*Calculateur!V76*Calculateur!X76*VLOOKUP('Données projet'!$B$9,Paramètres!$A$1:$I$89,3,0)*0.475*44/12</f>
        <v>4.8484718452338882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32.442081795882942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74.926559033177455</v>
      </c>
      <c r="AO76" s="62">
        <f t="shared" si="90"/>
        <v>430.78114872558075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36.008682488790292</v>
      </c>
      <c r="AV76" s="23">
        <f>EXP(-LN(2)/25)*AV75+(1-EXP(-LN(2)/25))/(LN(2)/25)*Calculateur!AQ76*Calculateur!AS76*VLOOKUP('Données projet'!$B$10,Paramètres!$A$1:$I$89,3,0)*0.475*44/12</f>
        <v>6.327083826404504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42.335766315194796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60.31958470054127</v>
      </c>
      <c r="BJ76" s="62">
        <f t="shared" si="92"/>
        <v>354.50173999733266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29.844152606198481</v>
      </c>
      <c r="BQ76" s="23">
        <f>EXP(-LN(2)/25)*BQ75+(1-EXP(-LN(2)/25))/(LN(2)/25)*Calculateur!BL76*Calculateur!BN76*VLOOKUP('Données projet'!$B$11,Paramètres!$A$1:$I$89,3,0)*0.475*44/12</f>
        <v>5.2439145843841652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35.088067190582649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74.926559033177455</v>
      </c>
      <c r="CE76" s="62">
        <f t="shared" si="94"/>
        <v>430.78114872558075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36.008682488790292</v>
      </c>
      <c r="CL76" s="23">
        <f>EXP(-LN(2)/25)*CL75+(1-EXP(-LN(2)/25))/(LN(2)/25)*Calculateur!CG76*Calculateur!CI76*VLOOKUP('Données projet'!$B$12,Paramètres!$A$1:$I$89,3,0)*0.475*44/12</f>
        <v>6.327083826404504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42.335766315194796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42.712799999999987</v>
      </c>
      <c r="D77" s="12">
        <f t="shared" si="86"/>
        <v>12.7149059147023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427.86299302577208</v>
      </c>
      <c r="H77" s="70">
        <f t="shared" si="56"/>
        <v>389.86992113477311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54.970220527721665</v>
      </c>
      <c r="T77" s="62">
        <f t="shared" si="88"/>
        <v>326.57367524399677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27.052516089957027</v>
      </c>
      <c r="AA77" s="23">
        <f>EXP(-LN(2)/25)*AA76+(1-EXP(-LN(2)/25))/(LN(2)/25)*Calculateur!V77*Calculateur!X77*VLOOKUP('Données projet'!$B$9,Paramètres!$A$1:$I$89,3,0)*0.475*44/12</f>
        <v>4.7158901276559142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31.768406217612942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74.926559033177455</v>
      </c>
      <c r="AO77" s="62">
        <f t="shared" si="90"/>
        <v>430.78114872558075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35.302574188312754</v>
      </c>
      <c r="AV77" s="23">
        <f>EXP(-LN(2)/25)*AV76+(1-EXP(-LN(2)/25))/(LN(2)/25)*Calculateur!AQ77*Calculateur!AS77*VLOOKUP('Données projet'!$B$10,Paramètres!$A$1:$I$89,3,0)*0.475*44/12</f>
        <v>6.1540693864445952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41.456643574757351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60.31958470054127</v>
      </c>
      <c r="BJ77" s="62">
        <f t="shared" si="92"/>
        <v>354.50173999733266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29.25892697672661</v>
      </c>
      <c r="BQ77" s="23">
        <f>EXP(-LN(2)/25)*BQ76+(1-EXP(-LN(2)/25))/(LN(2)/25)*Calculateur!BL77*Calculateur!BN77*VLOOKUP('Données projet'!$B$11,Paramètres!$A$1:$I$89,3,0)*0.475*44/12</f>
        <v>5.1005194643086975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34.35944644103531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74.926559033177455</v>
      </c>
      <c r="CE77" s="62">
        <f t="shared" si="94"/>
        <v>430.78114872558075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35.302574188312754</v>
      </c>
      <c r="CL77" s="23">
        <f>EXP(-LN(2)/25)*CL76+(1-EXP(-LN(2)/25))/(LN(2)/25)*Calculateur!CG77*Calculateur!CI77*VLOOKUP('Données projet'!$B$12,Paramètres!$A$1:$I$89,3,0)*0.475*44/12</f>
        <v>6.1540693864445952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41.456643574757351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43.289999999999985</v>
      </c>
      <c r="D78" s="12">
        <f t="shared" si="86"/>
        <v>12.866609953844339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433.48962069634217</v>
      </c>
      <c r="H78" s="70">
        <f t="shared" si="56"/>
        <v>391.13942900294552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54.970220527721665</v>
      </c>
      <c r="T78" s="62">
        <f t="shared" si="88"/>
        <v>326.57367524399677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26.522032749838505</v>
      </c>
      <c r="AA78" s="23">
        <f>EXP(-LN(2)/25)*AA77+(1-EXP(-LN(2)/25))/(LN(2)/25)*Calculateur!V78*Calculateur!X78*VLOOKUP('Données projet'!$B$9,Paramètres!$A$1:$I$89,3,0)*0.475*44/12</f>
        <v>4.5869338641172801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31.108966613955786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74.926559033177455</v>
      </c>
      <c r="AO78" s="62">
        <f t="shared" si="90"/>
        <v>430.78114872558075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34.610312240924046</v>
      </c>
      <c r="AV78" s="23">
        <f>EXP(-LN(2)/25)*AV77+(1-EXP(-LN(2)/25))/(LN(2)/25)*Calculateur!AQ78*Calculateur!AS78*VLOOKUP('Données projet'!$B$10,Paramètres!$A$1:$I$89,3,0)*0.475*44/12</f>
        <v>5.9857860354438239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40.596098276367869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60.31958470054127</v>
      </c>
      <c r="BJ78" s="62">
        <f t="shared" si="92"/>
        <v>354.50173999733266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28.685177264896293</v>
      </c>
      <c r="BQ78" s="23">
        <f>EXP(-LN(2)/25)*BQ77+(1-EXP(-LN(2)/25))/(LN(2)/25)*Calculateur!BL78*Calculateur!BN78*VLOOKUP('Données projet'!$B$11,Paramètres!$A$1:$I$89,3,0)*0.475*44/12</f>
        <v>4.9610454913325146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33.646222756228809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74.926559033177455</v>
      </c>
      <c r="CE78" s="62">
        <f t="shared" si="94"/>
        <v>430.78114872558075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34.610312240924046</v>
      </c>
      <c r="CL78" s="23">
        <f>EXP(-LN(2)/25)*CL77+(1-EXP(-LN(2)/25))/(LN(2)/25)*Calculateur!CG78*Calculateur!CI78*VLOOKUP('Données projet'!$B$12,Paramètres!$A$1:$I$89,3,0)*0.475*44/12</f>
        <v>5.9857860354438239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40.596098276367869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43.867199999999983</v>
      </c>
      <c r="D79" s="12">
        <f t="shared" si="86"/>
        <v>13.018078723556957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439.1144322520185</v>
      </c>
      <c r="H79" s="70">
        <f t="shared" si="56"/>
        <v>392.408527110195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54.970220527721665</v>
      </c>
      <c r="T79" s="62">
        <f t="shared" si="88"/>
        <v>326.57367524399677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26.001951864456821</v>
      </c>
      <c r="AA79" s="23">
        <f>EXP(-LN(2)/25)*AA78+(1-EXP(-LN(2)/25))/(LN(2)/25)*Calculateur!V79*Calculateur!X79*VLOOKUP('Données projet'!$B$9,Paramètres!$A$1:$I$89,3,0)*0.475*44/12</f>
        <v>4.4615039163866248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30.463455780843447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74.926559033177455</v>
      </c>
      <c r="AO79" s="62">
        <f t="shared" si="90"/>
        <v>430.78114872558075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33.931625128085535</v>
      </c>
      <c r="AV79" s="23">
        <f>EXP(-LN(2)/25)*AV78+(1-EXP(-LN(2)/25))/(LN(2)/25)*Calculateur!AQ79*Calculateur!AS79*VLOOKUP('Données projet'!$B$10,Paramètres!$A$1:$I$89,3,0)*0.475*44/12</f>
        <v>5.8221044015258059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39.753729529611341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60.31958470054127</v>
      </c>
      <c r="BJ79" s="62">
        <f t="shared" si="92"/>
        <v>354.50173999733266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28.1226784349622</v>
      </c>
      <c r="BQ79" s="23">
        <f>EXP(-LN(2)/25)*BQ78+(1-EXP(-LN(2)/25))/(LN(2)/25)*Calculateur!BL79*Calculateur!BN79*VLOOKUP('Données projet'!$B$11,Paramètres!$A$1:$I$89,3,0)*0.475*44/12</f>
        <v>4.8253854414819832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32.948063876444181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74.926559033177455</v>
      </c>
      <c r="CE79" s="62">
        <f t="shared" si="94"/>
        <v>430.78114872558075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33.931625128085535</v>
      </c>
      <c r="CL79" s="23">
        <f>EXP(-LN(2)/25)*CL78+(1-EXP(-LN(2)/25))/(LN(2)/25)*Calculateur!CG79*Calculateur!CI79*VLOOKUP('Données projet'!$B$12,Paramètres!$A$1:$I$89,3,0)*0.475*44/12</f>
        <v>5.8221044015258059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39.753729529611341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44.44439999999998</v>
      </c>
      <c r="D80" s="12">
        <f t="shared" si="86"/>
        <v>13.169315677379528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444.7374543517015</v>
      </c>
      <c r="H80" s="70">
        <f t="shared" si="56"/>
        <v>393.67722147143598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54.970220527721665</v>
      </c>
      <c r="T80" s="62">
        <f t="shared" si="88"/>
        <v>326.57367524399677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25.492069448019453</v>
      </c>
      <c r="AA80" s="23">
        <f>EXP(-LN(2)/25)*AA79+(1-EXP(-LN(2)/25))/(LN(2)/25)*Calculateur!V80*Calculateur!X80*VLOOKUP('Données projet'!$B$9,Paramètres!$A$1:$I$89,3,0)*0.475*44/12</f>
        <v>4.3395038571727387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29.831573305192194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74.926559033177455</v>
      </c>
      <c r="AO80" s="62">
        <f t="shared" si="90"/>
        <v>430.78114872558075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33.266246655571521</v>
      </c>
      <c r="AV80" s="23">
        <f>EXP(-LN(2)/25)*AV79+(1-EXP(-LN(2)/25))/(LN(2)/25)*Calculateur!AQ80*Calculateur!AS80*VLOOKUP('Données projet'!$B$10,Paramètres!$A$1:$I$89,3,0)*0.475*44/12</f>
        <v>5.6628986504949186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38.929145306066438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60.31958470054127</v>
      </c>
      <c r="BJ80" s="62">
        <f t="shared" si="92"/>
        <v>354.50173999733266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27.571209863992706</v>
      </c>
      <c r="BQ80" s="23">
        <f>EXP(-LN(2)/25)*BQ79+(1-EXP(-LN(2)/25))/(LN(2)/25)*Calculateur!BL80*Calculateur!BN80*VLOOKUP('Données projet'!$B$11,Paramètres!$A$1:$I$89,3,0)*0.475*44/12</f>
        <v>4.693435022828667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32.264644886821372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74.926559033177455</v>
      </c>
      <c r="CE80" s="62">
        <f t="shared" si="94"/>
        <v>430.78114872558075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33.266246655571521</v>
      </c>
      <c r="CL80" s="23">
        <f>EXP(-LN(2)/25)*CL79+(1-EXP(-LN(2)/25))/(LN(2)/25)*Calculateur!CG80*Calculateur!CI80*VLOOKUP('Données projet'!$B$12,Paramètres!$A$1:$I$89,3,0)*0.475*44/12</f>
        <v>5.6628986504949186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38.929145306066438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45.021599999999978</v>
      </c>
      <c r="D81" s="12">
        <f t="shared" si="86"/>
        <v>13.3203241739922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450.35871292204484</v>
      </c>
      <c r="H81" s="70">
        <f t="shared" si="56"/>
        <v>394.9455179363697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54.970220527721665</v>
      </c>
      <c r="T81" s="62">
        <f t="shared" si="88"/>
        <v>326.57367524399677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24.992185514770856</v>
      </c>
      <c r="AA81" s="23">
        <f>EXP(-LN(2)/25)*AA80+(1-EXP(-LN(2)/25))/(LN(2)/25)*Calculateur!V81*Calculateur!X81*VLOOKUP('Données projet'!$B$9,Paramètres!$A$1:$I$89,3,0)*0.475*44/12</f>
        <v>4.2208398959937607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29.213025410764615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74.926559033177455</v>
      </c>
      <c r="AO81" s="62">
        <f t="shared" si="90"/>
        <v>430.78114872558075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32.613915849062714</v>
      </c>
      <c r="AV81" s="23">
        <f>EXP(-LN(2)/25)*AV80+(1-EXP(-LN(2)/25))/(LN(2)/25)*Calculateur!AQ81*Calculateur!AS81*VLOOKUP('Données projet'!$B$10,Paramètres!$A$1:$I$89,3,0)*0.475*44/12</f>
        <v>5.5080463890982374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38.121962238160954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60.31958470054127</v>
      </c>
      <c r="BJ81" s="62">
        <f t="shared" si="92"/>
        <v>354.50173999733266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27.030555255337308</v>
      </c>
      <c r="BQ81" s="23">
        <f>EXP(-LN(2)/25)*BQ80+(1-EXP(-LN(2)/25))/(LN(2)/25)*Calculateur!BL81*Calculateur!BN81*VLOOKUP('Données projet'!$B$11,Paramètres!$A$1:$I$89,3,0)*0.475*44/12</f>
        <v>4.5650927953123963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31.595648050649704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74.926559033177455</v>
      </c>
      <c r="CE81" s="62">
        <f t="shared" si="94"/>
        <v>430.78114872558075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32.613915849062714</v>
      </c>
      <c r="CL81" s="23">
        <f>EXP(-LN(2)/25)*CL80+(1-EXP(-LN(2)/25))/(LN(2)/25)*Calculateur!CG81*Calculateur!CI81*VLOOKUP('Données projet'!$B$12,Paramètres!$A$1:$I$89,3,0)*0.475*44/12</f>
        <v>5.5080463890982374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38.121962238160954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45.598799999999976</v>
      </c>
      <c r="D82" s="12">
        <f t="shared" si="86"/>
        <v>13.471107481003459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455.97823318669322</v>
      </c>
      <c r="H82" s="70">
        <f t="shared" si="56"/>
        <v>396.21342219608096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54.970220527721665</v>
      </c>
      <c r="T82" s="62">
        <f t="shared" si="88"/>
        <v>326.57367524399677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24.502104000554169</v>
      </c>
      <c r="AA82" s="23">
        <f>EXP(-LN(2)/25)*AA81+(1-EXP(-LN(2)/25))/(LN(2)/25)*Calculateur!V82*Calculateur!X82*VLOOKUP('Données projet'!$B$9,Paramètres!$A$1:$I$89,3,0)*0.475*44/12</f>
        <v>4.1054208070734877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28.607524807627655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74.926559033177455</v>
      </c>
      <c r="AO82" s="62">
        <f t="shared" si="90"/>
        <v>430.78114872558075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31.974376851787039</v>
      </c>
      <c r="AV82" s="23">
        <f>EXP(-LN(2)/25)*AV81+(1-EXP(-LN(2)/25))/(LN(2)/25)*Calculateur!AQ82*Calculateur!AS82*VLOOKUP('Données projet'!$B$10,Paramètres!$A$1:$I$89,3,0)*0.475*44/12</f>
        <v>5.3574285709327754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37.33180542271981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60.31958470054127</v>
      </c>
      <c r="BJ82" s="62">
        <f t="shared" si="92"/>
        <v>354.50173999733266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26.500502553790891</v>
      </c>
      <c r="BQ82" s="23">
        <f>EXP(-LN(2)/25)*BQ81+(1-EXP(-LN(2)/25))/(LN(2)/25)*Calculateur!BL82*Calculateur!BN82*VLOOKUP('Données projet'!$B$11,Paramètres!$A$1:$I$89,3,0)*0.475*44/12</f>
        <v>4.4402600927567821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30.940762646547675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74.926559033177455</v>
      </c>
      <c r="CE82" s="62">
        <f t="shared" si="94"/>
        <v>430.78114872558075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31.974376851787039</v>
      </c>
      <c r="CL82" s="23">
        <f>EXP(-LN(2)/25)*CL81+(1-EXP(-LN(2)/25))/(LN(2)/25)*Calculateur!CG82*Calculateur!CI82*VLOOKUP('Données projet'!$B$12,Paramètres!$A$1:$I$89,3,0)*0.475*44/12</f>
        <v>5.3574285709327754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37.33180542271981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46.175999999999974</v>
      </c>
      <c r="D83" s="12">
        <f t="shared" si="86"/>
        <v>13.621668778540482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461.59603969399654</v>
      </c>
      <c r="H83" s="70">
        <f t="shared" si="56"/>
        <v>397.48093978929126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54.970220527721665</v>
      </c>
      <c r="T83" s="62">
        <f t="shared" si="88"/>
        <v>326.57367524399677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24.021632685911065</v>
      </c>
      <c r="AA83" s="23">
        <f>EXP(-LN(2)/25)*AA82+(1-EXP(-LN(2)/25))/(LN(2)/25)*Calculateur!V83*Calculateur!X83*VLOOKUP('Données projet'!$B$9,Paramètres!$A$1:$I$89,3,0)*0.475*44/12</f>
        <v>3.9931578592093659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28.01479054512043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74.926559033177455</v>
      </c>
      <c r="AO83" s="62">
        <f t="shared" si="90"/>
        <v>430.78114872558075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31.347378824167667</v>
      </c>
      <c r="AV83" s="23">
        <f>EXP(-LN(2)/25)*AV82+(1-EXP(-LN(2)/25))/(LN(2)/25)*Calculateur!AQ83*Calculateur!AS83*VLOOKUP('Données projet'!$B$10,Paramètres!$A$1:$I$89,3,0)*0.475*44/12</f>
        <v>5.2109294049256949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36.558308229093363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60.31958470054127</v>
      </c>
      <c r="BJ83" s="62">
        <f t="shared" si="92"/>
        <v>354.50173999733266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25.980843862421576</v>
      </c>
      <c r="BQ83" s="23">
        <f>EXP(-LN(2)/25)*BQ82+(1-EXP(-LN(2)/25))/(LN(2)/25)*Calculateur!BL83*Calculateur!BN83*VLOOKUP('Données projet'!$B$11,Paramètres!$A$1:$I$89,3,0)*0.475*44/12</f>
        <v>4.3188409470172182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30.299684809438794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74.926559033177455</v>
      </c>
      <c r="CE83" s="62">
        <f t="shared" si="94"/>
        <v>430.78114872558075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31.347378824167667</v>
      </c>
      <c r="CL83" s="23">
        <f>EXP(-LN(2)/25)*CL82+(1-EXP(-LN(2)/25))/(LN(2)/25)*Calculateur!CG83*Calculateur!CI83*VLOOKUP('Données projet'!$B$12,Paramètres!$A$1:$I$89,3,0)*0.475*44/12</f>
        <v>5.2109294049256949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36.558308229093363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46.753199999999971</v>
      </c>
      <c r="D84" s="12">
        <f t="shared" si="86"/>
        <v>13.772011162654831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467.21215634330019</v>
      </c>
      <c r="H84" s="70">
        <f t="shared" si="56"/>
        <v>398.74807610829043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54.970220527721665</v>
      </c>
      <c r="T84" s="62">
        <f t="shared" si="88"/>
        <v>326.57367524399677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23.550583120689549</v>
      </c>
      <c r="AA84" s="23">
        <f>EXP(-LN(2)/25)*AA83+(1-EXP(-LN(2)/25))/(LN(2)/25)*Calculateur!V84*Calculateur!X84*VLOOKUP('Données projet'!$B$9,Paramètres!$A$1:$I$89,3,0)*0.475*44/12</f>
        <v>3.8839647475582404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27.43454786824779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74.926559033177455</v>
      </c>
      <c r="AO84" s="62">
        <f t="shared" si="90"/>
        <v>430.78114872558075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30.732675845438877</v>
      </c>
      <c r="AV84" s="23">
        <f>EXP(-LN(2)/25)*AV83+(1-EXP(-LN(2)/25))/(LN(2)/25)*Calculateur!AQ84*Calculateur!AS84*VLOOKUP('Données projet'!$B$10,Paramètres!$A$1:$I$89,3,0)*0.475*44/12</f>
        <v>5.0684362663171338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35.801112111756012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60.31958470054127</v>
      </c>
      <c r="BJ84" s="62">
        <f t="shared" si="92"/>
        <v>354.50173999733266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25.471375361029509</v>
      </c>
      <c r="BQ84" s="23">
        <f>EXP(-LN(2)/25)*BQ83+(1-EXP(-LN(2)/25))/(LN(2)/25)*Calculateur!BL84*Calculateur!BN84*VLOOKUP('Données projet'!$B$11,Paramètres!$A$1:$I$89,3,0)*0.475*44/12</f>
        <v>4.2007420142030583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29.672117375232567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74.926559033177455</v>
      </c>
      <c r="CE84" s="62">
        <f t="shared" si="94"/>
        <v>430.78114872558075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30.732675845438877</v>
      </c>
      <c r="CL84" s="23">
        <f>EXP(-LN(2)/25)*CL83+(1-EXP(-LN(2)/25))/(LN(2)/25)*Calculateur!CG84*Calculateur!CI84*VLOOKUP('Données projet'!$B$12,Paramètres!$A$1:$I$89,3,0)*0.475*44/12</f>
        <v>5.0684362663171338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35.801112111756012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47.330399999999969</v>
      </c>
      <c r="D85" s="12">
        <f t="shared" si="86"/>
        <v>13.922137648555204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472.82660640989963</v>
      </c>
      <c r="H85" s="70">
        <f t="shared" si="56"/>
        <v>400.01483640456689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54.970220527721665</v>
      </c>
      <c r="T85" s="62">
        <f t="shared" si="88"/>
        <v>326.57367524399677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23.08877055013016</v>
      </c>
      <c r="AA85" s="23">
        <f>EXP(-LN(2)/25)*AA84+(1-EXP(-LN(2)/25))/(LN(2)/25)*Calculateur!V85*Calculateur!X85*VLOOKUP('Données projet'!$B$9,Paramètres!$A$1:$I$89,3,0)*0.475*44/12</f>
        <v>3.7777575272874313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26.866528077417591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74.926559033177455</v>
      </c>
      <c r="AO85" s="62">
        <f t="shared" si="90"/>
        <v>430.78114872558075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30.130026817191162</v>
      </c>
      <c r="AV85" s="23">
        <f>EXP(-LN(2)/25)*AV84+(1-EXP(-LN(2)/25))/(LN(2)/25)*Calculateur!AQ85*Calculateur!AS85*VLOOKUP('Données projet'!$B$10,Paramètres!$A$1:$I$89,3,0)*0.475*44/12</f>
        <v>4.9298396100772131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35.059866427268375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60.31958470054127</v>
      </c>
      <c r="BJ85" s="62">
        <f t="shared" si="92"/>
        <v>354.50173999733266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24.971897226204636</v>
      </c>
      <c r="BQ85" s="23">
        <f>EXP(-LN(2)/25)*BQ84+(1-EXP(-LN(2)/25))/(LN(2)/25)*Calculateur!BL85*Calculateur!BN85*VLOOKUP('Données projet'!$B$11,Paramètres!$A$1:$I$89,3,0)*0.475*44/12</f>
        <v>4.0858725029172538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29.05776972912189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74.926559033177455</v>
      </c>
      <c r="CE85" s="62">
        <f t="shared" si="94"/>
        <v>430.78114872558075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30.130026817191162</v>
      </c>
      <c r="CL85" s="23">
        <f>EXP(-LN(2)/25)*CL84+(1-EXP(-LN(2)/25))/(LN(2)/25)*Calculateur!CG85*Calculateur!CI85*VLOOKUP('Données projet'!$B$12,Paramètres!$A$1:$I$89,3,0)*0.475*44/12</f>
        <v>4.9298396100772131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35.059866427268375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47.907599999999967</v>
      </c>
      <c r="D86" s="12">
        <f t="shared" si="86"/>
        <v>14.072051173677968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478.439412568742</v>
      </c>
      <c r="H86" s="70">
        <f t="shared" si="56"/>
        <v>401.28122579415572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54.970220527721665</v>
      </c>
      <c r="T86" s="62">
        <f t="shared" si="88"/>
        <v>326.57367524399677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22.636013842401585</v>
      </c>
      <c r="AA86" s="23">
        <f>EXP(-LN(2)/25)*AA85+(1-EXP(-LN(2)/25))/(LN(2)/25)*Calculateur!V86*Calculateur!X86*VLOOKUP('Données projet'!$B$9,Paramètres!$A$1:$I$89,3,0)*0.475*44/12</f>
        <v>3.6744545490401221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26.310468391441706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74.926559033177455</v>
      </c>
      <c r="AO86" s="62">
        <f t="shared" si="90"/>
        <v>430.78114872558075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29.539195368807775</v>
      </c>
      <c r="AV86" s="23">
        <f>EXP(-LN(2)/25)*AV85+(1-EXP(-LN(2)/25))/(LN(2)/25)*Calculateur!AQ86*Calculateur!AS86*VLOOKUP('Données projet'!$B$10,Paramètres!$A$1:$I$89,3,0)*0.475*44/12</f>
        <v>4.7950328866906542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34.334228255498431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60.31958470054127</v>
      </c>
      <c r="BJ86" s="62">
        <f t="shared" si="92"/>
        <v>354.50173999733266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24.4822135529521</v>
      </c>
      <c r="BQ86" s="23">
        <f>EXP(-LN(2)/25)*BQ85+(1-EXP(-LN(2)/25))/(LN(2)/25)*Calculateur!BL86*Calculateur!BN86*VLOOKUP('Données projet'!$B$11,Paramètres!$A$1:$I$89,3,0)*0.475*44/12</f>
        <v>3.974144104458285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28.456357657410386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74.926559033177455</v>
      </c>
      <c r="CE86" s="62">
        <f t="shared" si="94"/>
        <v>430.78114872558075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29.539195368807775</v>
      </c>
      <c r="CL86" s="23">
        <f>EXP(-LN(2)/25)*CL85+(1-EXP(-LN(2)/25))/(LN(2)/25)*Calculateur!CG86*Calculateur!CI86*VLOOKUP('Données projet'!$B$12,Paramètres!$A$1:$I$89,3,0)*0.475*44/12</f>
        <v>4.7950328866906542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34.334228255498431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48.484799999999964</v>
      </c>
      <c r="D87" s="12">
        <f t="shared" si="86"/>
        <v>14.22175460060549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484.05059691695442</v>
      </c>
      <c r="H87" s="70">
        <f t="shared" si="56"/>
        <v>402.54724926272115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54.970220527721665</v>
      </c>
      <c r="T87" s="62">
        <f t="shared" si="88"/>
        <v>326.57367524399677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22.192135417557246</v>
      </c>
      <c r="AA87" s="23">
        <f>EXP(-LN(2)/25)*AA86+(1-EXP(-LN(2)/25))/(LN(2)/25)*Calculateur!V87*Calculateur!X87*VLOOKUP('Données projet'!$B$9,Paramètres!$A$1:$I$89,3,0)*0.475*44/12</f>
        <v>3.5739763961654534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25.766111813722699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74.926559033177455</v>
      </c>
      <c r="AO87" s="62">
        <f t="shared" si="90"/>
        <v>430.78114872558075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28.959949764755585</v>
      </c>
      <c r="AV87" s="23">
        <f>EXP(-LN(2)/25)*AV86+(1-EXP(-LN(2)/25))/(LN(2)/25)*Calculateur!AQ87*Calculateur!AS87*VLOOKUP('Données projet'!$B$10,Paramètres!$A$1:$I$89,3,0)*0.475*44/12</f>
        <v>4.6639124602442781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33.623862224999861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60.31958470054127</v>
      </c>
      <c r="BJ87" s="62">
        <f t="shared" si="92"/>
        <v>354.50173999733266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24.002132277854496</v>
      </c>
      <c r="BQ87" s="23">
        <f>EXP(-LN(2)/25)*BQ86+(1-EXP(-LN(2)/25))/(LN(2)/25)*Calculateur!BL87*Calculateur!BN87*VLOOKUP('Données projet'!$B$11,Paramètres!$A$1:$I$89,3,0)*0.475*44/12</f>
        <v>3.865470924930718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27.867603202785215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74.926559033177455</v>
      </c>
      <c r="CE87" s="62">
        <f t="shared" si="94"/>
        <v>430.78114872558075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28.959949764755585</v>
      </c>
      <c r="CL87" s="23">
        <f>EXP(-LN(2)/25)*CL86+(1-EXP(-LN(2)/25))/(LN(2)/25)*Calculateur!CG87*Calculateur!CI87*VLOOKUP('Données projet'!$B$12,Paramètres!$A$1:$I$89,3,0)*0.475*44/12</f>
        <v>4.6639124602442781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33.623862224999861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49.061999999999962</v>
      </c>
      <c r="D88" s="12">
        <f t="shared" si="86"/>
        <v>14.371250719841598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489.66018099526826</v>
      </c>
      <c r="H88" s="70">
        <f t="shared" si="56"/>
        <v>403.81291167039069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54.970220527721665</v>
      </c>
      <c r="T88" s="62">
        <f t="shared" si="88"/>
        <v>326.57367524399677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21.756961177884996</v>
      </c>
      <c r="AA88" s="23">
        <f>EXP(-LN(2)/25)*AA87+(1-EXP(-LN(2)/25))/(LN(2)/25)*Calculateur!V88*Calculateur!X88*VLOOKUP('Données projet'!$B$9,Paramètres!$A$1:$I$89,3,0)*0.475*44/12</f>
        <v>3.4762458236650589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25.233207001550056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74.926559033177455</v>
      </c>
      <c r="AO88" s="62">
        <f t="shared" si="90"/>
        <v>430.78114872558075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28.392062813693926</v>
      </c>
      <c r="AV88" s="23">
        <f>EXP(-LN(2)/25)*AV87+(1-EXP(-LN(2)/25))/(LN(2)/25)*Calculateur!AQ88*Calculateur!AS88*VLOOKUP('Données projet'!$B$10,Paramètres!$A$1:$I$89,3,0)*0.475*44/12</f>
        <v>4.5363775287544019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32.928440342448326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60.31958470054127</v>
      </c>
      <c r="BJ88" s="62">
        <f t="shared" si="92"/>
        <v>354.50173999733266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23.531465103740892</v>
      </c>
      <c r="BQ88" s="23">
        <f>EXP(-LN(2)/25)*BQ87+(1-EXP(-LN(2)/25))/(LN(2)/25)*Calculateur!BL88*Calculateur!BN88*VLOOKUP('Données projet'!$B$11,Paramètres!$A$1:$I$89,3,0)*0.475*44/12</f>
        <v>3.7597694192122062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27.291234522953097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74.926559033177455</v>
      </c>
      <c r="CE88" s="62">
        <f t="shared" si="94"/>
        <v>430.78114872558075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28.392062813693926</v>
      </c>
      <c r="CL88" s="23">
        <f>EXP(-LN(2)/25)*CL87+(1-EXP(-LN(2)/25))/(LN(2)/25)*Calculateur!CG88*Calculateur!CI88*VLOOKUP('Données projet'!$B$12,Paramètres!$A$1:$I$89,3,0)*0.475*44/12</f>
        <v>4.5363775287544019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32.928440342448326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49.63919999999996</v>
      </c>
      <c r="D89" s="12">
        <f t="shared" si="86"/>
        <v>14.520542252452634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495.26818580840592</v>
      </c>
      <c r="H89" s="70">
        <f t="shared" si="56"/>
        <v>405.07821775635489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54.970220527721665</v>
      </c>
      <c r="T89" s="62">
        <f t="shared" si="88"/>
        <v>326.57367524399677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21.330320439622643</v>
      </c>
      <c r="AA89" s="23">
        <f>EXP(-LN(2)/25)*AA88+(1-EXP(-LN(2)/25))/(LN(2)/25)*Calculateur!V89*Calculateur!X89*VLOOKUP('Données projet'!$B$9,Paramètres!$A$1:$I$89,3,0)*0.475*44/12</f>
        <v>3.3811876988091152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24.711508138431757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74.926559033177455</v>
      </c>
      <c r="AO89" s="62">
        <f t="shared" si="90"/>
        <v>430.78114872558075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27.83531177936575</v>
      </c>
      <c r="AV89" s="23">
        <f>EXP(-LN(2)/25)*AV88+(1-EXP(-LN(2)/25))/(LN(2)/25)*Calculateur!AQ89*Calculateur!AS89*VLOOKUP('Données projet'!$B$10,Paramètres!$A$1:$I$89,3,0)*0.475*44/12</f>
        <v>4.4123300466728868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32.247641826038638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60.31958470054127</v>
      </c>
      <c r="BJ89" s="62">
        <f t="shared" si="92"/>
        <v>354.50173999733266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23.070027425833029</v>
      </c>
      <c r="BQ89" s="23">
        <f>EXP(-LN(2)/25)*BQ88+(1-EXP(-LN(2)/25))/(LN(2)/25)*Calculateur!BL89*Calculateur!BN89*VLOOKUP('Données projet'!$B$11,Paramètres!$A$1:$I$89,3,0)*0.475*44/12</f>
        <v>3.6569583267261678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26.726985752559198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74.926559033177455</v>
      </c>
      <c r="CE89" s="62">
        <f t="shared" si="94"/>
        <v>430.78114872558075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27.83531177936575</v>
      </c>
      <c r="CL89" s="23">
        <f>EXP(-LN(2)/25)*CL88+(1-EXP(-LN(2)/25))/(LN(2)/25)*Calculateur!CG89*Calculateur!CI89*VLOOKUP('Données projet'!$B$12,Paramètres!$A$1:$I$89,3,0)*0.475*44/12</f>
        <v>4.4123300466728868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32.247641826038638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50.216399999999958</v>
      </c>
      <c r="D90" s="12">
        <f t="shared" si="86"/>
        <v>14.669631852582198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500.87463184449388</v>
      </c>
      <c r="H90" s="70">
        <f t="shared" si="56"/>
        <v>406.34317214324722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54.970220527721665</v>
      </c>
      <c r="T90" s="62">
        <f t="shared" si="88"/>
        <v>326.57367524399677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20.912045866012459</v>
      </c>
      <c r="AA90" s="23">
        <f>EXP(-LN(2)/25)*AA89+(1-EXP(-LN(2)/25))/(LN(2)/25)*Calculateur!V90*Calculateur!X90*VLOOKUP('Données projet'!$B$9,Paramètres!$A$1:$I$89,3,0)*0.475*44/12</f>
        <v>3.2887289433762468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24.200774809388705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74.926559033177455</v>
      </c>
      <c r="AO90" s="62">
        <f t="shared" si="90"/>
        <v>430.78114872558075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27.289478293236147</v>
      </c>
      <c r="AV90" s="23">
        <f>EXP(-LN(2)/25)*AV89+(1-EXP(-LN(2)/25))/(LN(2)/25)*Calculateur!AQ90*Calculateur!AS90*VLOOKUP('Données projet'!$B$10,Paramètres!$A$1:$I$89,3,0)*0.475*44/12</f>
        <v>4.291674649512264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31.58115294274841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60.31958470054127</v>
      </c>
      <c r="BJ90" s="62">
        <f t="shared" si="92"/>
        <v>354.50173999733266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22.617638259339746</v>
      </c>
      <c r="BQ90" s="23">
        <f>EXP(-LN(2)/25)*BQ89+(1-EXP(-LN(2)/25))/(LN(2)/25)*Calculateur!BL90*Calculateur!BN90*VLOOKUP('Données projet'!$B$11,Paramètres!$A$1:$I$89,3,0)*0.475*44/12</f>
        <v>3.5569586089707603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26.174596868310505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74.926559033177455</v>
      </c>
      <c r="CE90" s="62">
        <f t="shared" si="94"/>
        <v>430.78114872558075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27.289478293236147</v>
      </c>
      <c r="CL90" s="23">
        <f>EXP(-LN(2)/25)*CL89+(1-EXP(-LN(2)/25))/(LN(2)/25)*Calculateur!CG90*Calculateur!CI90*VLOOKUP('Données projet'!$B$12,Paramètres!$A$1:$I$89,3,0)*0.475*44/12</f>
        <v>4.291674649512264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31.58115294274841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50.793599999999955</v>
      </c>
      <c r="D91" s="12">
        <f t="shared" si="86"/>
        <v>14.818522109847001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506.47953909355539</v>
      </c>
      <c r="H91" s="70">
        <f t="shared" si="56"/>
        <v>407.60777934131676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54.970220527721665</v>
      </c>
      <c r="T91" s="62">
        <f t="shared" si="88"/>
        <v>326.57367524399677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20.501973401668472</v>
      </c>
      <c r="AA91" s="23">
        <f>EXP(-LN(2)/25)*AA90+(1-EXP(-LN(2)/25))/(LN(2)/25)*Calculateur!V91*Calculateur!X91*VLOOKUP('Données projet'!$B$9,Paramètres!$A$1:$I$89,3,0)*0.475*44/12</f>
        <v>3.1987984774728848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23.700771879141357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74.926559033177455</v>
      </c>
      <c r="AO91" s="62">
        <f t="shared" si="90"/>
        <v>430.78114872558075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26.754348268843994</v>
      </c>
      <c r="AV91" s="23">
        <f>EXP(-LN(2)/25)*AV90+(1-EXP(-LN(2)/25))/(LN(2)/25)*Calculateur!AQ91*Calculateur!AS91*VLOOKUP('Données projet'!$B$10,Paramètres!$A$1:$I$89,3,0)*0.475*44/12</f>
        <v>4.17431858053199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30.928666849375986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60.31958470054127</v>
      </c>
      <c r="BJ91" s="62">
        <f t="shared" si="92"/>
        <v>354.50173999733266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22.174120168471248</v>
      </c>
      <c r="BQ91" s="23">
        <f>EXP(-LN(2)/25)*BQ90+(1-EXP(-LN(2)/25))/(LN(2)/25)*Calculateur!BL91*Calculateur!BN91*VLOOKUP('Données projet'!$B$11,Paramètres!$A$1:$I$89,3,0)*0.475*44/12</f>
        <v>3.459693388756131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25.633813557227377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74.926559033177455</v>
      </c>
      <c r="CE91" s="62">
        <f t="shared" si="94"/>
        <v>430.78114872558075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26.754348268843994</v>
      </c>
      <c r="CL91" s="23">
        <f>EXP(-LN(2)/25)*CL90+(1-EXP(-LN(2)/25))/(LN(2)/25)*Calculateur!CG91*Calculateur!CI91*VLOOKUP('Données projet'!$B$12,Paramètres!$A$1:$I$89,3,0)*0.475*44/12</f>
        <v>4.17431858053199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30.928666849375986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51.370799999999953</v>
      </c>
      <c r="D92" s="12">
        <f t="shared" si="86"/>
        <v>14.967215551620642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512.08292706514158</v>
      </c>
      <c r="H92" s="70">
        <f t="shared" si="56"/>
        <v>408.87204375240583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54.970220527721665</v>
      </c>
      <c r="T92" s="62">
        <f t="shared" si="88"/>
        <v>326.57367524399677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20.099942208230765</v>
      </c>
      <c r="AA92" s="23">
        <f>EXP(-LN(2)/25)*AA91+(1-EXP(-LN(2)/25))/(LN(2)/25)*Calculateur!V92*Calculateur!X92*VLOOKUP('Données projet'!$B$9,Paramètres!$A$1:$I$89,3,0)*0.475*44/12</f>
        <v>3.1113271648888876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23.211269373119652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74.926559033177455</v>
      </c>
      <c r="AO92" s="62">
        <f t="shared" si="90"/>
        <v>430.78114872558075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26.229711817833085</v>
      </c>
      <c r="AV92" s="23">
        <f>EXP(-LN(2)/25)*AV91+(1-EXP(-LN(2)/25))/(LN(2)/25)*Calculateur!AQ92*Calculateur!AS92*VLOOKUP('Données projet'!$B$10,Paramètres!$A$1:$I$89,3,0)*0.475*44/12</f>
        <v>4.060171619429469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30.289883437262553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60.31958470054127</v>
      </c>
      <c r="BJ92" s="62">
        <f t="shared" si="92"/>
        <v>354.50173999733266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21.739299196845359</v>
      </c>
      <c r="BQ92" s="23">
        <f>EXP(-LN(2)/25)*BQ91+(1-EXP(-LN(2)/25))/(LN(2)/25)*Calculateur!BL92*Calculateur!BN92*VLOOKUP('Données projet'!$B$11,Paramètres!$A$1:$I$89,3,0)*0.475*44/12</f>
        <v>3.3650878911032267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25.104387087948584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74.926559033177455</v>
      </c>
      <c r="CE92" s="62">
        <f t="shared" si="94"/>
        <v>430.78114872558075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26.229711817833085</v>
      </c>
      <c r="CL92" s="23">
        <f>EXP(-LN(2)/25)*CL91+(1-EXP(-LN(2)/25))/(LN(2)/25)*Calculateur!CG92*Calculateur!CI92*VLOOKUP('Données projet'!$B$12,Paramètres!$A$1:$I$89,3,0)*0.475*44/12</f>
        <v>4.060171619429469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30.289883437262553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51.947999999999951</v>
      </c>
      <c r="D93" s="12">
        <f t="shared" si="86"/>
        <v>15.115714645211879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517.68481480514401</v>
      </c>
      <c r="H93" s="70">
        <f t="shared" si="56"/>
        <v>410.13596967374394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54.970220527721665</v>
      </c>
      <c r="T93" s="62">
        <f t="shared" si="88"/>
        <v>326.57367524399677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19.705794601281557</v>
      </c>
      <c r="AA93" s="23">
        <f>EXP(-LN(2)/25)*AA92+(1-EXP(-LN(2)/25))/(LN(2)/25)*Calculateur!V93*Calculateur!X93*VLOOKUP('Données projet'!$B$9,Paramètres!$A$1:$I$89,3,0)*0.475*44/12</f>
        <v>3.0262477599474162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22.732042361228974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74.926559033177455</v>
      </c>
      <c r="AO93" s="62">
        <f t="shared" si="90"/>
        <v>430.78114872558075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25.71536316762986</v>
      </c>
      <c r="AV93" s="23">
        <f>EXP(-LN(2)/25)*AV92+(1-EXP(-LN(2)/25))/(LN(2)/25)*Calculateur!AQ93*Calculateur!AS93*VLOOKUP('Données projet'!$B$10,Paramètres!$A$1:$I$89,3,0)*0.475*44/12</f>
        <v>3.9491460129810245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29.664509180610885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60.31958470054127</v>
      </c>
      <c r="BJ93" s="62">
        <f t="shared" si="92"/>
        <v>354.50173999733266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21.313004799258447</v>
      </c>
      <c r="BQ93" s="23">
        <f>EXP(-LN(2)/25)*BQ92+(1-EXP(-LN(2)/25))/(LN(2)/25)*Calculateur!BL93*Calculateur!BN93*VLOOKUP('Données projet'!$B$11,Paramètres!$A$1:$I$89,3,0)*0.475*44/12</f>
        <v>3.2730693857587276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24.586074185017175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74.926559033177455</v>
      </c>
      <c r="CE93" s="62">
        <f t="shared" si="94"/>
        <v>430.78114872558075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25.71536316762986</v>
      </c>
      <c r="CL93" s="23">
        <f>EXP(-LN(2)/25)*CL92+(1-EXP(-LN(2)/25))/(LN(2)/25)*Calculateur!CG93*Calculateur!CI93*VLOOKUP('Données projet'!$B$12,Paramètres!$A$1:$I$89,3,0)*0.475*44/12</f>
        <v>3.9491460129810245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29.664509180610885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52.525199999999948</v>
      </c>
      <c r="D94" s="12">
        <f t="shared" si="86"/>
        <v>15.26402179994329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523.28522091184254</v>
      </c>
      <c r="H94" s="70">
        <f t="shared" si="56"/>
        <v>411.39956130156776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54.970220527721665</v>
      </c>
      <c r="T94" s="62">
        <f t="shared" si="88"/>
        <v>326.57367524399677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19.319375988498319</v>
      </c>
      <c r="AA94" s="23">
        <f>EXP(-LN(2)/25)*AA93+(1-EXP(-LN(2)/25))/(LN(2)/25)*Calculateur!V94*Calculateur!X94*VLOOKUP('Données projet'!$B$9,Paramètres!$A$1:$I$89,3,0)*0.475*44/12</f>
        <v>2.943494855808201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22.262870844306519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74.926559033177455</v>
      </c>
      <c r="AO94" s="62">
        <f t="shared" si="90"/>
        <v>430.78114872558075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25.211100580735422</v>
      </c>
      <c r="AV94" s="23">
        <f>EXP(-LN(2)/25)*AV93+(1-EXP(-LN(2)/25))/(LN(2)/25)*Calculateur!AQ94*Calculateur!AS94*VLOOKUP('Données projet'!$B$10,Paramètres!$A$1:$I$89,3,0)*0.475*44/12</f>
        <v>3.8411564075794953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29.052256988314916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60.31958470054127</v>
      </c>
      <c r="BJ94" s="62">
        <f t="shared" si="92"/>
        <v>354.50173999733266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20.895069774794308</v>
      </c>
      <c r="BQ94" s="23">
        <f>EXP(-LN(2)/25)*BQ93+(1-EXP(-LN(2)/25))/(LN(2)/25)*Calculateur!BL94*Calculateur!BN94*VLOOKUP('Données projet'!$B$11,Paramètres!$A$1:$I$89,3,0)*0.475*44/12</f>
        <v>3.1835671312819169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24.078636906076227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74.926559033177455</v>
      </c>
      <c r="CE94" s="62">
        <f t="shared" si="94"/>
        <v>430.78114872558075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25.211100580735422</v>
      </c>
      <c r="CL94" s="23">
        <f>EXP(-LN(2)/25)*CL93+(1-EXP(-LN(2)/25))/(LN(2)/25)*Calculateur!CG94*Calculateur!CI94*VLOOKUP('Données projet'!$B$12,Paramètres!$A$1:$I$89,3,0)*0.475*44/12</f>
        <v>3.8411564075794953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29.052256988314916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53.102399999999946</v>
      </c>
      <c r="D95" s="12">
        <f t="shared" si="86"/>
        <v>15.41213936913595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528.88416355122445</v>
      </c>
      <c r="H95" s="70">
        <f t="shared" si="56"/>
        <v>412.6628227345783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54.970220527721665</v>
      </c>
      <c r="T95" s="62">
        <f t="shared" si="88"/>
        <v>326.57367524399677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18.940534809019681</v>
      </c>
      <c r="AA95" s="23">
        <f>EXP(-LN(2)/25)*AA94+(1-EXP(-LN(2)/25))/(LN(2)/25)*Calculateur!V95*Calculateur!X95*VLOOKUP('Données projet'!$B$9,Paramètres!$A$1:$I$89,3,0)*0.475*44/12</f>
        <v>2.8630048341844589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21.80353964320414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74.926559033177455</v>
      </c>
      <c r="AO95" s="62">
        <f t="shared" si="90"/>
        <v>430.78114872558075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24.716726275600177</v>
      </c>
      <c r="AV95" s="23">
        <f>EXP(-LN(2)/25)*AV94+(1-EXP(-LN(2)/25))/(LN(2)/25)*Calculateur!AQ95*Calculateur!AS95*VLOOKUP('Données projet'!$B$10,Paramètres!$A$1:$I$89,3,0)*0.475*44/12</f>
        <v>3.7361197836165978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28.452846059216775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60.31958470054127</v>
      </c>
      <c r="BJ95" s="62">
        <f t="shared" si="92"/>
        <v>354.50173999733266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20.485330201244718</v>
      </c>
      <c r="BQ95" s="23">
        <f>EXP(-LN(2)/25)*BQ94+(1-EXP(-LN(2)/25))/(LN(2)/25)*Calculateur!BL95*Calculateur!BN95*VLOOKUP('Données projet'!$B$11,Paramètres!$A$1:$I$89,3,0)*0.475*44/12</f>
        <v>3.0965123206604934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23.581842521905212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74.926559033177455</v>
      </c>
      <c r="CE95" s="62">
        <f t="shared" si="94"/>
        <v>430.78114872558075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24.716726275600177</v>
      </c>
      <c r="CL95" s="23">
        <f>EXP(-LN(2)/25)*CL94+(1-EXP(-LN(2)/25))/(LN(2)/25)*Calculateur!CG95*Calculateur!CI95*VLOOKUP('Données projet'!$B$12,Paramètres!$A$1:$I$89,3,0)*0.475*44/12</f>
        <v>3.7361197836165978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28.452846059216775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53.679599999999944</v>
      </c>
      <c r="D96" s="12">
        <f t="shared" si="86"/>
        <v>15.560069652005405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534.48166047162022</v>
      </c>
      <c r="H96" s="70">
        <f t="shared" si="56"/>
        <v>413.9257579772426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54.970220527721665</v>
      </c>
      <c r="T96" s="62">
        <f t="shared" si="88"/>
        <v>326.57367524399677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18.569122474000316</v>
      </c>
      <c r="AA96" s="23">
        <f>EXP(-LN(2)/25)*AA95+(1-EXP(-LN(2)/25))/(LN(2)/25)*Calculateur!V96*Calculateur!X96*VLOOKUP('Données projet'!$B$9,Paramètres!$A$1:$I$89,3,0)*0.475*44/12</f>
        <v>2.784715816434804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21.353838290435121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74.926559033177455</v>
      </c>
      <c r="AO96" s="62">
        <f t="shared" si="90"/>
        <v>430.78114872558075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24.232046349050083</v>
      </c>
      <c r="AV96" s="23">
        <f>EXP(-LN(2)/25)*AV95+(1-EXP(-LN(2)/25))/(LN(2)/25)*Calculateur!AQ96*Calculateur!AS96*VLOOKUP('Données projet'!$B$10,Paramètres!$A$1:$I$89,3,0)*0.475*44/12</f>
        <v>3.6339553916596015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27.866001740709684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60.31958470054127</v>
      </c>
      <c r="BJ96" s="62">
        <f t="shared" si="92"/>
        <v>354.50173999733266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20.08362537081597</v>
      </c>
      <c r="BQ96" s="23">
        <f>EXP(-LN(2)/25)*BQ95+(1-EXP(-LN(2)/25))/(LN(2)/25)*Calculateur!BL96*Calculateur!BN96*VLOOKUP('Données projet'!$B$11,Paramètres!$A$1:$I$89,3,0)*0.475*44/12</f>
        <v>3.0118380284135267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23.095463399229494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74.926559033177455</v>
      </c>
      <c r="CE96" s="62">
        <f t="shared" si="94"/>
        <v>430.78114872558075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24.232046349050083</v>
      </c>
      <c r="CL96" s="23">
        <f>EXP(-LN(2)/25)*CL95+(1-EXP(-LN(2)/25))/(LN(2)/25)*Calculateur!CG96*Calculateur!CI96*VLOOKUP('Données projet'!$B$12,Paramètres!$A$1:$I$89,3,0)*0.475*44/12</f>
        <v>3.6339553916596015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27.866001740709684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54.256799999999942</v>
      </c>
      <c r="D97" s="12">
        <f t="shared" si="86"/>
        <v>15.707814895473708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540.07772901769135</v>
      </c>
      <c r="H97" s="70">
        <f t="shared" si="56"/>
        <v>415.18837094294992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54.970220527721665</v>
      </c>
      <c r="T97" s="62">
        <f t="shared" si="88"/>
        <v>326.57367524399677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18.204993308331524</v>
      </c>
      <c r="AA97" s="23">
        <f>EXP(-LN(2)/25)*AA96+(1-EXP(-LN(2)/25))/(LN(2)/25)*Calculateur!V97*Calculateur!X97*VLOOKUP('Données projet'!$B$9,Paramètres!$A$1:$I$89,3,0)*0.475*44/12</f>
        <v>2.7085676159925542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20.913560924324077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74.926559033177455</v>
      </c>
      <c r="AO97" s="62">
        <f t="shared" si="90"/>
        <v>430.78114872558075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23.756870700234071</v>
      </c>
      <c r="AV97" s="23">
        <f>EXP(-LN(2)/25)*AV96+(1-EXP(-LN(2)/25))/(LN(2)/25)*Calculateur!AQ97*Calculateur!AS97*VLOOKUP('Données projet'!$B$10,Paramètres!$A$1:$I$89,3,0)*0.475*44/12</f>
        <v>3.534584690373261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27.291455390607332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60.31958470054127</v>
      </c>
      <c r="BJ97" s="62">
        <f t="shared" si="92"/>
        <v>354.50173999733266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19.689797727096177</v>
      </c>
      <c r="BQ97" s="23">
        <f>EXP(-LN(2)/25)*BQ96+(1-EXP(-LN(2)/25))/(LN(2)/25)*Calculateur!BL97*Calculateur!BN97*VLOOKUP('Données projet'!$B$11,Paramètres!$A$1:$I$89,3,0)*0.475*44/12</f>
        <v>2.9294791591408806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22.61927688623706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74.926559033177455</v>
      </c>
      <c r="CE97" s="62">
        <f t="shared" si="94"/>
        <v>430.78114872558075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23.756870700234071</v>
      </c>
      <c r="CL97" s="23">
        <f>EXP(-LN(2)/25)*CL96+(1-EXP(-LN(2)/25))/(LN(2)/25)*Calculateur!CG97*Calculateur!CI97*VLOOKUP('Données projet'!$B$12,Paramètres!$A$1:$I$89,3,0)*0.475*44/12</f>
        <v>3.534584690373261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27.291455390607332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54.833999999999939</v>
      </c>
      <c r="D98" s="12">
        <f t="shared" si="86"/>
        <v>15.855377295902153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545.67238614380562</v>
      </c>
      <c r="H98" s="70">
        <f t="shared" si="56"/>
        <v>416.45066545702946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54.970220527721665</v>
      </c>
      <c r="T98" s="62">
        <f t="shared" si="88"/>
        <v>326.57367524399677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17.848004493504636</v>
      </c>
      <c r="AA98" s="23">
        <f>EXP(-LN(2)/25)*AA97+(1-EXP(-LN(2)/25))/(LN(2)/25)*Calculateur!V98*Calculateur!X98*VLOOKUP('Données projet'!$B$9,Paramètres!$A$1:$I$89,3,0)*0.475*44/12</f>
        <v>2.6345016920958573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20.482506185600492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74.926559033177455</v>
      </c>
      <c r="AO98" s="62">
        <f t="shared" si="90"/>
        <v>430.78114872558075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23.291012956062815</v>
      </c>
      <c r="AV98" s="23">
        <f>EXP(-LN(2)/25)*AV97+(1-EXP(-LN(2)/25))/(LN(2)/25)*Calculateur!AQ98*Calculateur!AS98*VLOOKUP('Données projet'!$B$10,Paramètres!$A$1:$I$89,3,0)*0.475*44/12</f>
        <v>3.4379312861392735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26.72894424220209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60.31958470054127</v>
      </c>
      <c r="BJ98" s="62">
        <f t="shared" si="92"/>
        <v>354.50173999733266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19.303692803258585</v>
      </c>
      <c r="BQ98" s="23">
        <f>EXP(-LN(2)/25)*BQ97+(1-EXP(-LN(2)/25))/(LN(2)/25)*Calculateur!BL98*Calculateur!BN98*VLOOKUP('Données projet'!$B$11,Paramètres!$A$1:$I$89,3,0)*0.475*44/12</f>
        <v>2.8493723974795597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22.153065200738144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74.926559033177455</v>
      </c>
      <c r="CE98" s="62">
        <f t="shared" si="94"/>
        <v>430.78114872558075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23.291012956062815</v>
      </c>
      <c r="CL98" s="23">
        <f>EXP(-LN(2)/25)*CL97+(1-EXP(-LN(2)/25))/(LN(2)/25)*Calculateur!CG98*Calculateur!CI98*VLOOKUP('Données projet'!$B$12,Paramètres!$A$1:$I$89,3,0)*0.475*44/12</f>
        <v>3.4379312861392735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26.72894424220209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55.411199999999937</v>
      </c>
      <c r="D99" s="12">
        <f t="shared" si="86"/>
        <v>16.002759000749037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551.26564842683422</v>
      </c>
      <c r="H99" s="70">
        <f t="shared" si="56"/>
        <v>417.71264525963778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54.970220527721665</v>
      </c>
      <c r="T99" s="62">
        <f t="shared" si="88"/>
        <v>326.57367524399677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17.498016011594828</v>
      </c>
      <c r="AA99" s="23">
        <f>EXP(-LN(2)/25)*AA98+(1-EXP(-LN(2)/25))/(LN(2)/25)*Calculateur!V99*Calculateur!X99*VLOOKUP('Données projet'!$B$9,Paramètres!$A$1:$I$89,3,0)*0.475*44/12</f>
        <v>2.5624611047830732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20.0604771163779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74.926559033177455</v>
      </c>
      <c r="AO99" s="62">
        <f t="shared" si="90"/>
        <v>430.78114872558075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22.834290398109587</v>
      </c>
      <c r="AV99" s="23">
        <f>EXP(-LN(2)/25)*AV98+(1-EXP(-LN(2)/25))/(LN(2)/25)*Calculateur!AQ99*Calculateur!AS99*VLOOKUP('Données projet'!$B$10,Paramètres!$A$1:$I$89,3,0)*0.475*44/12</f>
        <v>3.3439208743268463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26.178211272436435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60.31958470054127</v>
      </c>
      <c r="BJ99" s="62">
        <f t="shared" si="92"/>
        <v>354.50173999733266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18.925159161476699</v>
      </c>
      <c r="BQ99" s="23">
        <f>EXP(-LN(2)/25)*BQ98+(1-EXP(-LN(2)/25))/(LN(2)/25)*Calculateur!BL99*Calculateur!BN99*VLOOKUP('Données projet'!$B$11,Paramètres!$A$1:$I$89,3,0)*0.475*44/12</f>
        <v>2.771456159428499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21.696615320905199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74.926559033177455</v>
      </c>
      <c r="CE99" s="62">
        <f t="shared" si="94"/>
        <v>430.78114872558075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22.834290398109587</v>
      </c>
      <c r="CL99" s="23">
        <f>EXP(-LN(2)/25)*CL98+(1-EXP(-LN(2)/25))/(LN(2)/25)*Calculateur!CG99*Calculateur!CI99*VLOOKUP('Données projet'!$B$12,Paramètres!$A$1:$I$89,3,0)*0.475*44/12</f>
        <v>3.3439208743268463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26.178211272436435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55.988399999999935</v>
      </c>
      <c r="D100" s="12">
        <f t="shared" si="86"/>
        <v>16.149962110156299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556.85753207839912</v>
      </c>
      <c r="H100" s="70">
        <f t="shared" si="56"/>
        <v>418.97431400852207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54.970220527721665</v>
      </c>
      <c r="T100" s="62">
        <f t="shared" si="88"/>
        <v>326.57367524399677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17.154890590343374</v>
      </c>
      <c r="AA100" s="23">
        <f>EXP(-LN(2)/25)*AA99+(1-EXP(-LN(2)/25))/(LN(2)/25)*Calculateur!V100*Calculateur!X100*VLOOKUP('Données projet'!$B$9,Paramètres!$A$1:$I$89,3,0)*0.475*44/12</f>
        <v>2.492390471118807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19.647281061462181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74.926559033177455</v>
      </c>
      <c r="AO100" s="62">
        <f t="shared" si="90"/>
        <v>430.78114872558075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22.38652389094457</v>
      </c>
      <c r="AV100" s="23">
        <f>EXP(-LN(2)/25)*AV99+(1-EXP(-LN(2)/25))/(LN(2)/25)*Calculateur!AQ100*Calculateur!AS100*VLOOKUP('Données projet'!$B$10,Paramètres!$A$1:$I$89,3,0)*0.475*44/12</f>
        <v>3.2524811821692223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25.639005073113793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60.31958470054127</v>
      </c>
      <c r="BJ100" s="62">
        <f t="shared" si="92"/>
        <v>354.50173999733266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18.554048333527433</v>
      </c>
      <c r="BQ100" s="23">
        <f>EXP(-LN(2)/25)*BQ99+(1-EXP(-LN(2)/25))/(LN(2)/25)*Calculateur!BL100*Calculateur!BN100*VLOOKUP('Données projet'!$B$11,Paramètres!$A$1:$I$89,3,0)*0.475*44/12</f>
        <v>2.6956705450043814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21.249718878531816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74.926559033177455</v>
      </c>
      <c r="CE100" s="62">
        <f t="shared" si="94"/>
        <v>430.78114872558075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22.38652389094457</v>
      </c>
      <c r="CL100" s="23">
        <f>EXP(-LN(2)/25)*CL99+(1-EXP(-LN(2)/25))/(LN(2)/25)*Calculateur!CG100*Calculateur!CI100*VLOOKUP('Données projet'!$B$12,Paramètres!$A$1:$I$89,3,0)*0.475*44/12</f>
        <v>3.2524811821692223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25.639005073113793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56.565599999999932</v>
      </c>
      <c r="D101" s="12">
        <f t="shared" si="86"/>
        <v>16.29698867846886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562.44805295660137</v>
      </c>
      <c r="H101" s="70">
        <f t="shared" si="56"/>
        <v>420.23567528166643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54.970220527721665</v>
      </c>
      <c r="T101" s="62">
        <f t="shared" si="88"/>
        <v>326.57367524399677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16.818493649316821</v>
      </c>
      <c r="AA101" s="23">
        <f>EXP(-LN(2)/25)*AA100+(1-EXP(-LN(2)/25))/(LN(2)/25)*Calculateur!V101*Calculateur!X101*VLOOKUP('Données projet'!$B$9,Paramètres!$A$1:$I$89,3,0)*0.475*44/12</f>
        <v>2.4242359226169445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19.242729571933765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74.926559033177455</v>
      </c>
      <c r="AO101" s="62">
        <f t="shared" si="90"/>
        <v>430.78114872558075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21.947537811874458</v>
      </c>
      <c r="AV101" s="23">
        <f>EXP(-LN(2)/25)*AV100+(1-EXP(-LN(2)/25))/(LN(2)/25)*Calculateur!AQ101*Calculateur!AS101*VLOOKUP('Données projet'!$B$10,Paramètres!$A$1:$I$89,3,0)*0.475*44/12</f>
        <v>3.1635419132022533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25.11107972507671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60.31958470054127</v>
      </c>
      <c r="BJ101" s="62">
        <f t="shared" si="92"/>
        <v>354.50173999733266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18.190214762558998</v>
      </c>
      <c r="BQ101" s="23">
        <f>EXP(-LN(2)/25)*BQ100+(1-EXP(-LN(2)/25))/(LN(2)/25)*Calculateur!BL101*Calculateur!BN101*VLOOKUP('Données projet'!$B$11,Paramètres!$A$1:$I$89,3,0)*0.475*44/12</f>
        <v>2.6219572921920835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20.81217205475108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74.926559033177455</v>
      </c>
      <c r="CE101" s="62">
        <f t="shared" si="94"/>
        <v>430.78114872558075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21.947537811874458</v>
      </c>
      <c r="CL101" s="23">
        <f>EXP(-LN(2)/25)*CL100+(1-EXP(-LN(2)/25))/(LN(2)/25)*Calculateur!CG101*Calculateur!CI101*VLOOKUP('Données projet'!$B$12,Paramètres!$A$1:$I$89,3,0)*0.475*44/12</f>
        <v>3.1635419132022533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25.11107972507671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57.14279999999993</v>
      </c>
      <c r="D102" s="12">
        <f t="shared" si="86"/>
        <v>16.443840715690236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568.03722657725746</v>
      </c>
      <c r="H102" s="70">
        <f t="shared" si="56"/>
        <v>421.49673257982704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54.970220527721665</v>
      </c>
      <c r="T102" s="62">
        <f t="shared" si="88"/>
        <v>326.57367524399677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16.488693247121923</v>
      </c>
      <c r="AA102" s="23">
        <f>EXP(-LN(2)/25)*AA101+(1-EXP(-LN(2)/25))/(LN(2)/25)*Calculateur!V102*Calculateur!X102*VLOOKUP('Données projet'!$B$9,Paramètres!$A$1:$I$89,3,0)*0.475*44/12</f>
        <v>2.3579450638279575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18.846638310949881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74.926559033177455</v>
      </c>
      <c r="AO102" s="62">
        <f t="shared" si="90"/>
        <v>430.78114872558075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21.517159982059841</v>
      </c>
      <c r="AV102" s="23">
        <f>EXP(-LN(2)/25)*AV101+(1-EXP(-LN(2)/25))/(LN(2)/25)*Calculateur!AQ102*Calculateur!AS102*VLOOKUP('Données projet'!$B$10,Paramètres!$A$1:$I$89,3,0)*0.475*44/12</f>
        <v>3.0770346932222989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24.594194675282139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60.31958470054127</v>
      </c>
      <c r="BJ102" s="62">
        <f t="shared" si="92"/>
        <v>354.50173999733266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17.833515746000689</v>
      </c>
      <c r="BQ102" s="23">
        <f>EXP(-LN(2)/25)*BQ101+(1-EXP(-LN(2)/25))/(LN(2)/25)*Calculateur!BL102*Calculateur!BN102*VLOOKUP('Données projet'!$B$11,Paramètres!$A$1:$I$89,3,0)*0.475*44/12</f>
        <v>2.5502597321543496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20.383775478155037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74.926559033177455</v>
      </c>
      <c r="CE102" s="62">
        <f t="shared" si="94"/>
        <v>430.78114872558075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21.517159982059841</v>
      </c>
      <c r="CL102" s="23">
        <f>EXP(-LN(2)/25)*CL101+(1-EXP(-LN(2)/25))/(LN(2)/25)*Calculateur!CG102*Calculateur!CI102*VLOOKUP('Données projet'!$B$12,Paramètres!$A$1:$I$89,3,0)*0.475*44/12</f>
        <v>3.0770346932222989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24.594194675282139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57.719999999999928</v>
      </c>
      <c r="D103" s="12">
        <f t="shared" si="86"/>
        <v>16.590520188877633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573.62506812466893</v>
      </c>
      <c r="H103" s="70">
        <f t="shared" si="56"/>
        <v>422.7574893289617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54.970220527721665</v>
      </c>
      <c r="T103" s="62">
        <f t="shared" si="88"/>
        <v>326.57367524399677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16.165360029655684</v>
      </c>
      <c r="AA103" s="23">
        <f>EXP(-LN(2)/25)*AA102+(1-EXP(-LN(2)/25))/(LN(2)/25)*Calculateur!V103*Calculateur!X103*VLOOKUP('Données projet'!$B$9,Paramètres!$A$1:$I$89,3,0)*0.475*44/12</f>
        <v>2.2934669320586405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18.458826961714323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74.926559033177455</v>
      </c>
      <c r="AO103" s="62">
        <f t="shared" si="90"/>
        <v>430.78114872558075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21.095221598983333</v>
      </c>
      <c r="AV103" s="23">
        <f>EXP(-LN(2)/25)*AV102+(1-EXP(-LN(2)/25))/(LN(2)/25)*Calculateur!AQ103*Calculateur!AS103*VLOOKUP('Données projet'!$B$10,Paramètres!$A$1:$I$89,3,0)*0.475*44/12</f>
        <v>2.9928930177219133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24.088114616705248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60.31958470054127</v>
      </c>
      <c r="BJ103" s="62">
        <f t="shared" si="92"/>
        <v>354.50173999733266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17.483811379592169</v>
      </c>
      <c r="BQ103" s="23">
        <f>EXP(-LN(2)/25)*BQ102+(1-EXP(-LN(2)/25))/(LN(2)/25)*Calculateur!BL103*Calculateur!BN103*VLOOKUP('Données projet'!$B$11,Paramètres!$A$1:$I$89,3,0)*0.475*44/12</f>
        <v>2.4805227456662582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19.964334125258425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74.926559033177455</v>
      </c>
      <c r="CE103" s="62">
        <f t="shared" si="94"/>
        <v>430.78114872558075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21.095221598983333</v>
      </c>
      <c r="CL103" s="23">
        <f>EXP(-LN(2)/25)*CL102+(1-EXP(-LN(2)/25))/(LN(2)/25)*Calculateur!CG103*Calculateur!CI103*VLOOKUP('Données projet'!$B$12,Paramètres!$A$1:$I$89,3,0)*0.475*44/12</f>
        <v>2.9928930177219133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24.088114616705248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58.297199999999926</v>
      </c>
      <c r="D104" s="12">
        <f t="shared" si="86"/>
        <v>16.737029023479579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579.21159246194713</v>
      </c>
      <c r="H104" s="70">
        <f t="shared" si="56"/>
        <v>424.01794888256006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54.970220527721665</v>
      </c>
      <c r="T104" s="62">
        <f t="shared" si="88"/>
        <v>326.57367524399677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15.84836717937017</v>
      </c>
      <c r="AA104" s="23">
        <f>EXP(-LN(2)/25)*AA103+(1-EXP(-LN(2)/25))/(LN(2)/25)*Calculateur!V104*Calculateur!X104*VLOOKUP('Données projet'!$B$9,Paramètres!$A$1:$I$89,3,0)*0.475*44/12</f>
        <v>2.2307519581933128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18.079119137563481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74.926559033177455</v>
      </c>
      <c r="AO104" s="62">
        <f t="shared" si="90"/>
        <v>430.78114872558075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20.681557170241952</v>
      </c>
      <c r="AV104" s="23">
        <f>EXP(-LN(2)/25)*AV103+(1-EXP(-LN(2)/25))/(LN(2)/25)*Calculateur!AQ104*Calculateur!AS104*VLOOKUP('Données projet'!$B$10,Paramètres!$A$1:$I$89,3,0)*0.475*44/12</f>
        <v>2.9110522007629043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23.592609371004855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60.31958470054127</v>
      </c>
      <c r="BJ104" s="62">
        <f t="shared" si="92"/>
        <v>354.50173999733266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17.140964502510318</v>
      </c>
      <c r="BQ104" s="23">
        <f>EXP(-LN(2)/25)*BQ103+(1-EXP(-LN(2)/25))/(LN(2)/25)*Calculateur!BL104*Calculateur!BN104*VLOOKUP('Données projet'!$B$11,Paramètres!$A$1:$I$89,3,0)*0.475*44/12</f>
        <v>2.4126927207409925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19.55365722325131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74.926559033177455</v>
      </c>
      <c r="CE104" s="62">
        <f t="shared" si="94"/>
        <v>430.78114872558075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20.681557170241952</v>
      </c>
      <c r="CL104" s="23">
        <f>EXP(-LN(2)/25)*CL103+(1-EXP(-LN(2)/25))/(LN(2)/25)*Calculateur!CG104*Calculateur!CI104*VLOOKUP('Données projet'!$B$12,Paramètres!$A$1:$I$89,3,0)*0.475*44/12</f>
        <v>2.9110522007629043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23.592609371004855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58.874399999999923</v>
      </c>
      <c r="D105" s="12">
        <f t="shared" si="86"/>
        <v>16.883369104619209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584.79681414091965</v>
      </c>
      <c r="H105" s="70">
        <f t="shared" si="56"/>
        <v>425.27811452387834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54.970220527721665</v>
      </c>
      <c r="T105" s="62">
        <f t="shared" si="88"/>
        <v>326.57367524399677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15.537590365532207</v>
      </c>
      <c r="AA105" s="23">
        <f>EXP(-LN(2)/25)*AA104+(1-EXP(-LN(2)/25))/(LN(2)/25)*Calculateur!V105*Calculateur!X105*VLOOKUP('Données projet'!$B$9,Paramètres!$A$1:$I$89,3,0)*0.475*44/12</f>
        <v>2.1697519285863698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17.707342294118575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74.926559033177455</v>
      </c>
      <c r="AO105" s="62">
        <f t="shared" si="90"/>
        <v>430.78114872558075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20.276004448637803</v>
      </c>
      <c r="AV105" s="23">
        <f>EXP(-LN(2)/25)*AV104+(1-EXP(-LN(2)/25))/(LN(2)/25)*Calculateur!AQ105*Calculateur!AS105*VLOOKUP('Données projet'!$B$10,Paramètres!$A$1:$I$89,3,0)*0.475*44/12</f>
        <v>2.8314493252474606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23.107453773885265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60.31958470054127</v>
      </c>
      <c r="BJ105" s="62">
        <f t="shared" si="92"/>
        <v>354.50173999733266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16.804840643572096</v>
      </c>
      <c r="BQ105" s="23">
        <f>EXP(-LN(2)/25)*BQ104+(1-EXP(-LN(2)/25))/(LN(2)/25)*Calculateur!BL105*Calculateur!BN105*VLOOKUP('Données projet'!$B$11,Paramètres!$A$1:$I$89,3,0)*0.475*44/12</f>
        <v>2.3467175114143344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19.151558154986429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74.926559033177455</v>
      </c>
      <c r="CE105" s="62">
        <f t="shared" si="94"/>
        <v>430.78114872558075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20.276004448637803</v>
      </c>
      <c r="CL105" s="23">
        <f>EXP(-LN(2)/25)*CL104+(1-EXP(-LN(2)/25))/(LN(2)/25)*Calculateur!CG105*Calculateur!CI105*VLOOKUP('Données projet'!$B$12,Paramètres!$A$1:$I$89,3,0)*0.475*44/12</f>
        <v>2.8314493252474606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23.107453773885265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59.451599999999921</v>
      </c>
      <c r="D106" s="12">
        <f t="shared" si="86"/>
        <v>17.029542278325611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590.38074741163575</v>
      </c>
      <c r="H106" s="70">
        <f t="shared" si="56"/>
        <v>426.53798946808365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54.970220527721665</v>
      </c>
      <c r="T106" s="62">
        <f t="shared" si="88"/>
        <v>326.57367524399677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15.232907695458469</v>
      </c>
      <c r="AA106" s="23">
        <f>EXP(-LN(2)/25)*AA105+(1-EXP(-LN(2)/25))/(LN(2)/25)*Calculateur!V106*Calculateur!X106*VLOOKUP('Données projet'!$B$9,Paramètres!$A$1:$I$89,3,0)*0.475*44/12</f>
        <v>2.1104199479968808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17.34332764345535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74.926559033177455</v>
      </c>
      <c r="AO106" s="62">
        <f t="shared" si="90"/>
        <v>430.78114872558075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19.878404368541574</v>
      </c>
      <c r="AV106" s="23">
        <f>EXP(-LN(2)/25)*AV105+(1-EXP(-LN(2)/25))/(LN(2)/25)*Calculateur!AQ106*Calculateur!AS106*VLOOKUP('Données projet'!$B$10,Paramètres!$A$1:$I$89,3,0)*0.475*44/12</f>
        <v>2.75402319454912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22.632427563090694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60.31958470054127</v>
      </c>
      <c r="BJ106" s="62">
        <f t="shared" si="92"/>
        <v>354.50173999733266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16.475307968492341</v>
      </c>
      <c r="BQ106" s="23">
        <f>EXP(-LN(2)/25)*BQ105+(1-EXP(-LN(2)/25))/(LN(2)/25)*Calculateur!BL106*Calculateur!BN106*VLOOKUP('Données projet'!$B$11,Paramètres!$A$1:$I$89,3,0)*0.475*44/12</f>
        <v>2.282546397656199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18.757854366148539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74.926559033177455</v>
      </c>
      <c r="CE106" s="62">
        <f t="shared" si="94"/>
        <v>430.78114872558075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19.878404368541574</v>
      </c>
      <c r="CL106" s="23">
        <f>EXP(-LN(2)/25)*CL105+(1-EXP(-LN(2)/25))/(LN(2)/25)*Calculateur!CG106*Calculateur!CI106*VLOOKUP('Données projet'!$B$12,Paramètres!$A$1:$I$89,3,0)*0.475*44/12</f>
        <v>2.75402319454912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22.632427563090694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60.028799999999919</v>
      </c>
      <c r="D107" s="12">
        <f t="shared" si="86"/>
        <v>17.175550352716147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595.9634062314924</v>
      </c>
      <c r="H107" s="70">
        <f t="shared" si="56"/>
        <v>427.79757686431378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54.970220527721665</v>
      </c>
      <c r="T107" s="62">
        <f t="shared" si="88"/>
        <v>326.57367524399677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14.934199666706796</v>
      </c>
      <c r="AA107" s="23">
        <f>EXP(-LN(2)/25)*AA106+(1-EXP(-LN(2)/25))/(LN(2)/25)*Calculateur!V107*Calculateur!X107*VLOOKUP('Données projet'!$B$9,Paramètres!$A$1:$I$89,3,0)*0.475*44/12</f>
        <v>2.0527104035367443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16.986910070243539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74.926559033177455</v>
      </c>
      <c r="AO107" s="62">
        <f t="shared" si="90"/>
        <v>430.78114872558075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19.488600983503932</v>
      </c>
      <c r="AV107" s="23">
        <f>EXP(-LN(2)/25)*AV106+(1-EXP(-LN(2)/25))/(LN(2)/25)*Calculateur!AQ107*Calculateur!AS107*VLOOKUP('Données projet'!$B$10,Paramètres!$A$1:$I$89,3,0)*0.475*44/12</f>
        <v>2.678714285466389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22.16731526897032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60.31958470054127</v>
      </c>
      <c r="BJ107" s="62">
        <f t="shared" si="92"/>
        <v>354.50173999733266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16.152237228175817</v>
      </c>
      <c r="BQ107" s="23">
        <f>EXP(-LN(2)/25)*BQ106+(1-EXP(-LN(2)/25))/(LN(2)/25)*Calculateur!BL107*Calculateur!BN107*VLOOKUP('Données projet'!$B$11,Paramètres!$A$1:$I$89,3,0)*0.475*44/12</f>
        <v>2.220130046378392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18.372367274554207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74.926559033177455</v>
      </c>
      <c r="CE107" s="62">
        <f t="shared" si="94"/>
        <v>430.78114872558075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19.488600983503932</v>
      </c>
      <c r="CL107" s="23">
        <f>EXP(-LN(2)/25)*CL106+(1-EXP(-LN(2)/25))/(LN(2)/25)*Calculateur!CG107*Calculateur!CI107*VLOOKUP('Données projet'!$B$12,Paramètres!$A$1:$I$89,3,0)*0.475*44/12</f>
        <v>2.678714285466389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22.16731526897032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60.605999999999916</v>
      </c>
      <c r="D108" s="12">
        <f t="shared" si="86"/>
        <v>17.321395099131863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601.54480427399983</v>
      </c>
      <c r="H108" s="70">
        <f t="shared" si="56"/>
        <v>429.05687979765446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54.970220527721665</v>
      </c>
      <c r="T108" s="62">
        <f t="shared" si="88"/>
        <v>326.57367524399677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14.641349120205037</v>
      </c>
      <c r="AA108" s="23">
        <f>EXP(-LN(2)/25)*AA107+(1-EXP(-LN(2)/25))/(LN(2)/25)*Calculateur!V108*Calculateur!X108*VLOOKUP('Données projet'!$B$9,Paramètres!$A$1:$I$89,3,0)*0.475*44/12</f>
        <v>1.9965789296046834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16.63792804980972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74.926559033177455</v>
      </c>
      <c r="AO108" s="62">
        <f t="shared" si="90"/>
        <v>430.78114872558075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19.10644140509029</v>
      </c>
      <c r="AV108" s="23">
        <f>EXP(-LN(2)/25)*AV107+(1-EXP(-LN(2)/25))/(LN(2)/25)*Calculateur!AQ108*Calculateur!AS108*VLOOKUP('Données projet'!$B$10,Paramètres!$A$1:$I$89,3,0)*0.475*44/12</f>
        <v>2.6054647024628488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21.711906107553141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60.31958470054127</v>
      </c>
      <c r="BJ108" s="62">
        <f t="shared" si="92"/>
        <v>354.50173999733266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15.835501708023205</v>
      </c>
      <c r="BQ108" s="23">
        <f>EXP(-LN(2)/25)*BQ107+(1-EXP(-LN(2)/25))/(LN(2)/25)*Calculateur!BL108*Calculateur!BN108*VLOOKUP('Données projet'!$B$11,Paramètres!$A$1:$I$89,3,0)*0.475*44/12</f>
        <v>2.15942047350861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17.994922181531816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74.926559033177455</v>
      </c>
      <c r="CE108" s="62">
        <f t="shared" si="94"/>
        <v>430.78114872558075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19.10644140509029</v>
      </c>
      <c r="CL108" s="23">
        <f>EXP(-LN(2)/25)*CL107+(1-EXP(-LN(2)/25))/(LN(2)/25)*Calculateur!CG108*Calculateur!CI108*VLOOKUP('Données projet'!$B$12,Paramètres!$A$1:$I$89,3,0)*0.475*44/12</f>
        <v>2.6054647024628488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21.711906107553141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61.183199999999914</v>
      </c>
      <c r="D109" s="12">
        <f t="shared" si="86"/>
        <v>17.467078253228514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607.12495493720201</v>
      </c>
      <c r="H109" s="70">
        <f t="shared" si="56"/>
        <v>430.31590129103949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54.970220527721665</v>
      </c>
      <c r="T109" s="62">
        <f t="shared" si="88"/>
        <v>326.57367524399677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14.354241194298982</v>
      </c>
      <c r="AA109" s="23">
        <f>EXP(-LN(2)/25)*AA108+(1-EXP(-LN(2)/25))/(LN(2)/25)*Calculateur!V109*Calculateur!X109*VLOOKUP('Données projet'!$B$9,Paramètres!$A$1:$I$89,3,0)*0.475*44/12</f>
        <v>1.9419823737791206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16.296223568078101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74.926559033177455</v>
      </c>
      <c r="AO109" s="62">
        <f t="shared" si="90"/>
        <v>430.78114872558075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18.731775742915012</v>
      </c>
      <c r="AV109" s="23">
        <f>EXP(-LN(2)/25)*AV108+(1-EXP(-LN(2)/25))/(LN(2)/25)*Calculateur!AQ109*Calculateur!AS109*VLOOKUP('Données projet'!$B$10,Paramètres!$A$1:$I$89,3,0)*0.475*44/12</f>
        <v>2.5342181331585683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21.26599387607358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60.31958470054127</v>
      </c>
      <c r="BJ109" s="62">
        <f t="shared" si="92"/>
        <v>354.50173999733266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15.524977178231195</v>
      </c>
      <c r="BQ109" s="23">
        <f>EXP(-LN(2)/25)*BQ108+(1-EXP(-LN(2)/25))/(LN(2)/25)*Calculateur!BL109*Calculateur!BN109*VLOOKUP('Données projet'!$B$11,Paramètres!$A$1:$I$89,3,0)*0.475*44/12</f>
        <v>2.1003710071015296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17.625348185332726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74.926559033177455</v>
      </c>
      <c r="CE109" s="62">
        <f t="shared" si="94"/>
        <v>430.78114872558075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18.731775742915012</v>
      </c>
      <c r="CL109" s="23">
        <f>EXP(-LN(2)/25)*CL108+(1-EXP(-LN(2)/25))/(LN(2)/25)*Calculateur!CG109*Calculateur!CI109*VLOOKUP('Données projet'!$B$12,Paramètres!$A$1:$I$89,3,0)*0.475*44/12</f>
        <v>2.5342181331585683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21.26599387607358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61.760399999999912</v>
      </c>
      <c r="D110" s="12">
        <f t="shared" si="86"/>
        <v>17.612601516025176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612.70387135177259</v>
      </c>
      <c r="H110" s="70">
        <f t="shared" si="56"/>
        <v>431.57464430707699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54.970220527721665</v>
      </c>
      <c r="T110" s="62">
        <f t="shared" si="88"/>
        <v>326.57367524399677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14.072763279701402</v>
      </c>
      <c r="AA110" s="23">
        <f>EXP(-LN(2)/25)*AA109+(1-EXP(-LN(2)/25))/(LN(2)/25)*Calculateur!V110*Calculateur!X110*VLOOKUP('Données projet'!$B$9,Paramètres!$A$1:$I$89,3,0)*0.475*44/12</f>
        <v>1.8888787636437161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15.961642043345117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74.926559033177455</v>
      </c>
      <c r="AO110" s="62">
        <f t="shared" si="90"/>
        <v>430.78114872558075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18.364457045851502</v>
      </c>
      <c r="AV110" s="23">
        <f>EXP(-LN(2)/25)*AV109+(1-EXP(-LN(2)/25))/(LN(2)/25)*Calculateur!AQ110*Calculateur!AS110*VLOOKUP('Données projet'!$B$10,Paramètres!$A$1:$I$89,3,0)*0.475*44/12</f>
        <v>2.4649198050386074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20.82937685089011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60.31958470054127</v>
      </c>
      <c r="BJ110" s="62">
        <f t="shared" si="92"/>
        <v>354.50173999733266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15.220541845067144</v>
      </c>
      <c r="BQ110" s="23">
        <f>EXP(-LN(2)/25)*BQ109+(1-EXP(-LN(2)/25))/(LN(2)/25)*Calculateur!BL110*Calculateur!BN110*VLOOKUP('Données projet'!$B$11,Paramètres!$A$1:$I$89,3,0)*0.475*44/12</f>
        <v>2.0429362514586273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17.263478096525773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74.926559033177455</v>
      </c>
      <c r="CE110" s="62">
        <f t="shared" si="94"/>
        <v>430.78114872558075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18.364457045851502</v>
      </c>
      <c r="CL110" s="23">
        <f>EXP(-LN(2)/25)*CL109+(1-EXP(-LN(2)/25))/(LN(2)/25)*Calculateur!CG110*Calculateur!CI110*VLOOKUP('Données projet'!$B$12,Paramètres!$A$1:$I$89,3,0)*0.475*44/12</f>
        <v>2.4649198050386074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20.82937685089011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62.33759999999991</v>
      </c>
      <c r="D111" s="12">
        <f t="shared" si="86"/>
        <v>17.757966554912581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618.2815663887983</v>
      </c>
      <c r="H111" s="70">
        <f t="shared" si="56"/>
        <v>432.83311174980588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54.970220527721665</v>
      </c>
      <c r="T111" s="62">
        <f t="shared" si="88"/>
        <v>326.57367524399677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13.796804975324504</v>
      </c>
      <c r="AA111" s="23">
        <f>EXP(-LN(2)/25)*AA110+(1-EXP(-LN(2)/25))/(LN(2)/25)*Calculateur!V111*Calculateur!X111*VLOOKUP('Données projet'!$B$9,Paramètres!$A$1:$I$89,3,0)*0.475*44/12</f>
        <v>1.8372272745200615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15.634032249844566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74.926559033177455</v>
      </c>
      <c r="AO111" s="62">
        <f t="shared" si="90"/>
        <v>430.78114872558075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18.004341244395125</v>
      </c>
      <c r="AV111" s="23">
        <f>EXP(-LN(2)/25)*AV110+(1-EXP(-LN(2)/25))/(LN(2)/25)*Calculateur!AQ111*Calculateur!AS111*VLOOKUP('Données projet'!$B$10,Paramètres!$A$1:$I$89,3,0)*0.475*44/12</f>
        <v>2.397516443345328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20.401857687740453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60.31958470054127</v>
      </c>
      <c r="BJ111" s="62">
        <f t="shared" si="92"/>
        <v>354.50173999733266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14.922076303099223</v>
      </c>
      <c r="BQ111" s="23">
        <f>EXP(-LN(2)/25)*BQ110+(1-EXP(-LN(2)/25))/(LN(2)/25)*Calculateur!BL111*Calculateur!BN111*VLOOKUP('Données projet'!$B$11,Paramètres!$A$1:$I$89,3,0)*0.475*44/12</f>
        <v>1.987072052229143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16.909148355328366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74.926559033177455</v>
      </c>
      <c r="CE111" s="62">
        <f t="shared" si="94"/>
        <v>430.78114872558075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18.004341244395125</v>
      </c>
      <c r="CL111" s="23">
        <f>EXP(-LN(2)/25)*CL110+(1-EXP(-LN(2)/25))/(LN(2)/25)*Calculateur!CG111*Calculateur!CI111*VLOOKUP('Données projet'!$B$12,Paramètres!$A$1:$I$89,3,0)*0.475*44/12</f>
        <v>2.397516443345328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20.401857687740453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62.914799999999907</v>
      </c>
      <c r="D112" s="12">
        <f t="shared" si="86"/>
        <v>17.903175004622941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623.85805266726413</v>
      </c>
      <c r="H112" s="70">
        <f t="shared" si="56"/>
        <v>434.09130646638476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54.970220527721665</v>
      </c>
      <c r="T112" s="62">
        <f t="shared" si="88"/>
        <v>326.57367524399677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13.526258044978491</v>
      </c>
      <c r="AA112" s="23">
        <f>EXP(-LN(2)/25)*AA111+(1-EXP(-LN(2)/25))/(LN(2)/25)*Calculateur!V112*Calculateur!X112*VLOOKUP('Données projet'!$B$9,Paramètres!$A$1:$I$89,3,0)*0.475*44/12</f>
        <v>1.7869881980827271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15.313246243061219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74.926559033177455</v>
      </c>
      <c r="AO112" s="62">
        <f t="shared" si="90"/>
        <v>430.78114872558075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17.651287094156356</v>
      </c>
      <c r="AV112" s="23">
        <f>EXP(-LN(2)/25)*AV111+(1-EXP(-LN(2)/25))/(LN(2)/25)*Calculateur!AQ112*Calculateur!AS112*VLOOKUP('Données projet'!$B$10,Paramètres!$A$1:$I$89,3,0)*0.475*44/12</f>
        <v>2.3319562301221399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19.983243324278497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60.31958470054127</v>
      </c>
      <c r="BJ112" s="62">
        <f t="shared" si="92"/>
        <v>354.50173999733266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14.629463488363287</v>
      </c>
      <c r="BQ112" s="23">
        <f>EXP(-LN(2)/25)*BQ111+(1-EXP(-LN(2)/25))/(LN(2)/25)*Calculateur!BL112*Calculateur!BN112*VLOOKUP('Données projet'!$B$11,Paramètres!$A$1:$I$89,3,0)*0.475*44/12</f>
        <v>1.9327354624653594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16.562198950828645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74.926559033177455</v>
      </c>
      <c r="CE112" s="62">
        <f t="shared" si="94"/>
        <v>430.78114872558075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17.651287094156356</v>
      </c>
      <c r="CL112" s="23">
        <f>EXP(-LN(2)/25)*CL111+(1-EXP(-LN(2)/25))/(LN(2)/25)*Calculateur!CG112*Calculateur!CI112*VLOOKUP('Données projet'!$B$12,Paramètres!$A$1:$I$89,3,0)*0.475*44/12</f>
        <v>2.3319562301221399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19.983243324278497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63.491999999999905</v>
      </c>
      <c r="D113" s="12">
        <f t="shared" si="86"/>
        <v>18.048228468163344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629.43334256126025</v>
      </c>
      <c r="H113" s="70">
        <f t="shared" si="56"/>
        <v>435.34923124871762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54.970220527721665</v>
      </c>
      <c r="T113" s="62">
        <f t="shared" si="88"/>
        <v>326.57367524399677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13.26101637491923</v>
      </c>
      <c r="AA113" s="23">
        <f>EXP(-LN(2)/25)*AA112+(1-EXP(-LN(2)/25))/(LN(2)/25)*Calculateur!V113*Calculateur!X113*VLOOKUP('Données projet'!$B$9,Paramètres!$A$1:$I$89,3,0)*0.475*44/12</f>
        <v>1.7381229118325299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14.99913928675176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74.926559033177455</v>
      </c>
      <c r="AO113" s="62">
        <f t="shared" si="90"/>
        <v>430.78114872558075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17.305156120462001</v>
      </c>
      <c r="AV113" s="23">
        <f>EXP(-LN(2)/25)*AV112+(1-EXP(-LN(2)/25))/(LN(2)/25)*Calculateur!AQ113*Calculateur!AS113*VLOOKUP('Données projet'!$B$10,Paramètres!$A$1:$I$89,3,0)*0.475*44/12</f>
        <v>2.2681887643772018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19.573344884839202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60.31958470054127</v>
      </c>
      <c r="BJ113" s="62">
        <f t="shared" si="92"/>
        <v>354.50173999733266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14.342588632448129</v>
      </c>
      <c r="BQ113" s="23">
        <f>EXP(-LN(2)/25)*BQ112+(1-EXP(-LN(2)/25))/(LN(2)/25)*Calculateur!BL113*Calculateur!BN113*VLOOKUP('Données projet'!$B$11,Paramètres!$A$1:$I$89,3,0)*0.475*44/12</f>
        <v>1.8798847096061035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16.222473342054233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74.926559033177455</v>
      </c>
      <c r="CE113" s="62">
        <f t="shared" si="94"/>
        <v>430.78114872558075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17.305156120462001</v>
      </c>
      <c r="CL113" s="23">
        <f>EXP(-LN(2)/25)*CL112+(1-EXP(-LN(2)/25))/(LN(2)/25)*Calculateur!CG113*Calculateur!CI113*VLOOKUP('Données projet'!$B$12,Paramètres!$A$1:$I$89,3,0)*0.475*44/12</f>
        <v>2.2681887643772018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19.573344884839202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64.06919999999991</v>
      </c>
      <c r="D114" s="12">
        <f t="shared" si="86"/>
        <v>18.193128517714069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635.007448206915</v>
      </c>
      <c r="H114" s="70">
        <f t="shared" si="56"/>
        <v>436.60688883501848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54.970220527721665</v>
      </c>
      <c r="T114" s="62">
        <f t="shared" si="88"/>
        <v>326.57367524399677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13.000975932228387</v>
      </c>
      <c r="AA114" s="23">
        <f>EXP(-LN(2)/25)*AA113+(1-EXP(-LN(2)/25))/(LN(2)/25)*Calculateur!V114*Calculateur!X114*VLOOKUP('Données projet'!$B$9,Paramètres!$A$1:$I$89,3,0)*0.475*44/12</f>
        <v>1.690593849404558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14.691569781632946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74.926559033177455</v>
      </c>
      <c r="AO114" s="62">
        <f t="shared" si="90"/>
        <v>430.78114872558075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16.965812564042746</v>
      </c>
      <c r="AV114" s="23">
        <f>EXP(-LN(2)/25)*AV113+(1-EXP(-LN(2)/25))/(LN(2)/25)*Calculateur!AQ114*Calculateur!AS114*VLOOKUP('Données projet'!$B$10,Paramètres!$A$1:$I$89,3,0)*0.475*44/12</f>
        <v>2.2061650233364443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19.171977587379189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60.31958470054127</v>
      </c>
      <c r="BJ114" s="62">
        <f t="shared" si="92"/>
        <v>354.50173999733266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14.061339217481082</v>
      </c>
      <c r="BQ114" s="23">
        <f>EXP(-LN(2)/25)*BQ113+(1-EXP(-LN(2)/25))/(LN(2)/25)*Calculateur!BL114*Calculateur!BN114*VLOOKUP('Données projet'!$B$11,Paramètres!$A$1:$I$89,3,0)*0.475*44/12</f>
        <v>1.8284791633630844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15.889818380844167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74.926559033177455</v>
      </c>
      <c r="CE114" s="62">
        <f t="shared" si="94"/>
        <v>430.78114872558075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16.965812564042746</v>
      </c>
      <c r="CL114" s="23">
        <f>EXP(-LN(2)/25)*CL113+(1-EXP(-LN(2)/25))/(LN(2)/25)*Calculateur!CG114*Calculateur!CI114*VLOOKUP('Données projet'!$B$12,Paramètres!$A$1:$I$89,3,0)*0.475*44/12</f>
        <v>2.2061650233364443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19.171977587379189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64.646399999999915</v>
      </c>
      <c r="D115" s="12">
        <f t="shared" si="86"/>
        <v>18.337876695493641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640.58038150907305</v>
      </c>
      <c r="H115" s="70">
        <f t="shared" si="56"/>
        <v>437.8642819113179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54.970220527721665</v>
      </c>
      <c r="T115" s="62">
        <f t="shared" si="88"/>
        <v>326.57367524399677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12.746034724009704</v>
      </c>
      <c r="AA115" s="23">
        <f>EXP(-LN(2)/25)*AA114+(1-EXP(-LN(2)/25))/(LN(2)/25)*Calculateur!V115*Calculateur!X115*VLOOKUP('Données projet'!$B$9,Paramètres!$A$1:$I$89,3,0)*0.475*44/12</f>
        <v>1.6443644716881238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14.390399195697828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74.926559033177455</v>
      </c>
      <c r="AO115" s="62">
        <f t="shared" si="90"/>
        <v>430.78114872558075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16.633123327785739</v>
      </c>
      <c r="AV115" s="23">
        <f>EXP(-LN(2)/25)*AV114+(1-EXP(-LN(2)/25))/(LN(2)/25)*Calculateur!AQ115*Calculateur!AS115*VLOOKUP('Données projet'!$B$10,Paramètres!$A$1:$I$89,3,0)*0.475*44/12</f>
        <v>2.1458373247561329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18.778960652541873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60.31958470054127</v>
      </c>
      <c r="BJ115" s="62">
        <f t="shared" si="92"/>
        <v>354.50173999733266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13.785604931996335</v>
      </c>
      <c r="BQ115" s="23">
        <f>EXP(-LN(2)/25)*BQ114+(1-EXP(-LN(2)/25))/(LN(2)/25)*Calculateur!BL115*Calculateur!BN115*VLOOKUP('Données projet'!$B$11,Paramètres!$A$1:$I$89,3,0)*0.475*44/12</f>
        <v>1.7784793044853806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15.564084236481715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74.926559033177455</v>
      </c>
      <c r="CE115" s="62">
        <f t="shared" si="94"/>
        <v>430.78114872558075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16.633123327785739</v>
      </c>
      <c r="CL115" s="23">
        <f>EXP(-LN(2)/25)*CL114+(1-EXP(-LN(2)/25))/(LN(2)/25)*Calculateur!CG115*Calculateur!CI115*VLOOKUP('Données projet'!$B$12,Paramètres!$A$1:$I$89,3,0)*0.475*44/12</f>
        <v>2.1458373247561329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18.778960652541873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65.223599999999919</v>
      </c>
      <c r="D116" s="12">
        <f t="shared" si="86"/>
        <v>18.482474514592173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646.15215414772842</v>
      </c>
      <c r="H116" s="70">
        <f t="shared" si="56"/>
        <v>439.12141311291452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54.970220527721665</v>
      </c>
      <c r="T116" s="62">
        <f t="shared" si="88"/>
        <v>326.57367524399677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12.496092757385405</v>
      </c>
      <c r="AA116" s="23">
        <f>EXP(-LN(2)/25)*AA115+(1-EXP(-LN(2)/25))/(LN(2)/25)*Calculateur!V116*Calculateur!X116*VLOOKUP('Données projet'!$B$9,Paramètres!$A$1:$I$89,3,0)*0.475*44/12</f>
        <v>1.5993992387364429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14.095491996121847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74.926559033177455</v>
      </c>
      <c r="AO116" s="62">
        <f t="shared" si="90"/>
        <v>430.78114872558075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16.306957924531336</v>
      </c>
      <c r="AV116" s="23">
        <f>EXP(-LN(2)/25)*AV115+(1-EXP(-LN(2)/25))/(LN(2)/25)*Calculateur!AQ116*Calculateur!AS116*VLOOKUP('Données projet'!$B$10,Paramètres!$A$1:$I$89,3,0)*0.475*44/12</f>
        <v>2.0871592902659959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18.394117214797333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60.31958470054127</v>
      </c>
      <c r="BJ116" s="62">
        <f t="shared" si="92"/>
        <v>354.50173999733266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13.515277627668636</v>
      </c>
      <c r="BQ116" s="23">
        <f>EXP(-LN(2)/25)*BQ115+(1-EXP(-LN(2)/25))/(LN(2)/25)*Calculateur!BL116*Calculateur!BN116*VLOOKUP('Données projet'!$B$11,Paramètres!$A$1:$I$89,3,0)*0.475*44/12</f>
        <v>1.7298466943780659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15.245124322046703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74.926559033177455</v>
      </c>
      <c r="CE116" s="62">
        <f t="shared" si="94"/>
        <v>430.78114872558075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16.306957924531336</v>
      </c>
      <c r="CL116" s="23">
        <f>EXP(-LN(2)/25)*CL115+(1-EXP(-LN(2)/25))/(LN(2)/25)*Calculateur!CG116*Calculateur!CI116*VLOOKUP('Données projet'!$B$12,Paramètres!$A$1:$I$89,3,0)*0.475*44/12</f>
        <v>2.0871592902659959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18.394117214797333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65.800799999999924</v>
      </c>
      <c r="D117" s="12">
        <f t="shared" si="86"/>
        <v>18.626923459774272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651.72277758422194</v>
      </c>
      <c r="H117" s="70">
        <f t="shared" si="56"/>
        <v>440.37828502577338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54.970220527721665</v>
      </c>
      <c r="T117" s="62">
        <f t="shared" si="88"/>
        <v>326.57367524399677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12.251052000277063</v>
      </c>
      <c r="AA117" s="23">
        <f>EXP(-LN(2)/25)*AA116+(1-EXP(-LN(2)/25))/(LN(2)/25)*Calculateur!V117*Calculateur!X117*VLOOKUP('Données projet'!$B$9,Paramètres!$A$1:$I$89,3,0)*0.475*44/12</f>
        <v>1.5556635824444442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13.806715582721507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74.926559033177455</v>
      </c>
      <c r="AO117" s="62">
        <f t="shared" si="90"/>
        <v>430.78114872558075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15.987188425893498</v>
      </c>
      <c r="AV117" s="23">
        <f>EXP(-LN(2)/25)*AV116+(1-EXP(-LN(2)/25))/(LN(2)/25)*Calculateur!AQ117*Calculateur!AS117*VLOOKUP('Données projet'!$B$10,Paramètres!$A$1:$I$89,3,0)*0.475*44/12</f>
        <v>2.0300858097147354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18.017274235608234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60.31958470054127</v>
      </c>
      <c r="BJ117" s="62">
        <f t="shared" si="92"/>
        <v>354.50173999733266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13.250251276895428</v>
      </c>
      <c r="BQ117" s="23">
        <f>EXP(-LN(2)/25)*BQ116+(1-EXP(-LN(2)/25))/(LN(2)/25)*Calculateur!BL117*Calculateur!BN117*VLOOKUP('Données projet'!$B$11,Paramètres!$A$1:$I$89,3,0)*0.475*44/12</f>
        <v>1.6825439455516136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14.932795222447041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74.926559033177455</v>
      </c>
      <c r="CE117" s="62">
        <f t="shared" si="94"/>
        <v>430.78114872558075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15.987188425893498</v>
      </c>
      <c r="CL117" s="23">
        <f>EXP(-LN(2)/25)*CL116+(1-EXP(-LN(2)/25))/(LN(2)/25)*Calculateur!CG117*Calculateur!CI117*VLOOKUP('Données projet'!$B$12,Paramètres!$A$1:$I$89,3,0)*0.475*44/12</f>
        <v>2.0300858097147354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18.017274235608234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8" s="12">
        <f t="shared" si="86"/>
        <v>18.771224988253078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657.29226306721625</v>
      </c>
      <c r="H118" s="70">
        <f t="shared" si="56"/>
        <v>441.634900187874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54.970220527721665</v>
      </c>
      <c r="T118" s="62">
        <f t="shared" si="88"/>
        <v>326.57367524399677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12.010816342955511</v>
      </c>
      <c r="AA118" s="23">
        <f>EXP(-LN(2)/25)*AA117+(1-EXP(-LN(2)/25))/(LN(2)/25)*Calculateur!V118*Calculateur!X118*VLOOKUP('Données projet'!$B$9,Paramètres!$A$1:$I$89,3,0)*0.475*44/12</f>
        <v>1.5131238799737086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13.52394022292922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74.926559033177455</v>
      </c>
      <c r="AO118" s="62">
        <f t="shared" si="90"/>
        <v>430.78114872558075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15.673689412083814</v>
      </c>
      <c r="AV118" s="23">
        <f>EXP(-LN(2)/25)*AV117+(1-EXP(-LN(2)/25))/(LN(2)/25)*Calculateur!AQ118*Calculateur!AS118*VLOOKUP('Données projet'!$B$10,Paramètres!$A$1:$I$89,3,0)*0.475*44/12</f>
        <v>1.9745730064905131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17.648262418574326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60.31958470054127</v>
      </c>
      <c r="BJ118" s="62">
        <f t="shared" si="92"/>
        <v>354.50173999733266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12.99042193121077</v>
      </c>
      <c r="BQ118" s="23">
        <f>EXP(-LN(2)/25)*BQ117+(1-EXP(-LN(2)/25))/(LN(2)/25)*Calculateur!BL118*Calculateur!BN118*VLOOKUP('Données projet'!$B$11,Paramètres!$A$1:$I$89,3,0)*0.475*44/12</f>
        <v>1.636534692879364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14.626956624090134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74.926559033177455</v>
      </c>
      <c r="CE118" s="62">
        <f t="shared" si="94"/>
        <v>430.78114872558075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15.673689412083814</v>
      </c>
      <c r="CL118" s="23">
        <f>EXP(-LN(2)/25)*CL117+(1-EXP(-LN(2)/25))/(LN(2)/25)*Calculateur!CG118*Calculateur!CI118*VLOOKUP('Données projet'!$B$12,Paramètres!$A$1:$I$89,3,0)*0.475*44/12</f>
        <v>1.9745730064905131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17.648262418574326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66.955199999999934</v>
      </c>
      <c r="D119" s="12">
        <f t="shared" si="86"/>
        <v>18.915380530436487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662.86062163845668</v>
      </c>
      <c r="H119" s="70">
        <f t="shared" si="56"/>
        <v>442.89126109051006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54.970220527721665</v>
      </c>
      <c r="T119" s="62">
        <f t="shared" si="88"/>
        <v>326.57367524399677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11.775291560344753</v>
      </c>
      <c r="AA119" s="23">
        <f>EXP(-LN(2)/25)*AA118+(1-EXP(-LN(2)/25))/(LN(2)/25)*Calculateur!V119*Calculateur!X119*VLOOKUP('Données projet'!$B$9,Paramètres!$A$1:$I$89,3,0)*0.475*44/12</f>
        <v>1.471747427904101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13.247038988248853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74.926559033177455</v>
      </c>
      <c r="AO119" s="62">
        <f t="shared" si="90"/>
        <v>430.78114872558075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15.366337922719419</v>
      </c>
      <c r="AV119" s="23">
        <f>EXP(-LN(2)/25)*AV118+(1-EXP(-LN(2)/25))/(LN(2)/25)*Calculateur!AQ119*Calculateur!AS119*VLOOKUP('Données projet'!$B$10,Paramètres!$A$1:$I$89,3,0)*0.475*44/12</f>
        <v>1.9205782037897485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17.286916126509169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60.31958470054127</v>
      </c>
      <c r="BJ119" s="62">
        <f t="shared" si="92"/>
        <v>354.50173999733266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12.735687680514737</v>
      </c>
      <c r="BQ119" s="23">
        <f>EXP(-LN(2)/25)*BQ118+(1-EXP(-LN(2)/25))/(LN(2)/25)*Calculateur!BL119*Calculateur!BN119*VLOOKUP('Données projet'!$B$11,Paramètres!$A$1:$I$89,3,0)*0.475*44/12</f>
        <v>1.5917835656409587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14.327471246155696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74.926559033177455</v>
      </c>
      <c r="CE119" s="62">
        <f t="shared" si="94"/>
        <v>430.78114872558075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15.366337922719419</v>
      </c>
      <c r="CL119" s="23">
        <f>EXP(-LN(2)/25)*CL118+(1-EXP(-LN(2)/25))/(LN(2)/25)*Calculateur!CG119*Calculateur!CI119*VLOOKUP('Données projet'!$B$12,Paramètres!$A$1:$I$89,3,0)*0.475*44/12</f>
        <v>1.9205782037897485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17.286916126509169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67.532399999999939</v>
      </c>
      <c r="D120" s="12">
        <f t="shared" si="86"/>
        <v>19.059391490646956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668.42786413832698</v>
      </c>
      <c r="H120" s="70">
        <f t="shared" si="56"/>
        <v>444.14737017954332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54.970220527721665</v>
      </c>
      <c r="T120" s="62">
        <f t="shared" si="88"/>
        <v>326.57367524399677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11.544385275065059</v>
      </c>
      <c r="AA120" s="23">
        <f>EXP(-LN(2)/25)*AA119+(1-EXP(-LN(2)/25))/(LN(2)/25)*Calculateur!V120*Calculateur!X120*VLOOKUP('Données projet'!$B$9,Paramètres!$A$1:$I$89,3,0)*0.475*44/12</f>
        <v>1.4315024170922299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12.975887692157288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74.926559033177455</v>
      </c>
      <c r="AO120" s="62">
        <f t="shared" si="90"/>
        <v>430.78114872558075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15.065013408595563</v>
      </c>
      <c r="AV120" s="23">
        <f>EXP(-LN(2)/25)*AV119+(1-EXP(-LN(2)/25))/(LN(2)/25)*Calculateur!AQ120*Calculateur!AS120*VLOOKUP('Données projet'!$B$10,Paramètres!$A$1:$I$89,3,0)*0.475*44/12</f>
        <v>1.8680598918082996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16.933073300403862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60.31958470054127</v>
      </c>
      <c r="BJ120" s="62">
        <f t="shared" si="92"/>
        <v>354.50173999733266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12.485948613102302</v>
      </c>
      <c r="BQ120" s="23">
        <f>EXP(-LN(2)/25)*BQ119+(1-EXP(-LN(2)/25))/(LN(2)/25)*Calculateur!BL120*Calculateur!BN120*VLOOKUP('Données projet'!$B$11,Paramètres!$A$1:$I$89,3,0)*0.475*44/12</f>
        <v>1.5482561603302469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14.034204773432549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74.926559033177455</v>
      </c>
      <c r="CE120" s="62">
        <f t="shared" si="94"/>
        <v>430.78114872558075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15.065013408595563</v>
      </c>
      <c r="CL120" s="23">
        <f>EXP(-LN(2)/25)*CL119+(1-EXP(-LN(2)/25))/(LN(2)/25)*Calculateur!CG120*Calculateur!CI120*VLOOKUP('Données projet'!$B$12,Paramètres!$A$1:$I$89,3,0)*0.475*44/12</f>
        <v>1.8680598918082996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16.933073300403862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68.109599999999944</v>
      </c>
      <c r="D121" s="12">
        <f t="shared" si="86"/>
        <v>19.203259247816082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673.99400121121141</v>
      </c>
      <c r="H121" s="70">
        <f t="shared" si="56"/>
        <v>445.40322985661288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54.970220527721665</v>
      </c>
      <c r="T121" s="62">
        <f t="shared" si="88"/>
        <v>326.57367524399677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11.318006921200773</v>
      </c>
      <c r="AA121" s="23">
        <f>EXP(-LN(2)/25)*AA120+(1-EXP(-LN(2)/25))/(LN(2)/25)*Calculateur!V121*Calculateur!X121*VLOOKUP('Données projet'!$B$9,Paramètres!$A$1:$I$89,3,0)*0.475*44/12</f>
        <v>1.3923579082174025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12.710364829418175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74.926559033177455</v>
      </c>
      <c r="AO121" s="62">
        <f t="shared" si="90"/>
        <v>430.78114872558075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14.76959768440387</v>
      </c>
      <c r="AV121" s="23">
        <f>EXP(-LN(2)/25)*AV120+(1-EXP(-LN(2)/25))/(LN(2)/25)*Calculateur!AQ121*Calculateur!AS121*VLOOKUP('Données projet'!$B$10,Paramètres!$A$1:$I$89,3,0)*0.475*44/12</f>
        <v>1.8169776958298014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16.586575380233672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60.31958470054127</v>
      </c>
      <c r="BJ121" s="62">
        <f t="shared" si="92"/>
        <v>354.50173999733266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12.241106776476034</v>
      </c>
      <c r="BQ121" s="23">
        <f>EXP(-LN(2)/25)*BQ120+(1-EXP(-LN(2)/25))/(LN(2)/25)*Calculateur!BL121*Calculateur!BN121*VLOOKUP('Données projet'!$B$11,Paramètres!$A$1:$I$89,3,0)*0.475*44/12</f>
        <v>1.5059190142067636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13.747025790682798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74.926559033177455</v>
      </c>
      <c r="CE121" s="62">
        <f t="shared" si="94"/>
        <v>430.78114872558075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14.76959768440387</v>
      </c>
      <c r="CL121" s="23">
        <f>EXP(-LN(2)/25)*CL120+(1-EXP(-LN(2)/25))/(LN(2)/25)*Calculateur!CG121*Calculateur!CI121*VLOOKUP('Données projet'!$B$12,Paramètres!$A$1:$I$89,3,0)*0.475*44/12</f>
        <v>1.8169776958298014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16.586575380233672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68.686799999999948</v>
      </c>
      <c r="D122" s="12">
        <f t="shared" si="86"/>
        <v>19.346985156154776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679.55904331066802</v>
      </c>
      <c r="H122" s="70">
        <f t="shared" si="56"/>
        <v>446.65884248030272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54.970220527721665</v>
      </c>
      <c r="T122" s="62">
        <f t="shared" si="88"/>
        <v>326.57367524399677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11.096067708778603</v>
      </c>
      <c r="AA122" s="23">
        <f>EXP(-LN(2)/25)*AA121+(1-EXP(-LN(2)/25))/(LN(2)/25)*Calculateur!V122*Calculateur!X122*VLOOKUP('Données projet'!$B$9,Paramètres!$A$1:$I$89,3,0)*0.475*44/12</f>
        <v>1.3542838079962776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12.45035151677488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74.926559033177455</v>
      </c>
      <c r="AO122" s="62">
        <f t="shared" si="90"/>
        <v>430.78114872558075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14.479974882377775</v>
      </c>
      <c r="AV122" s="23">
        <f>EXP(-LN(2)/25)*AV121+(1-EXP(-LN(2)/25))/(LN(2)/25)*Calculateur!AQ122*Calculateur!AS122*VLOOKUP('Données projet'!$B$10,Paramètres!$A$1:$I$89,3,0)*0.475*44/12</f>
        <v>1.7672923451866311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16.247267227564407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60.31958470054127</v>
      </c>
      <c r="BJ122" s="62">
        <f t="shared" si="92"/>
        <v>354.50173999733266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12.001066138927232</v>
      </c>
      <c r="BQ122" s="23">
        <f>EXP(-LN(2)/25)*BQ121+(1-EXP(-LN(2)/25))/(LN(2)/25)*Calculateur!BL122*Calculateur!BN122*VLOOKUP('Données projet'!$B$11,Paramètres!$A$1:$I$89,3,0)*0.475*44/12</f>
        <v>1.4647395795704405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13.465805718497673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74.926559033177455</v>
      </c>
      <c r="CE122" s="62">
        <f t="shared" si="94"/>
        <v>430.78114872558075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14.479974882377775</v>
      </c>
      <c r="CL122" s="23">
        <f>EXP(-LN(2)/25)*CL121+(1-EXP(-LN(2)/25))/(LN(2)/25)*Calculateur!CG122*Calculateur!CI122*VLOOKUP('Données projet'!$B$12,Paramètres!$A$1:$I$89,3,0)*0.475*44/12</f>
        <v>1.7672923451866311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16.247267227564407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69.263999999999953</v>
      </c>
      <c r="D123" s="12">
        <f t="shared" si="86"/>
        <v>19.490570545800438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685.12300070442404</v>
      </c>
      <c r="H123" s="70">
        <f t="shared" si="56"/>
        <v>447.91421036726899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54.970220527721665</v>
      </c>
      <c r="T123" s="62">
        <f t="shared" si="88"/>
        <v>326.57367524399677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10.87848058894248</v>
      </c>
      <c r="AA123" s="23">
        <f>EXP(-LN(2)/25)*AA122+(1-EXP(-LN(2)/25))/(LN(2)/25)*Calculateur!V123*Calculateur!X123*VLOOKUP('Données projet'!$B$9,Paramètres!$A$1:$I$89,3,0)*0.475*44/12</f>
        <v>1.3172508460479291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12.19573143499041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74.926559033177455</v>
      </c>
      <c r="AO123" s="62">
        <f t="shared" si="90"/>
        <v>430.78114872558075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14.196031406846945</v>
      </c>
      <c r="AV123" s="23">
        <f>EXP(-LN(2)/25)*AV122+(1-EXP(-LN(2)/25))/(LN(2)/25)*Calculateur!AQ123*Calculateur!AS123*VLOOKUP('Données projet'!$B$10,Paramètres!$A$1:$I$89,3,0)*0.475*44/12</f>
        <v>1.7189656430696374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15.914997049916582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60.31958470054127</v>
      </c>
      <c r="BJ123" s="62">
        <f t="shared" si="92"/>
        <v>354.50173999733266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11.765732551870432</v>
      </c>
      <c r="BQ123" s="23">
        <f>EXP(-LN(2)/25)*BQ122+(1-EXP(-LN(2)/25))/(LN(2)/25)*Calculateur!BL123*Calculateur!BN123*VLOOKUP('Données projet'!$B$11,Paramètres!$A$1:$I$89,3,0)*0.475*44/12</f>
        <v>1.4246861987397801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13.190418750610212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74.926559033177455</v>
      </c>
      <c r="CE123" s="62">
        <f t="shared" si="94"/>
        <v>430.78114872558075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14.196031406846945</v>
      </c>
      <c r="CL123" s="23">
        <f>EXP(-LN(2)/25)*CL122+(1-EXP(-LN(2)/25))/(LN(2)/25)*Calculateur!CG123*Calculateur!CI123*VLOOKUP('Données projet'!$B$12,Paramètres!$A$1:$I$89,3,0)*0.475*44/12</f>
        <v>1.7189656430696374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15.914997049916582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69.841199999999958</v>
      </c>
      <c r="D124" s="12">
        <f t="shared" si="86"/>
        <v>19.634016723441825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690.68588347919967</v>
      </c>
      <c r="H124" s="70">
        <f t="shared" si="56"/>
        <v>449.16933579332772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54.970220527721665</v>
      </c>
      <c r="T124" s="62">
        <f t="shared" si="88"/>
        <v>326.57367524399677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10.665160219811304</v>
      </c>
      <c r="AA124" s="23">
        <f>EXP(-LN(2)/25)*AA123+(1-EXP(-LN(2)/25))/(LN(2)/25)*Calculateur!V124*Calculateur!X124*VLOOKUP('Données projet'!$B$9,Paramètres!$A$1:$I$89,3,0)*0.475*44/12</f>
        <v>1.281230552391537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11.946390772202841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74.926559033177455</v>
      </c>
      <c r="AO124" s="62">
        <f t="shared" si="90"/>
        <v>430.78114872558075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13.917655889682857</v>
      </c>
      <c r="AV124" s="23">
        <f>EXP(-LN(2)/25)*AV123+(1-EXP(-LN(2)/25))/(LN(2)/25)*Calculateur!AQ124*Calculateur!AS124*VLOOKUP('Données projet'!$B$10,Paramètres!$A$1:$I$89,3,0)*0.475*44/12</f>
        <v>1.6719604371634238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15.589616326846281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60.31958470054127</v>
      </c>
      <c r="BJ124" s="62">
        <f t="shared" si="92"/>
        <v>354.50173999733266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11.5350137129165</v>
      </c>
      <c r="BQ124" s="23">
        <f>EXP(-LN(2)/25)*BQ123+(1-EXP(-LN(2)/25))/(LN(2)/25)*Calculateur!BL124*Calculateur!BN124*VLOOKUP('Données projet'!$B$11,Paramètres!$A$1:$I$89,3,0)*0.475*44/12</f>
        <v>1.3857280797142497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12.92074179263075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74.926559033177455</v>
      </c>
      <c r="CE124" s="62">
        <f t="shared" si="94"/>
        <v>430.78114872558075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13.917655889682857</v>
      </c>
      <c r="CL124" s="23">
        <f>EXP(-LN(2)/25)*CL123+(1-EXP(-LN(2)/25))/(LN(2)/25)*Calculateur!CG124*Calculateur!CI124*VLOOKUP('Données projet'!$B$12,Paramètres!$A$1:$I$89,3,0)*0.475*44/12</f>
        <v>1.6719604371634238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15.589616326846281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70.418399999999963</v>
      </c>
      <c r="D125" s="12">
        <f t="shared" si="86"/>
        <v>19.777324972922738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696.24770154536827</v>
      </c>
      <c r="H125" s="70">
        <f t="shared" si="56"/>
        <v>450.42422099450698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54.970220527721665</v>
      </c>
      <c r="T125" s="62">
        <f t="shared" si="88"/>
        <v>326.57367524399677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10.456022933006212</v>
      </c>
      <c r="AA125" s="23">
        <f>EXP(-LN(2)/25)*AA124+(1-EXP(-LN(2)/25))/(LN(2)/25)*Calculateur!V125*Calculateur!X125*VLOOKUP('Données projet'!$B$9,Paramètres!$A$1:$I$89,3,0)*0.475*44/12</f>
        <v>1.2461952355594039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11.702218168565615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74.926559033177455</v>
      </c>
      <c r="AO125" s="62">
        <f t="shared" si="90"/>
        <v>430.78114872558075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13.644739146618056</v>
      </c>
      <c r="AV125" s="23">
        <f>EXP(-LN(2)/25)*AV124+(1-EXP(-LN(2)/25))/(LN(2)/25)*Calculateur!AQ125*Calculateur!AS125*VLOOKUP('Données projet'!$B$10,Paramètres!$A$1:$I$89,3,0)*0.475*44/12</f>
        <v>1.6262405910846118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15.270979737702667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60.31958470054127</v>
      </c>
      <c r="BJ125" s="62">
        <f t="shared" si="92"/>
        <v>354.50173999733266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11.308819129669859</v>
      </c>
      <c r="BQ125" s="23">
        <f>EXP(-LN(2)/25)*BQ124+(1-EXP(-LN(2)/25))/(LN(2)/25)*Calculateur!BL125*Calculateur!BN125*VLOOKUP('Données projet'!$B$11,Paramètres!$A$1:$I$89,3,0)*0.475*44/12</f>
        <v>1.3478352725021909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12.65665440217205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74.926559033177455</v>
      </c>
      <c r="CE125" s="62">
        <f t="shared" si="94"/>
        <v>430.78114872558075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13.644739146618056</v>
      </c>
      <c r="CL125" s="23">
        <f>EXP(-LN(2)/25)*CL124+(1-EXP(-LN(2)/25))/(LN(2)/25)*Calculateur!CG125*Calculateur!CI125*VLOOKUP('Données projet'!$B$12,Paramètres!$A$1:$I$89,3,0)*0.475*44/12</f>
        <v>1.6262405910846118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15.270979737702667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70.995599999999968</v>
      </c>
      <c r="D126" s="12">
        <f t="shared" si="86"/>
        <v>19.92049655582537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701.80846464145873</v>
      </c>
      <c r="H126" s="70">
        <f t="shared" si="56"/>
        <v>451.67886816806242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54.970220527721665</v>
      </c>
      <c r="T126" s="62">
        <f t="shared" si="88"/>
        <v>326.57367524399677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10.250986700834218</v>
      </c>
      <c r="AA126" s="23">
        <f>EXP(-LN(2)/25)*AA125+(1-EXP(-LN(2)/25))/(LN(2)/25)*Calculateur!V126*Calculateur!X126*VLOOKUP('Données projet'!$B$9,Paramètres!$A$1:$I$89,3,0)*0.475*44/12</f>
        <v>1.2121179613084727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11.46310466214269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74.926559033177455</v>
      </c>
      <c r="AO126" s="62">
        <f t="shared" si="90"/>
        <v>430.78114872558075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13.377174134421979</v>
      </c>
      <c r="AV126" s="23">
        <f>EXP(-LN(2)/25)*AV125+(1-EXP(-LN(2)/25))/(LN(2)/25)*Calculateur!AQ126*Calculateur!AS126*VLOOKUP('Données projet'!$B$10,Paramètres!$A$1:$I$89,3,0)*0.475*44/12</f>
        <v>1.5817709566011273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14.958945091023107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60.31958470054127</v>
      </c>
      <c r="BJ126" s="62">
        <f t="shared" si="92"/>
        <v>354.50173999733266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11.08706008423561</v>
      </c>
      <c r="BQ126" s="23">
        <f>EXP(-LN(2)/25)*BQ125+(1-EXP(-LN(2)/25))/(LN(2)/25)*Calculateur!BL126*Calculateur!BN126*VLOOKUP('Données projet'!$B$11,Paramètres!$A$1:$I$89,3,0)*0.475*44/12</f>
        <v>1.310978646096042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12.398038730331653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74.926559033177455</v>
      </c>
      <c r="CE126" s="62">
        <f t="shared" si="94"/>
        <v>430.78114872558075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13.377174134421979</v>
      </c>
      <c r="CL126" s="23">
        <f>EXP(-LN(2)/25)*CL125+(1-EXP(-LN(2)/25))/(LN(2)/25)*Calculateur!CG126*Calculateur!CI126*VLOOKUP('Données projet'!$B$12,Paramètres!$A$1:$I$89,3,0)*0.475*44/12</f>
        <v>1.5817709566011273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14.958945091023107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71.572799999999972</v>
      </c>
      <c r="D127" s="12">
        <f t="shared" si="86"/>
        <v>20.063532712034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707.36818233850784</v>
      </c>
      <c r="H127" s="70">
        <f t="shared" si="56"/>
        <v>452.93327947345915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54.970220527721665</v>
      </c>
      <c r="T127" s="62">
        <f t="shared" si="88"/>
        <v>326.57367524399677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10.049971104115365</v>
      </c>
      <c r="AA127" s="23">
        <f>EXP(-LN(2)/25)*AA126+(1-EXP(-LN(2)/25))/(LN(2)/25)*Calculateur!V127*Calculateur!X127*VLOOKUP('Données projet'!$B$9,Paramètres!$A$1:$I$89,3,0)*0.475*44/12</f>
        <v>1.1789725319139792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11.228943636029344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74.926559033177455</v>
      </c>
      <c r="AO127" s="62">
        <f t="shared" si="90"/>
        <v>430.78114872558075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13.114855908916525</v>
      </c>
      <c r="AV127" s="23">
        <f>EXP(-LN(2)/25)*AV126+(1-EXP(-LN(2)/25))/(LN(2)/25)*Calculateur!AQ127*Calculateur!AS127*VLOOKUP('Données projet'!$B$10,Paramètres!$A$1:$I$89,3,0)*0.475*44/12</f>
        <v>1.5385173466111501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14.653373255527676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60.31958470054127</v>
      </c>
      <c r="BJ127" s="62">
        <f t="shared" si="92"/>
        <v>354.50173999733266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10.869649598422665</v>
      </c>
      <c r="BQ127" s="23">
        <f>EXP(-LN(2)/25)*BQ126+(1-EXP(-LN(2)/25))/(LN(2)/25)*Calculateur!BL127*Calculateur!BN127*VLOOKUP('Données projet'!$B$11,Paramètres!$A$1:$I$89,3,0)*0.475*44/12</f>
        <v>1.275129866077175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12.144779464499841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74.926559033177455</v>
      </c>
      <c r="CE127" s="62">
        <f t="shared" si="94"/>
        <v>430.78114872558075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13.114855908916525</v>
      </c>
      <c r="CL127" s="23">
        <f>EXP(-LN(2)/25)*CL126+(1-EXP(-LN(2)/25))/(LN(2)/25)*Calculateur!CG127*Calculateur!CI127*VLOOKUP('Données projet'!$B$12,Paramètres!$A$1:$I$89,3,0)*0.475*44/12</f>
        <v>1.5385173466111501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14.653373255527676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72.149999999999977</v>
      </c>
      <c r="D128" s="12">
        <f t="shared" si="86"/>
        <v>20.206434660280163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712.92686404426775</v>
      </c>
      <c r="H128" s="70">
        <f t="shared" si="56"/>
        <v>454.18745703332127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54.970220527721665</v>
      </c>
      <c r="T128" s="62">
        <f t="shared" si="88"/>
        <v>326.57367524399677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9.8528973006407607</v>
      </c>
      <c r="AA128" s="23">
        <f>EXP(-LN(2)/25)*AA127+(1-EXP(-LN(2)/25))/(LN(2)/25)*Calculateur!V128*Calculateur!X128*VLOOKUP('Données projet'!$B$9,Paramètres!$A$1:$I$89,3,0)*0.475*44/12</f>
        <v>1.1467334660293205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10.999630766670082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74.926559033177455</v>
      </c>
      <c r="AO128" s="62">
        <f t="shared" si="90"/>
        <v>430.78114872558075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12.857681583814914</v>
      </c>
      <c r="AV128" s="23">
        <f>EXP(-LN(2)/25)*AV127+(1-EXP(-LN(2)/25))/(LN(2)/25)*Calculateur!AQ128*Calculateur!AS128*VLOOKUP('Données projet'!$B$10,Paramètres!$A$1:$I$89,3,0)*0.475*44/12</f>
        <v>1.4964465088609573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14.354128092675872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60.31958470054127</v>
      </c>
      <c r="BJ128" s="62">
        <f t="shared" si="92"/>
        <v>354.50173999733266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10.656502399629209</v>
      </c>
      <c r="BQ128" s="23">
        <f>EXP(-LN(2)/25)*BQ127+(1-EXP(-LN(2)/25))/(LN(2)/25)*Calculateur!BL128*Calculateur!BN128*VLOOKUP('Données projet'!$B$11,Paramètres!$A$1:$I$89,3,0)*0.475*44/12</f>
        <v>1.2402613728331293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11.896763772462339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74.926559033177455</v>
      </c>
      <c r="CE128" s="62">
        <f t="shared" si="94"/>
        <v>430.78114872558075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12.857681583814914</v>
      </c>
      <c r="CL128" s="23">
        <f>EXP(-LN(2)/25)*CL127+(1-EXP(-LN(2)/25))/(LN(2)/25)*Calculateur!CG128*Calculateur!CI128*VLOOKUP('Données projet'!$B$12,Paramètres!$A$1:$I$89,3,0)*0.475*44/12</f>
        <v>1.4964465088609573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14.354128092675872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72.727199999999982</v>
      </c>
      <c r="D129" s="12">
        <f t="shared" si="86"/>
        <v>20.349203598669749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718.48451900727514</v>
      </c>
      <c r="H129" s="70">
        <f t="shared" si="56"/>
        <v>455.44140293434975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54.970220527721665</v>
      </c>
      <c r="T129" s="62">
        <f t="shared" si="88"/>
        <v>326.57367524399677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9.6596879942491434</v>
      </c>
      <c r="AA129" s="23">
        <f>EXP(-LN(2)/25)*AA128+(1-EXP(-LN(2)/25))/(LN(2)/25)*Calculateur!V129*Calculateur!X129*VLOOKUP('Données projet'!$B$9,Paramètres!$A$1:$I$89,3,0)*0.475*44/12</f>
        <v>1.1153759790966566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10.7750639733458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74.926559033177455</v>
      </c>
      <c r="AO129" s="62">
        <f t="shared" si="90"/>
        <v>430.78114872558075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12.605550290367695</v>
      </c>
      <c r="AV129" s="23">
        <f>EXP(-LN(2)/25)*AV128+(1-EXP(-LN(2)/25))/(LN(2)/25)*Calculateur!AQ129*Calculateur!AS129*VLOOKUP('Données projet'!$B$10,Paramètres!$A$1:$I$89,3,0)*0.475*44/12</f>
        <v>1.4555261003814528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14.061076390749149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60.31958470054127</v>
      </c>
      <c r="BJ129" s="62">
        <f t="shared" si="92"/>
        <v>354.50173999733266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10.44753488739714</v>
      </c>
      <c r="BQ129" s="23">
        <f>EXP(-LN(2)/25)*BQ128+(1-EXP(-LN(2)/25))/(LN(2)/25)*Calculateur!BL129*Calculateur!BN129*VLOOKUP('Données projet'!$B$11,Paramètres!$A$1:$I$89,3,0)*0.475*44/12</f>
        <v>1.2063463603704965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11.653881247767636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74.926559033177455</v>
      </c>
      <c r="CE129" s="62">
        <f t="shared" si="94"/>
        <v>430.78114872558075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12.605550290367695</v>
      </c>
      <c r="CL129" s="23">
        <f>EXP(-LN(2)/25)*CL128+(1-EXP(-LN(2)/25))/(LN(2)/25)*Calculateur!CG129*Calculateur!CI129*VLOOKUP('Données projet'!$B$12,Paramètres!$A$1:$I$89,3,0)*0.475*44/12</f>
        <v>1.4555261003814528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14.061076390749149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73.304399999999987</v>
      </c>
      <c r="D130" s="12">
        <f t="shared" si="86"/>
        <v>20.491840705192942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724.04115632078754</v>
      </c>
      <c r="H130" s="70">
        <f t="shared" si="56"/>
        <v>456.69511922821096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54.970220527721665</v>
      </c>
      <c r="T130" s="62">
        <f t="shared" si="88"/>
        <v>326.57367524399677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9.4702674045098245</v>
      </c>
      <c r="AA130" s="23">
        <f>EXP(-LN(2)/25)*AA129+(1-EXP(-LN(2)/25))/(LN(2)/25)*Calculateur!V130*Calculateur!X130*VLOOKUP('Données projet'!$B$9,Paramètres!$A$1:$I$89,3,0)*0.475*44/12</f>
        <v>1.0848759642931851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10.555143368803009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74.926559033177455</v>
      </c>
      <c r="AO130" s="62">
        <f t="shared" si="90"/>
        <v>430.78114872558075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12.358363137800072</v>
      </c>
      <c r="AV130" s="23">
        <f>EXP(-LN(2)/25)*AV129+(1-EXP(-LN(2)/25))/(LN(2)/25)*Calculateur!AQ130*Calculateur!AS130*VLOOKUP('Données projet'!$B$10,Paramètres!$A$1:$I$89,3,0)*0.475*44/12</f>
        <v>1.415724662623731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13.774087800423803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60.31958470054127</v>
      </c>
      <c r="BJ130" s="62">
        <f t="shared" si="92"/>
        <v>354.50173999733266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10.242665100622345</v>
      </c>
      <c r="BQ130" s="23">
        <f>EXP(-LN(2)/25)*BQ129+(1-EXP(-LN(2)/25))/(LN(2)/25)*Calculateur!BL130*Calculateur!BN130*VLOOKUP('Données projet'!$B$11,Paramètres!$A$1:$I$89,3,0)*0.475*44/12</f>
        <v>1.1733587557071672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11.416023856329511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74.926559033177455</v>
      </c>
      <c r="CE130" s="62">
        <f t="shared" si="94"/>
        <v>430.78114872558075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12.358363137800072</v>
      </c>
      <c r="CL130" s="23">
        <f>EXP(-LN(2)/25)*CL129+(1-EXP(-LN(2)/25))/(LN(2)/25)*Calculateur!CG130*Calculateur!CI130*VLOOKUP('Données projet'!$B$12,Paramètres!$A$1:$I$89,3,0)*0.475*44/12</f>
        <v>1.415724662623731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13.774087800423803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73.881599999999992</v>
      </c>
      <c r="D131" s="12">
        <f t="shared" si="86"/>
        <v>20.634347138217649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729.59678492659225</v>
      </c>
      <c r="H131" s="70">
        <f t="shared" si="56"/>
        <v>457.9486079323957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54.970220527721665</v>
      </c>
      <c r="T131" s="62">
        <f t="shared" si="88"/>
        <v>326.57367524399677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9.2845612370001422</v>
      </c>
      <c r="AA131" s="23">
        <f>EXP(-LN(2)/25)*AA130+(1-EXP(-LN(2)/25))/(LN(2)/25)*Calculateur!V131*Calculateur!X131*VLOOKUP('Données projet'!$B$9,Paramètres!$A$1:$I$89,3,0)*0.475*44/12</f>
        <v>1.0552099739984406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10.339771210998583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74.926559033177455</v>
      </c>
      <c r="AO131" s="62">
        <f t="shared" si="90"/>
        <v>430.78114872558075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12.116023174525026</v>
      </c>
      <c r="AV131" s="23">
        <f>EXP(-LN(2)/25)*AV130+(1-EXP(-LN(2)/25))/(LN(2)/25)*Calculateur!AQ131*Calculateur!AS131*VLOOKUP('Données projet'!$B$10,Paramètres!$A$1:$I$89,3,0)*0.475*44/12</f>
        <v>1.3770115972745607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13.493034771799586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60.31958470054127</v>
      </c>
      <c r="BJ131" s="62">
        <f t="shared" si="92"/>
        <v>354.50173999733266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10.041812685407972</v>
      </c>
      <c r="BQ131" s="23">
        <f>EXP(-LN(2)/25)*BQ130+(1-EXP(-LN(2)/25))/(LN(2)/25)*Calculateur!BL131*Calculateur!BN131*VLOOKUP('Données projet'!$B$11,Paramètres!$A$1:$I$89,3,0)*0.475*44/12</f>
        <v>1.1412731988280995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11.183085884236071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74.926559033177455</v>
      </c>
      <c r="CE131" s="62">
        <f t="shared" si="94"/>
        <v>430.78114872558075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12.116023174525026</v>
      </c>
      <c r="CL131" s="23">
        <f>EXP(-LN(2)/25)*CL130+(1-EXP(-LN(2)/25))/(LN(2)/25)*Calculateur!CG131*Calculateur!CI131*VLOOKUP('Données projet'!$B$12,Paramètres!$A$1:$I$89,3,0)*0.475*44/12</f>
        <v>1.3770115972745607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13.493034771799586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74.458799999999997</v>
      </c>
      <c r="D132" s="12">
        <f t="shared" si="86"/>
        <v>20.77672403696695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735.15141361869235</v>
      </c>
      <c r="H132" s="70">
        <f t="shared" ref="H132:H195" si="110">(B132+E132+F132)*44/12+(C132+D132)*0.475*44/12</f>
        <v>459.20187103105076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54.970220527721665</v>
      </c>
      <c r="T132" s="62">
        <f t="shared" si="88"/>
        <v>326.57367524399677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9.1024966541657477</v>
      </c>
      <c r="AA132" s="23">
        <f>EXP(-LN(2)/25)*AA131+(1-EXP(-LN(2)/25))/(LN(2)/25)*Calculateur!V132*Calculateur!X132*VLOOKUP('Données projet'!$B$9,Paramètres!$A$1:$I$89,3,0)*0.475*44/12</f>
        <v>1.0263552017683724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10.128851855934119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74.926559033177455</v>
      </c>
      <c r="AO132" s="62">
        <f t="shared" si="90"/>
        <v>430.78114872558075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11.878435350117019</v>
      </c>
      <c r="AV132" s="23">
        <f>EXP(-LN(2)/25)*AV131+(1-EXP(-LN(2)/25))/(LN(2)/25)*Calculateur!AQ132*Calculateur!AS132*VLOOKUP('Données projet'!$B$10,Paramètres!$A$1:$I$89,3,0)*0.475*44/12</f>
        <v>1.3393571427331952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13.217792492850215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60.31958470054127</v>
      </c>
      <c r="BJ132" s="62">
        <f t="shared" si="92"/>
        <v>354.50173999733266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9.8448988635480763</v>
      </c>
      <c r="BQ132" s="23">
        <f>EXP(-LN(2)/25)*BQ131+(1-EXP(-LN(2)/25))/(LN(2)/25)*Calculateur!BL132*Calculateur!BN132*VLOOKUP('Données projet'!$B$11,Paramètres!$A$1:$I$89,3,0)*0.475*44/12</f>
        <v>1.110065023189196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10.954963886737271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74.926559033177455</v>
      </c>
      <c r="CE132" s="62">
        <f t="shared" si="94"/>
        <v>430.78114872558075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11.878435350117019</v>
      </c>
      <c r="CL132" s="23">
        <f>EXP(-LN(2)/25)*CL131+(1-EXP(-LN(2)/25))/(LN(2)/25)*Calculateur!CG132*Calculateur!CI132*VLOOKUP('Données projet'!$B$12,Paramètres!$A$1:$I$89,3,0)*0.475*44/12</f>
        <v>1.3393571427331952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13.217792492850215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75.036000000000001</v>
      </c>
      <c r="D133" s="12">
        <f t="shared" ref="D133:D196" si="140">IFERROR(EXP(-1.0587+0.8836*LN(C133)+0.284),0)</f>
        <v>20.918972521981534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740.70505104687516</v>
      </c>
      <c r="H133" s="70">
        <f t="shared" si="110"/>
        <v>460.45491047578446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54.970220527721665</v>
      </c>
      <c r="T133" s="62">
        <f t="shared" ref="T133:T196" si="142">$T$3</f>
        <v>326.57367524399677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8.9240022467523037</v>
      </c>
      <c r="AA133" s="23">
        <f>EXP(-LN(2)/25)*AA132+(1-EXP(-LN(2)/25))/(LN(2)/25)*Calculateur!V133*Calculateur!X133*VLOOKUP('Données projet'!$B$9,Paramètres!$A$1:$I$89,3,0)*0.475*44/12</f>
        <v>0.99828946480234193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9.9222917115546458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74.926559033177455</v>
      </c>
      <c r="AO133" s="62">
        <f t="shared" ref="AO133:AO196" si="144">$AO$3</f>
        <v>430.78114872558075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11.645506478031391</v>
      </c>
      <c r="AV133" s="23">
        <f>EXP(-LN(2)/25)*AV132+(1-EXP(-LN(2)/25))/(LN(2)/25)*Calculateur!AQ133*Calculateur!AS133*VLOOKUP('Données projet'!$B$10,Paramètres!$A$1:$I$89,3,0)*0.475*44/12</f>
        <v>1.3027323512314251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12.948238829262817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60.31958470054127</v>
      </c>
      <c r="BJ133" s="62">
        <f t="shared" ref="BJ133:BJ196" si="146">$BJ$3</f>
        <v>354.50173999733266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9.6518464016292818</v>
      </c>
      <c r="BQ133" s="23">
        <f>EXP(-LN(2)/25)*BQ132+(1-EXP(-LN(2)/25))/(LN(2)/25)*Calculateur!BL133*Calculateur!BN133*VLOOKUP('Données projet'!$B$11,Paramètres!$A$1:$I$89,3,0)*0.475*44/12</f>
        <v>1.079710236754305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10.731556638383587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74.926559033177455</v>
      </c>
      <c r="CE133" s="62">
        <f t="shared" ref="CE133:CE196" si="148">$CE$3</f>
        <v>430.78114872558075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11.645506478031391</v>
      </c>
      <c r="CL133" s="23">
        <f>EXP(-LN(2)/25)*CL132+(1-EXP(-LN(2)/25))/(LN(2)/25)*Calculateur!CG133*Calculateur!CI133*VLOOKUP('Données projet'!$B$12,Paramètres!$A$1:$I$89,3,0)*0.475*44/12</f>
        <v>1.3027323512314251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12.948238829262817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75.613200000000006</v>
      </c>
      <c r="D134" s="12">
        <f t="shared" si="140"/>
        <v>21.061093695567294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746.2577057201687</v>
      </c>
      <c r="H134" s="70">
        <f t="shared" si="110"/>
        <v>461.70772818644639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54.970220527721665</v>
      </c>
      <c r="T134" s="62">
        <f t="shared" si="142"/>
        <v>326.57367524399677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8.7490080057973998</v>
      </c>
      <c r="AA134" s="23">
        <f>EXP(-LN(2)/25)*AA133+(1-EXP(-LN(2)/25))/(LN(2)/25)*Calculateur!V134*Calculateur!X134*VLOOKUP('Données projet'!$B$9,Paramètres!$A$1:$I$89,3,0)*0.475*44/12</f>
        <v>0.97099118688956054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9.7199991926869611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74.926559033177455</v>
      </c>
      <c r="AO134" s="62">
        <f t="shared" si="144"/>
        <v>430.78114872558075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11.417145199054779</v>
      </c>
      <c r="AV134" s="23">
        <f>EXP(-LN(2)/25)*AV133+(1-EXP(-LN(2)/25))/(LN(2)/25)*Calculateur!AQ134*Calculateur!AS134*VLOOKUP('Données projet'!$B$10,Paramètres!$A$1:$I$89,3,0)*0.475*44/12</f>
        <v>1.2671090665792848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12.684254265634063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60.31958470054127</v>
      </c>
      <c r="BJ134" s="62">
        <f t="shared" si="146"/>
        <v>354.50173999733266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9.462579580738339</v>
      </c>
      <c r="BQ134" s="23">
        <f>EXP(-LN(2)/25)*BQ133+(1-EXP(-LN(2)/25))/(LN(2)/25)*Calculateur!BL134*Calculateur!BN134*VLOOKUP('Données projet'!$B$11,Paramètres!$A$1:$I$89,3,0)*0.475*44/12</f>
        <v>1.0501855035507648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10.512765084289104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74.926559033177455</v>
      </c>
      <c r="CE134" s="62">
        <f t="shared" si="148"/>
        <v>430.78114872558075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11.417145199054779</v>
      </c>
      <c r="CL134" s="23">
        <f>EXP(-LN(2)/25)*CL133+(1-EXP(-LN(2)/25))/(LN(2)/25)*Calculateur!CG134*Calculateur!CI134*VLOOKUP('Données projet'!$B$12,Paramètres!$A$1:$I$89,3,0)*0.475*44/12</f>
        <v>1.2671090665792848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12.684254265634063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76.190400000000011</v>
      </c>
      <c r="D135" s="12">
        <f t="shared" si="140"/>
        <v>21.203088642228987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751.80938601018886</v>
      </c>
      <c r="H135" s="70">
        <f t="shared" si="110"/>
        <v>462.96032605188213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54.970220527721665</v>
      </c>
      <c r="T135" s="62">
        <f t="shared" si="142"/>
        <v>326.57367524399677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8.5774452951716729</v>
      </c>
      <c r="AA135" s="23">
        <f>EXP(-LN(2)/25)*AA134+(1-EXP(-LN(2)/25))/(LN(2)/25)*Calculateur!V135*Calculateur!X135*VLOOKUP('Données projet'!$B$9,Paramètres!$A$1:$I$89,3,0)*0.475*44/12</f>
        <v>0.94443938182185827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9.5218846769935315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74.926559033177455</v>
      </c>
      <c r="AO135" s="62">
        <f t="shared" si="144"/>
        <v>430.78114872558075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11.193261945472271</v>
      </c>
      <c r="AV135" s="23">
        <f>EXP(-LN(2)/25)*AV134+(1-EXP(-LN(2)/25))/(LN(2)/25)*Calculateur!AQ135*Calculateur!AS135*VLOOKUP('Données projet'!$B$10,Paramètres!$A$1:$I$89,3,0)*0.475*44/12</f>
        <v>1.2324599025193044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12.425721847991575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60.31958470054127</v>
      </c>
      <c r="BJ135" s="62">
        <f t="shared" si="146"/>
        <v>354.50173999733266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9.2770241667637059</v>
      </c>
      <c r="BQ135" s="23">
        <f>EXP(-LN(2)/25)*BQ134+(1-EXP(-LN(2)/25))/(LN(2)/25)*Calculateur!BL135*Calculateur!BN135*VLOOKUP('Données projet'!$B$11,Paramètres!$A$1:$I$89,3,0)*0.475*44/12</f>
        <v>1.0214681257293137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10.29849229249302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74.926559033177455</v>
      </c>
      <c r="CE135" s="62">
        <f t="shared" si="148"/>
        <v>430.78114872558075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11.193261945472271</v>
      </c>
      <c r="CL135" s="23">
        <f>EXP(-LN(2)/25)*CL134+(1-EXP(-LN(2)/25))/(LN(2)/25)*Calculateur!CG135*Calculateur!CI135*VLOOKUP('Données projet'!$B$12,Paramètres!$A$1:$I$89,3,0)*0.475*44/12</f>
        <v>1.2324599025193044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12.425721847991575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76.767600000000016</v>
      </c>
      <c r="D136" s="12">
        <f t="shared" si="140"/>
        <v>21.344958429090301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757.36010015438126</v>
      </c>
      <c r="H136" s="70">
        <f t="shared" si="110"/>
        <v>464.21270593066561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54.970220527721665</v>
      </c>
      <c r="T136" s="62">
        <f t="shared" si="142"/>
        <v>326.57367524399677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8.4092468246583962</v>
      </c>
      <c r="AA136" s="23">
        <f>EXP(-LN(2)/25)*AA135+(1-EXP(-LN(2)/25))/(LN(2)/25)*Calculateur!V136*Calculateur!X136*VLOOKUP('Données projet'!$B$9,Paramètres!$A$1:$I$89,3,0)*0.475*44/12</f>
        <v>0.91861363726003098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9.3278604619184264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74.926559033177455</v>
      </c>
      <c r="AO136" s="62">
        <f t="shared" si="144"/>
        <v>430.78114872558075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10.973768905937215</v>
      </c>
      <c r="AV136" s="23">
        <f>EXP(-LN(2)/25)*AV135+(1-EXP(-LN(2)/25))/(LN(2)/25)*Calculateur!AQ136*Calculateur!AS136*VLOOKUP('Données projet'!$B$10,Paramètres!$A$1:$I$89,3,0)*0.475*44/12</f>
        <v>1.1987582216726644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12.172527127609879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60.31958470054127</v>
      </c>
      <c r="BJ136" s="62">
        <f t="shared" si="146"/>
        <v>354.50173999733266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9.0951073812794885</v>
      </c>
      <c r="BQ136" s="23">
        <f>EXP(-LN(2)/25)*BQ135+(1-EXP(-LN(2)/25))/(LN(2)/25)*Calculateur!BL136*Calculateur!BN136*VLOOKUP('Données projet'!$B$11,Paramètres!$A$1:$I$89,3,0)*0.475*44/12</f>
        <v>0.99353602611457148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10.088643407394059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74.926559033177455</v>
      </c>
      <c r="CE136" s="62">
        <f t="shared" si="148"/>
        <v>430.78114872558075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10.973768905937215</v>
      </c>
      <c r="CL136" s="23">
        <f>EXP(-LN(2)/25)*CL135+(1-EXP(-LN(2)/25))/(LN(2)/25)*Calculateur!CG136*Calculateur!CI136*VLOOKUP('Données projet'!$B$12,Paramètres!$A$1:$I$89,3,0)*0.475*44/12</f>
        <v>1.1987582216726644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12.172527127609879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77.344800000000021</v>
      </c>
      <c r="D137" s="12">
        <f t="shared" si="140"/>
        <v>21.486704106300962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762.90985625916539</v>
      </c>
      <c r="H137" s="70">
        <f t="shared" si="110"/>
        <v>465.46486965180753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54.970220527721665</v>
      </c>
      <c r="T137" s="62">
        <f t="shared" si="142"/>
        <v>326.57367524399677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8.2443466235609488</v>
      </c>
      <c r="AA137" s="23">
        <f>EXP(-LN(2)/25)*AA136+(1-EXP(-LN(2)/25))/(LN(2)/25)*Calculateur!V137*Calculateur!X137*VLOOKUP('Données projet'!$B$9,Paramètres!$A$1:$I$89,3,0)*0.475*44/12</f>
        <v>0.89349409904136379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9.1378407226023128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74.926559033177455</v>
      </c>
      <c r="AO137" s="62">
        <f t="shared" si="144"/>
        <v>430.78114872558075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10.758579991029906</v>
      </c>
      <c r="AV137" s="23">
        <f>EXP(-LN(2)/25)*AV136+(1-EXP(-LN(2)/25))/(LN(2)/25)*Calculateur!AQ137*Calculateur!AS137*VLOOKUP('Données projet'!$B$10,Paramètres!$A$1:$I$89,3,0)*0.475*44/12</f>
        <v>1.1659781150610704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11.924558106090977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60.31958470054127</v>
      </c>
      <c r="BJ137" s="62">
        <f t="shared" si="146"/>
        <v>354.50173999733266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8.9167578730003338</v>
      </c>
      <c r="BQ137" s="23">
        <f>EXP(-LN(2)/25)*BQ136+(1-EXP(-LN(2)/25))/(LN(2)/25)*Calculateur!BL137*Calculateur!BN137*VLOOKUP('Données projet'!$B$11,Paramètres!$A$1:$I$89,3,0)*0.475*44/12</f>
        <v>0.96636773123267972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9.8831256042330136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74.926559033177455</v>
      </c>
      <c r="CE137" s="62">
        <f t="shared" si="148"/>
        <v>430.78114872558075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10.758579991029906</v>
      </c>
      <c r="CL137" s="23">
        <f>EXP(-LN(2)/25)*CL136+(1-EXP(-LN(2)/25))/(LN(2)/25)*Calculateur!CG137*Calculateur!CI137*VLOOKUP('Données projet'!$B$12,Paramètres!$A$1:$I$89,3,0)*0.475*44/12</f>
        <v>1.1659781150610704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11.924558106090977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77.922000000000025</v>
      </c>
      <c r="D138" s="12">
        <f t="shared" si="140"/>
        <v>21.628326707431391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768.45866230297952</v>
      </c>
      <c r="H138" s="70">
        <f t="shared" si="110"/>
        <v>466.71681901544304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54.970220527721665</v>
      </c>
      <c r="T138" s="62">
        <f t="shared" si="142"/>
        <v>326.57367524399677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8.0826800148278313</v>
      </c>
      <c r="AA138" s="23">
        <f>EXP(-LN(2)/25)*AA137+(1-EXP(-LN(2)/25))/(LN(2)/25)*Calculateur!V138*Calculateur!X138*VLOOKUP('Données projet'!$B$9,Paramètres!$A$1:$I$89,3,0)*0.475*44/12</f>
        <v>0.86906145591626516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8.9517414707440963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74.926559033177455</v>
      </c>
      <c r="AO138" s="62">
        <f t="shared" si="144"/>
        <v>430.78114872558075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10.547610799491652</v>
      </c>
      <c r="AV138" s="23">
        <f>EXP(-LN(2)/25)*AV137+(1-EXP(-LN(2)/25))/(LN(2)/25)*Calculateur!AQ138*Calculateur!AS138*VLOOKUP('Données projet'!$B$10,Paramètres!$A$1:$I$89,3,0)*0.475*44/12</f>
        <v>1.1340943821886011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11.681705181680254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60.31958470054127</v>
      </c>
      <c r="BJ138" s="62">
        <f t="shared" si="146"/>
        <v>354.50173999733266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8.7419056897960736</v>
      </c>
      <c r="BQ138" s="23">
        <f>EXP(-LN(2)/25)*BQ137+(1-EXP(-LN(2)/25))/(LN(2)/25)*Calculateur!BL138*Calculateur!BN138*VLOOKUP('Données projet'!$B$11,Paramètres!$A$1:$I$89,3,0)*0.475*44/12</f>
        <v>0.93994235480305177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9.6818480445991248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74.926559033177455</v>
      </c>
      <c r="CE138" s="62">
        <f t="shared" si="148"/>
        <v>430.78114872558075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10.547610799491652</v>
      </c>
      <c r="CL138" s="23">
        <f>EXP(-LN(2)/25)*CL137+(1-EXP(-LN(2)/25))/(LN(2)/25)*Calculateur!CG138*Calculateur!CI138*VLOOKUP('Données projet'!$B$12,Paramètres!$A$1:$I$89,3,0)*0.475*44/12</f>
        <v>1.1340943821886011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11.681705181680254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78.49920000000003</v>
      </c>
      <c r="D139" s="12">
        <f t="shared" si="140"/>
        <v>21.769827249855176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774.00652613923319</v>
      </c>
      <c r="H139" s="70">
        <f t="shared" si="110"/>
        <v>467.96855579349779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54.970220527721665</v>
      </c>
      <c r="T139" s="62">
        <f t="shared" si="142"/>
        <v>326.57367524399677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7.9241835896850743</v>
      </c>
      <c r="AA139" s="23">
        <f>EXP(-LN(2)/25)*AA138+(1-EXP(-LN(2)/25))/(LN(2)/25)*Calculateur!V139*Calculateur!X139*VLOOKUP('Données projet'!$B$9,Paramètres!$A$1:$I$89,3,0)*0.475*44/12</f>
        <v>0.84529692470227924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8.7694805143873538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74.926559033177455</v>
      </c>
      <c r="AO139" s="62">
        <f t="shared" si="144"/>
        <v>430.78114872558075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10.340778585120962</v>
      </c>
      <c r="AV139" s="23">
        <f>EXP(-LN(2)/25)*AV138+(1-EXP(-LN(2)/25))/(LN(2)/25)*Calculateur!AQ139*Calculateur!AS139*VLOOKUP('Données projet'!$B$10,Paramètres!$A$1:$I$89,3,0)*0.475*44/12</f>
        <v>1.1030825116682224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11.443861096789185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60.31958470054127</v>
      </c>
      <c r="BJ139" s="62">
        <f t="shared" si="146"/>
        <v>354.50173999733266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8.5704822512551484</v>
      </c>
      <c r="BQ139" s="23">
        <f>EXP(-LN(2)/25)*BQ138+(1-EXP(-LN(2)/25))/(LN(2)/25)*Calculateur!BL139*Calculateur!BN139*VLOOKUP('Données projet'!$B$11,Paramètres!$A$1:$I$89,3,0)*0.475*44/12</f>
        <v>0.91423958168154218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9.4847218329366907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74.926559033177455</v>
      </c>
      <c r="CE139" s="62">
        <f t="shared" si="148"/>
        <v>430.78114872558075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10.340778585120962</v>
      </c>
      <c r="CL139" s="23">
        <f>EXP(-LN(2)/25)*CL138+(1-EXP(-LN(2)/25))/(LN(2)/25)*Calculateur!CG139*Calculateur!CI139*VLOOKUP('Données projet'!$B$12,Paramètres!$A$1:$I$89,3,0)*0.475*44/12</f>
        <v>1.1030825116682224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11.443861096789185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79.076400000000035</v>
      </c>
      <c r="D140" s="12">
        <f t="shared" si="140"/>
        <v>21.91120673512015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779.55345549917331</v>
      </c>
      <c r="H140" s="70">
        <f t="shared" si="110"/>
        <v>469.2200817303343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54.970220527721665</v>
      </c>
      <c r="T140" s="62">
        <f t="shared" si="142"/>
        <v>326.57367524399677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7.7687951827660937</v>
      </c>
      <c r="AA140" s="23">
        <f>EXP(-LN(2)/25)*AA139+(1-EXP(-LN(2)/25))/(LN(2)/25)*Calculateur!V140*Calculateur!X140*VLOOKUP('Données projet'!$B$9,Paramètres!$A$1:$I$89,3,0)*0.475*44/12</f>
        <v>0.82218223584406214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8.5909774186101551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74.926559033177455</v>
      </c>
      <c r="AO140" s="62">
        <f t="shared" si="144"/>
        <v>430.78114872558075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10.138002224318887</v>
      </c>
      <c r="AV140" s="23">
        <f>EXP(-LN(2)/25)*AV139+(1-EXP(-LN(2)/25))/(LN(2)/25)*Calculateur!AQ140*Calculateur!AS140*VLOOKUP('Données projet'!$B$10,Paramètres!$A$1:$I$89,3,0)*0.475*44/12</f>
        <v>1.0729186623780667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11.210920886696954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60.31958470054127</v>
      </c>
      <c r="BJ140" s="62">
        <f t="shared" si="146"/>
        <v>354.50173999733266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8.4024203217860371</v>
      </c>
      <c r="BQ140" s="23">
        <f>EXP(-LN(2)/25)*BQ139+(1-EXP(-LN(2)/25))/(LN(2)/25)*Calculateur!BL140*Calculateur!BN140*VLOOKUP('Données projet'!$B$11,Paramètres!$A$1:$I$89,3,0)*0.475*44/12</f>
        <v>0.8892396522426903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9.2916599740287271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74.926559033177455</v>
      </c>
      <c r="CE140" s="62">
        <f t="shared" si="148"/>
        <v>430.78114872558075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10.138002224318887</v>
      </c>
      <c r="CL140" s="23">
        <f>EXP(-LN(2)/25)*CL139+(1-EXP(-LN(2)/25))/(LN(2)/25)*Calculateur!CG140*Calculateur!CI140*VLOOKUP('Données projet'!$B$12,Paramètres!$A$1:$I$89,3,0)*0.475*44/12</f>
        <v>1.0729186623780667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11.210920886696954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79.65360000000004</v>
      </c>
      <c r="D141" s="12">
        <f t="shared" si="140"/>
        <v>22.052466149308245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785.0994579946605</v>
      </c>
      <c r="H141" s="70">
        <f t="shared" si="110"/>
        <v>470.47139854337854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54.970220527721665</v>
      </c>
      <c r="T141" s="62">
        <f t="shared" si="142"/>
        <v>326.57367524399677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7.6164538477292245</v>
      </c>
      <c r="AA141" s="23">
        <f>EXP(-LN(2)/25)*AA140+(1-EXP(-LN(2)/25))/(LN(2)/25)*Calculateur!V141*Calculateur!X141*VLOOKUP('Données projet'!$B$9,Paramètres!$A$1:$I$89,3,0)*0.475*44/12</f>
        <v>0.79969961936822165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8.4161534670974465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74.926559033177455</v>
      </c>
      <c r="AO141" s="62">
        <f t="shared" si="144"/>
        <v>430.78114872558075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9.9392021842707745</v>
      </c>
      <c r="AV141" s="23">
        <f>EXP(-LN(2)/25)*AV140+(1-EXP(-LN(2)/25))/(LN(2)/25)*Calculateur!AQ141*Calculateur!AS141*VLOOKUP('Données projet'!$B$10,Paramètres!$A$1:$I$89,3,0)*0.475*44/12</f>
        <v>1.0435796451329982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10.982781829403773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60.31958470054127</v>
      </c>
      <c r="BJ141" s="62">
        <f t="shared" si="146"/>
        <v>354.50173999733266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8.23765398424616</v>
      </c>
      <c r="BQ141" s="23">
        <f>EXP(-LN(2)/25)*BQ140+(1-EXP(-LN(2)/25))/(LN(2)/25)*Calculateur!BL141*Calculateur!BN141*VLOOKUP('Données projet'!$B$11,Paramètres!$A$1:$I$89,3,0)*0.475*44/12</f>
        <v>0.86492334718903296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9.1025773314351923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74.926559033177455</v>
      </c>
      <c r="CE141" s="62">
        <f t="shared" si="148"/>
        <v>430.78114872558075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9.9392021842707745</v>
      </c>
      <c r="CL141" s="23">
        <f>EXP(-LN(2)/25)*CL140+(1-EXP(-LN(2)/25))/(LN(2)/25)*Calculateur!CG141*Calculateur!CI141*VLOOKUP('Données projet'!$B$12,Paramètres!$A$1:$I$89,3,0)*0.475*44/12</f>
        <v>1.0435796451329982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10.982781829403773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80.230800000000045</v>
      </c>
      <c r="D142" s="12">
        <f t="shared" si="140"/>
        <v>22.193606463384558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790.64454112086366</v>
      </c>
      <c r="H142" s="70">
        <f t="shared" si="110"/>
        <v>471.72250792372813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54.970220527721665</v>
      </c>
      <c r="T142" s="62">
        <f t="shared" si="142"/>
        <v>326.57367524399677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7.4670998333533891</v>
      </c>
      <c r="AA142" s="23">
        <f>EXP(-LN(2)/25)*AA141+(1-EXP(-LN(2)/25))/(LN(2)/25)*Calculateur!V142*Calculateur!X142*VLOOKUP('Données projet'!$B$9,Paramètres!$A$1:$I$89,3,0)*0.475*44/12</f>
        <v>0.77783179122222235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8.2449316245756119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74.926559033177455</v>
      </c>
      <c r="AO142" s="62">
        <f t="shared" si="144"/>
        <v>430.78114872558075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9.7443004917519538</v>
      </c>
      <c r="AV142" s="23">
        <f>EXP(-LN(2)/25)*AV141+(1-EXP(-LN(2)/25))/(LN(2)/25)*Calculateur!AQ142*Calculateur!AS142*VLOOKUP('Données projet'!$B$10,Paramètres!$A$1:$I$89,3,0)*0.475*44/12</f>
        <v>1.0150429048573679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10.759343396609321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60.31958470054127</v>
      </c>
      <c r="BJ142" s="62">
        <f t="shared" si="146"/>
        <v>354.50173999733266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8.076118614087898</v>
      </c>
      <c r="BQ142" s="23">
        <f>EXP(-LN(2)/25)*BQ141+(1-EXP(-LN(2)/25))/(LN(2)/25)*Calculateur!BL142*Calculateur!BN142*VLOOKUP('Données projet'!$B$11,Paramètres!$A$1:$I$89,3,0)*0.475*44/12</f>
        <v>0.84127197277580679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8.9173905868637053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74.926559033177455</v>
      </c>
      <c r="CE142" s="62">
        <f t="shared" si="148"/>
        <v>430.78114872558075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9.7443004917519538</v>
      </c>
      <c r="CL142" s="23">
        <f>EXP(-LN(2)/25)*CL141+(1-EXP(-LN(2)/25))/(LN(2)/25)*Calculateur!CG142*Calculateur!CI142*VLOOKUP('Données projet'!$B$12,Paramètres!$A$1:$I$89,3,0)*0.475*44/12</f>
        <v>1.0150429048573679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10.759343396609321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80.80800000000005</v>
      </c>
      <c r="D143" s="12">
        <f t="shared" si="140"/>
        <v>22.334628633536216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796.18871225887642</v>
      </c>
      <c r="H143" s="70">
        <f t="shared" si="110"/>
        <v>472.97341153674233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54.970220527721665</v>
      </c>
      <c r="T143" s="62">
        <f t="shared" si="142"/>
        <v>326.57367524399677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7.3206745601025096</v>
      </c>
      <c r="AA143" s="23">
        <f>EXP(-LN(2)/25)*AA142+(1-EXP(-LN(2)/25))/(LN(2)/25)*Calculateur!V143*Calculateur!X143*VLOOKUP('Données projet'!$B$9,Paramètres!$A$1:$I$89,3,0)*0.475*44/12</f>
        <v>0.7565619399868545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8.0772365000893647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74.926559033177455</v>
      </c>
      <c r="AO143" s="62">
        <f t="shared" si="144"/>
        <v>430.78114872558075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9.5532207025451328</v>
      </c>
      <c r="AV143" s="23">
        <f>EXP(-LN(2)/25)*AV142+(1-EXP(-LN(2)/25))/(LN(2)/25)*Calculateur!AQ143*Calculateur!AS143*VLOOKUP('Données projet'!$B$10,Paramètres!$A$1:$I$89,3,0)*0.475*44/12</f>
        <v>0.9872865032452568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10.540507205790389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60.31958470054127</v>
      </c>
      <c r="BJ143" s="62">
        <f t="shared" si="146"/>
        <v>354.50173999733266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7.917750854011592</v>
      </c>
      <c r="BQ143" s="23">
        <f>EXP(-LN(2)/25)*BQ142+(1-EXP(-LN(2)/25))/(LN(2)/25)*Calculateur!BL143*Calculateur!BN143*VLOOKUP('Données projet'!$B$11,Paramètres!$A$1:$I$89,3,0)*0.475*44/12</f>
        <v>0.81826734643968202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8.7360182004512748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74.926559033177455</v>
      </c>
      <c r="CE143" s="62">
        <f t="shared" si="148"/>
        <v>430.78114872558075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9.5532207025451328</v>
      </c>
      <c r="CL143" s="23">
        <f>EXP(-LN(2)/25)*CL142+(1-EXP(-LN(2)/25))/(LN(2)/25)*Calculateur!CG143*Calculateur!CI143*VLOOKUP('Données projet'!$B$12,Paramètres!$A$1:$I$89,3,0)*0.475*44/12</f>
        <v>0.9872865032452568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10.540507205790389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81.385200000000054</v>
      </c>
      <c r="D144" s="12">
        <f t="shared" si="140"/>
        <v>22.475533601501144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801.7319786782549</v>
      </c>
      <c r="H144" s="70">
        <f t="shared" si="110"/>
        <v>474.22411102261458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54.970220527721665</v>
      </c>
      <c r="T144" s="62">
        <f t="shared" si="142"/>
        <v>326.57367524399677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7.1771205971494823</v>
      </c>
      <c r="AA144" s="23">
        <f>EXP(-LN(2)/25)*AA143+(1-EXP(-LN(2)/25))/(LN(2)/25)*Calculateur!V144*Calculateur!X144*VLOOKUP('Données projet'!$B$9,Paramètres!$A$1:$I$89,3,0)*0.475*44/12</f>
        <v>0.7358737139520507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7.9129943111015333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74.926559033177455</v>
      </c>
      <c r="AO144" s="62">
        <f t="shared" si="144"/>
        <v>430.78114872558075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9.3658878714574936</v>
      </c>
      <c r="AV144" s="23">
        <f>EXP(-LN(2)/25)*AV143+(1-EXP(-LN(2)/25))/(LN(2)/25)*Calculateur!AQ144*Calculateur!AS144*VLOOKUP('Données projet'!$B$10,Paramètres!$A$1:$I$89,3,0)*0.475*44/12</f>
        <v>0.96028910189487449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10.326176973352368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60.31958470054127</v>
      </c>
      <c r="BJ144" s="62">
        <f t="shared" si="146"/>
        <v>354.50173999733266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7.7624885891155868</v>
      </c>
      <c r="BQ144" s="23">
        <f>EXP(-LN(2)/25)*BQ143+(1-EXP(-LN(2)/25))/(LN(2)/25)*Calculateur!BL144*Calculateur!BN144*VLOOKUP('Données projet'!$B$11,Paramètres!$A$1:$I$89,3,0)*0.475*44/12</f>
        <v>0.79589178282047934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8.5583803719360656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74.926559033177455</v>
      </c>
      <c r="CE144" s="62">
        <f t="shared" si="148"/>
        <v>430.78114872558075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9.3658878714574936</v>
      </c>
      <c r="CL144" s="23">
        <f>EXP(-LN(2)/25)*CL143+(1-EXP(-LN(2)/25))/(LN(2)/25)*Calculateur!CG144*Calculateur!CI144*VLOOKUP('Données projet'!$B$12,Paramètres!$A$1:$I$89,3,0)*0.475*44/12</f>
        <v>0.96028910189487449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10.326176973352368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81.962400000000059</v>
      </c>
      <c r="D145" s="12">
        <f t="shared" si="140"/>
        <v>22.616322294887336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807.27434753948171</v>
      </c>
      <c r="H145" s="70">
        <f t="shared" si="110"/>
        <v>475.47460799692885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54.970220527721665</v>
      </c>
      <c r="T145" s="62">
        <f t="shared" si="142"/>
        <v>326.57367524399677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7.036381639850692</v>
      </c>
      <c r="AA145" s="23">
        <f>EXP(-LN(2)/25)*AA144+(1-EXP(-LN(2)/25))/(LN(2)/25)*Calculateur!V145*Calculateur!X145*VLOOKUP('Données projet'!$B$9,Paramètres!$A$1:$I$89,3,0)*0.475*44/12</f>
        <v>0.71575120854611507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7.7521328483968066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74.926559033177455</v>
      </c>
      <c r="AO145" s="62">
        <f t="shared" si="144"/>
        <v>430.78114872558075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9.1822285229257385</v>
      </c>
      <c r="AV145" s="23">
        <f>EXP(-LN(2)/25)*AV144+(1-EXP(-LN(2)/25))/(LN(2)/25)*Calculateur!AQ145*Calculateur!AS145*VLOOKUP('Données projet'!$B$10,Paramètres!$A$1:$I$89,3,0)*0.475*44/12</f>
        <v>0.93402994590415001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10.116258468829889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60.31958470054127</v>
      </c>
      <c r="BJ145" s="62">
        <f t="shared" si="146"/>
        <v>354.50173999733266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7.6102709225335614</v>
      </c>
      <c r="BQ145" s="23">
        <f>EXP(-LN(2)/25)*BQ144+(1-EXP(-LN(2)/25))/(LN(2)/25)*Calculateur!BL145*Calculateur!BN145*VLOOKUP('Données projet'!$B$11,Paramètres!$A$1:$I$89,3,0)*0.475*44/12</f>
        <v>0.77412808016512347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8.3843990026986841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74.926559033177455</v>
      </c>
      <c r="CE145" s="62">
        <f t="shared" si="148"/>
        <v>430.78114872558075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9.1822285229257385</v>
      </c>
      <c r="CL145" s="23">
        <f>EXP(-LN(2)/25)*CL144+(1-EXP(-LN(2)/25))/(LN(2)/25)*Calculateur!CG145*Calculateur!CI145*VLOOKUP('Données projet'!$B$12,Paramètres!$A$1:$I$89,3,0)*0.475*44/12</f>
        <v>0.93402994590415001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10.116258468829889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82.539600000000064</v>
      </c>
      <c r="D146" s="12">
        <f t="shared" si="140"/>
        <v>22.756995627482869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812.81582589635946</v>
      </c>
      <c r="H146" s="70">
        <f t="shared" si="110"/>
        <v>476.72490405119942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54.970220527721665</v>
      </c>
      <c r="T146" s="62">
        <f t="shared" si="142"/>
        <v>326.57367524399677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6.898402487662243</v>
      </c>
      <c r="AA146" s="23">
        <f>EXP(-LN(2)/25)*AA145+(1-EXP(-LN(2)/25))/(LN(2)/25)*Calculateur!V146*Calculateur!X146*VLOOKUP('Données projet'!$B$9,Paramètres!$A$1:$I$89,3,0)*0.475*44/12</f>
        <v>0.69617895410870134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7.5945814417709441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74.926559033177455</v>
      </c>
      <c r="AO146" s="62">
        <f t="shared" si="144"/>
        <v>430.78114872558075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9.0021706221975499</v>
      </c>
      <c r="AV146" s="23">
        <f>EXP(-LN(2)/25)*AV145+(1-EXP(-LN(2)/25))/(LN(2)/25)*Calculateur!AQ146*Calculateur!AS146*VLOOKUP('Données projet'!$B$10,Paramètres!$A$1:$I$89,3,0)*0.475*44/12</f>
        <v>0.90848884791490092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9.9106594701124511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60.31958470054127</v>
      </c>
      <c r="BJ146" s="62">
        <f t="shared" si="146"/>
        <v>354.50173999733266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7.4610381515496007</v>
      </c>
      <c r="BQ146" s="23">
        <f>EXP(-LN(2)/25)*BQ145+(1-EXP(-LN(2)/25))/(LN(2)/25)*Calculateur!BL146*Calculateur!BN146*VLOOKUP('Données projet'!$B$11,Paramètres!$A$1:$I$89,3,0)*0.475*44/12</f>
        <v>0.75295950710338178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8.2139976586529819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74.926559033177455</v>
      </c>
      <c r="CE146" s="62">
        <f t="shared" si="148"/>
        <v>430.78114872558075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9.0021706221975499</v>
      </c>
      <c r="CL146" s="23">
        <f>EXP(-LN(2)/25)*CL145+(1-EXP(-LN(2)/25))/(LN(2)/25)*Calculateur!CG146*Calculateur!CI146*VLOOKUP('Données projet'!$B$12,Paramètres!$A$1:$I$89,3,0)*0.475*44/12</f>
        <v>0.90848884791490092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9.9106594701124511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83.116800000000069</v>
      </c>
      <c r="D147" s="12">
        <f t="shared" si="140"/>
        <v>22.897554499556854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818.3564206983342</v>
      </c>
      <c r="H147" s="70">
        <f t="shared" si="110"/>
        <v>477.97500075339497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54.970220527721665</v>
      </c>
      <c r="T147" s="62">
        <f t="shared" si="142"/>
        <v>326.57367524399677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6.7631290224892364</v>
      </c>
      <c r="AA147" s="23">
        <f>EXP(-LN(2)/25)*AA146+(1-EXP(-LN(2)/25))/(LN(2)/25)*Calculateur!V147*Calculateur!X147*VLOOKUP('Données projet'!$B$9,Paramètres!$A$1:$I$89,3,0)*0.475*44/12</f>
        <v>0.67714190399813889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7.4402709264873756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74.926559033177455</v>
      </c>
      <c r="AO147" s="62">
        <f t="shared" si="144"/>
        <v>430.78114872558075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8.8256435470781653</v>
      </c>
      <c r="AV147" s="23">
        <f>EXP(-LN(2)/25)*AV146+(1-EXP(-LN(2)/25))/(LN(2)/25)*Calculateur!AQ147*Calculateur!AS147*VLOOKUP('Données projet'!$B$10,Paramètres!$A$1:$I$89,3,0)*0.475*44/12</f>
        <v>0.88364617259331579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9.7092897196714816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60.31958470054127</v>
      </c>
      <c r="BJ147" s="62">
        <f t="shared" si="146"/>
        <v>354.50173999733266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7.3147317441816329</v>
      </c>
      <c r="BQ147" s="23">
        <f>EXP(-LN(2)/25)*BQ146+(1-EXP(-LN(2)/25))/(LN(2)/25)*Calculateur!BL147*Calculateur!BN147*VLOOKUP('Données projet'!$B$11,Paramètres!$A$1:$I$89,3,0)*0.475*44/12</f>
        <v>0.73236978978522027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8.0471015339668526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74.926559033177455</v>
      </c>
      <c r="CE147" s="62">
        <f t="shared" si="148"/>
        <v>430.78114872558075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8.8256435470781653</v>
      </c>
      <c r="CL147" s="23">
        <f>EXP(-LN(2)/25)*CL146+(1-EXP(-LN(2)/25))/(LN(2)/25)*Calculateur!CG147*Calculateur!CI147*VLOOKUP('Données projet'!$B$12,Paramètres!$A$1:$I$89,3,0)*0.475*44/12</f>
        <v>0.88364617259331579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9.7092897196714816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83.694000000000074</v>
      </c>
      <c r="D148" s="12">
        <f t="shared" si="140"/>
        <v>23.037999798152072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823.89613879275339</v>
      </c>
      <c r="H148" s="70">
        <f t="shared" si="110"/>
        <v>479.22489964844829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54.970220527721665</v>
      </c>
      <c r="T148" s="62">
        <f t="shared" si="142"/>
        <v>326.57367524399677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6.6305081874596059</v>
      </c>
      <c r="AA148" s="23">
        <f>EXP(-LN(2)/25)*AA147+(1-EXP(-LN(2)/25))/(LN(2)/25)*Calculateur!V148*Calculateur!X148*VLOOKUP('Données projet'!$B$9,Paramètres!$A$1:$I$89,3,0)*0.475*44/12</f>
        <v>0.65862542302396465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7.2891336104835709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74.926559033177455</v>
      </c>
      <c r="AO148" s="62">
        <f t="shared" si="144"/>
        <v>430.78114872558075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8.6525780602309883</v>
      </c>
      <c r="AV148" s="23">
        <f>EXP(-LN(2)/25)*AV147+(1-EXP(-LN(2)/25))/(LN(2)/25)*Calculateur!AQ148*Calculateur!AS148*VLOOKUP('Données projet'!$B$10,Paramètres!$A$1:$I$89,3,0)*0.475*44/12</f>
        <v>0.85948282153481892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9.512060881765807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60.31958470054127</v>
      </c>
      <c r="BJ148" s="62">
        <f t="shared" si="146"/>
        <v>354.50173999733266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7.1712943162240537</v>
      </c>
      <c r="BQ148" s="23">
        <f>EXP(-LN(2)/25)*BQ147+(1-EXP(-LN(2)/25))/(LN(2)/25)*Calculateur!BL148*Calculateur!BN148*VLOOKUP('Données projet'!$B$11,Paramètres!$A$1:$I$89,3,0)*0.475*44/12</f>
        <v>0.71234309936989004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7.8836374155939435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74.926559033177455</v>
      </c>
      <c r="CE148" s="62">
        <f t="shared" si="148"/>
        <v>430.78114872558075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8.6525780602309883</v>
      </c>
      <c r="CL148" s="23">
        <f>EXP(-LN(2)/25)*CL147+(1-EXP(-LN(2)/25))/(LN(2)/25)*Calculateur!CG148*Calculateur!CI148*VLOOKUP('Données projet'!$B$12,Paramètres!$A$1:$I$89,3,0)*0.475*44/12</f>
        <v>0.85948282153481892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9.512060881765807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84.271200000000078</v>
      </c>
      <c r="D149" s="12">
        <f t="shared" si="140"/>
        <v>23.178332397368969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829.43498692705941</v>
      </c>
      <c r="H149" s="70">
        <f t="shared" si="110"/>
        <v>480.47460225875108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54.970220527721665</v>
      </c>
      <c r="T149" s="62">
        <f t="shared" si="142"/>
        <v>326.57367524399677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6.5004879661141848</v>
      </c>
      <c r="AA149" s="23">
        <f>EXP(-LN(2)/25)*AA148+(1-EXP(-LN(2)/25))/(LN(2)/25)*Calculateur!V149*Calculateur!X149*VLOOKUP('Données projet'!$B$9,Paramètres!$A$1:$I$89,3,0)*0.475*44/12</f>
        <v>0.64061527619576863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7.1411032423099536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74.926559033177455</v>
      </c>
      <c r="AO149" s="62">
        <f t="shared" si="144"/>
        <v>430.78114872558075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8.4829062820213608</v>
      </c>
      <c r="AV149" s="23">
        <f>EXP(-LN(2)/25)*AV148+(1-EXP(-LN(2)/25))/(LN(2)/25)*Calculateur!AQ149*Calculateur!AS149*VLOOKUP('Données projet'!$B$10,Paramètres!$A$1:$I$89,3,0)*0.475*44/12</f>
        <v>0.83598021858171212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9.3188865006030728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60.31958470054127</v>
      </c>
      <c r="BJ149" s="62">
        <f t="shared" si="146"/>
        <v>354.50173999733266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7.0306696087405305</v>
      </c>
      <c r="BQ149" s="23">
        <f>EXP(-LN(2)/25)*BQ148+(1-EXP(-LN(2)/25))/(LN(2)/25)*Calculateur!BL149*Calculateur!BN149*VLOOKUP('Données projet'!$B$11,Paramètres!$A$1:$I$89,3,0)*0.475*44/12</f>
        <v>0.69286403985712486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7.7235336485976553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74.926559033177455</v>
      </c>
      <c r="CE149" s="62">
        <f t="shared" si="148"/>
        <v>430.78114872558075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8.4829062820213608</v>
      </c>
      <c r="CL149" s="23">
        <f>EXP(-LN(2)/25)*CL148+(1-EXP(-LN(2)/25))/(LN(2)/25)*Calculateur!CG149*Calculateur!CI149*VLOOKUP('Données projet'!$B$12,Paramètres!$A$1:$I$89,3,0)*0.475*44/12</f>
        <v>0.83598021858171212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9.3188865006030728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84.848400000000083</v>
      </c>
      <c r="D150" s="12">
        <f t="shared" si="140"/>
        <v>23.318553158641912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834.97297175092081</v>
      </c>
      <c r="H150" s="70">
        <f t="shared" si="110"/>
        <v>481.72411008463479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54.970220527721665</v>
      </c>
      <c r="T150" s="62">
        <f t="shared" si="142"/>
        <v>326.57367524399677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6.3730173620048429</v>
      </c>
      <c r="AA150" s="23">
        <f>EXP(-LN(2)/25)*AA149+(1-EXP(-LN(2)/25))/(LN(2)/25)*Calculateur!V150*Calculateur!X150*VLOOKUP('Données projet'!$B$9,Paramètres!$A$1:$I$89,3,0)*0.475*44/12</f>
        <v>0.62309761777970207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6.9961149797845454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74.926559033177455</v>
      </c>
      <c r="AO150" s="62">
        <f t="shared" si="144"/>
        <v>430.78114872558075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8.3165616638928572</v>
      </c>
      <c r="AV150" s="23">
        <f>EXP(-LN(2)/25)*AV149+(1-EXP(-LN(2)/25))/(LN(2)/25)*Calculateur!AQ150*Calculateur!AS150*VLOOKUP('Données projet'!$B$10,Paramètres!$A$1:$I$89,3,0)*0.475*44/12</f>
        <v>0.81312029554230614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9.1296819594351639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60.31958470054127</v>
      </c>
      <c r="BJ150" s="62">
        <f t="shared" si="146"/>
        <v>354.50173999733266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6.892802465998157</v>
      </c>
      <c r="BQ150" s="23">
        <f>EXP(-LN(2)/25)*BQ149+(1-EXP(-LN(2)/25))/(LN(2)/25)*Calculateur!BL150*Calculateur!BN150*VLOOKUP('Données projet'!$B$11,Paramètres!$A$1:$I$89,3,0)*0.475*44/12</f>
        <v>0.67391763625109546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7.5667201022492527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74.926559033177455</v>
      </c>
      <c r="CE150" s="62">
        <f t="shared" si="148"/>
        <v>430.78114872558075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8.3165616638928572</v>
      </c>
      <c r="CL150" s="23">
        <f>EXP(-LN(2)/25)*CL149+(1-EXP(-LN(2)/25))/(LN(2)/25)*Calculateur!CG150*Calculateur!CI150*VLOOKUP('Données projet'!$B$12,Paramètres!$A$1:$I$89,3,0)*0.475*44/12</f>
        <v>0.81312029554230614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9.1296819594351639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85.425600000000088</v>
      </c>
      <c r="D151" s="12">
        <f t="shared" si="140"/>
        <v>23.458662931007584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840.51009981830487</v>
      </c>
      <c r="H151" s="70">
        <f t="shared" si="110"/>
        <v>482.97342460483833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54.970220527721665</v>
      </c>
      <c r="T151" s="62">
        <f t="shared" si="142"/>
        <v>326.57367524399677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6.2480463786926936</v>
      </c>
      <c r="AA151" s="23">
        <f>EXP(-LN(2)/25)*AA150+(1-EXP(-LN(2)/25))/(LN(2)/25)*Calculateur!V151*Calculateur!X151*VLOOKUP('Données projet'!$B$9,Paramètres!$A$1:$I$89,3,0)*0.475*44/12</f>
        <v>0.60605898065423647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6.8541053593469297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74.926559033177455</v>
      </c>
      <c r="AO151" s="62">
        <f t="shared" si="144"/>
        <v>430.78114872558075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8.1534789622656554</v>
      </c>
      <c r="AV151" s="23">
        <f>EXP(-LN(2)/25)*AV150+(1-EXP(-LN(2)/25))/(LN(2)/25)*Calculateur!AQ151*Calculateur!AS151*VLOOKUP('Données projet'!$B$10,Paramètres!$A$1:$I$89,3,0)*0.475*44/12</f>
        <v>0.79088547830056388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8.9443644405662184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60.31958470054127</v>
      </c>
      <c r="BJ151" s="62">
        <f t="shared" si="146"/>
        <v>354.50173999733266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6.7576388138343075</v>
      </c>
      <c r="BQ151" s="23">
        <f>EXP(-LN(2)/25)*BQ150+(1-EXP(-LN(2)/25))/(LN(2)/25)*Calculateur!BL151*Calculateur!BN151*VLOOKUP('Données projet'!$B$11,Paramètres!$A$1:$I$89,3,0)*0.475*44/12</f>
        <v>0.65548932304802099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7.4131281368823281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74.926559033177455</v>
      </c>
      <c r="CE151" s="62">
        <f t="shared" si="148"/>
        <v>430.78114872558075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8.1534789622656554</v>
      </c>
      <c r="CL151" s="23">
        <f>EXP(-LN(2)/25)*CL150+(1-EXP(-LN(2)/25))/(LN(2)/25)*Calculateur!CG151*Calculateur!CI151*VLOOKUP('Données projet'!$B$12,Paramètres!$A$1:$I$89,3,0)*0.475*44/12</f>
        <v>0.79088547830056388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8.9443644405662184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86.002800000000093</v>
      </c>
      <c r="D152" s="12">
        <f t="shared" si="140"/>
        <v>23.598662551365958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846.04637758949241</v>
      </c>
      <c r="H152" s="70">
        <f t="shared" si="110"/>
        <v>484.22254727696253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54.970220527721665</v>
      </c>
      <c r="T152" s="62">
        <f t="shared" si="142"/>
        <v>326.57367524399677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6.1255260001385228</v>
      </c>
      <c r="AA152" s="23">
        <f>EXP(-LN(2)/25)*AA151+(1-EXP(-LN(2)/25))/(LN(2)/25)*Calculateur!V152*Calculateur!X152*VLOOKUP('Données projet'!$B$9,Paramètres!$A$1:$I$89,3,0)*0.475*44/12</f>
        <v>0.58948626595698972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6.7150122660955125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74.926559033177455</v>
      </c>
      <c r="AO152" s="62">
        <f t="shared" si="144"/>
        <v>430.78114872558075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7.9935942129467366</v>
      </c>
      <c r="AV152" s="23">
        <f>EXP(-LN(2)/25)*AV151+(1-EXP(-LN(2)/25))/(LN(2)/25)*Calculateur!AQ152*Calculateur!AS152*VLOOKUP('Données projet'!$B$10,Paramètres!$A$1:$I$89,3,0)*0.475*44/12</f>
        <v>0.76925867330557529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8.7628528862523112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60.31958470054127</v>
      </c>
      <c r="BJ152" s="62">
        <f t="shared" si="146"/>
        <v>354.50173999733266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6.6251256384477042</v>
      </c>
      <c r="BQ152" s="23">
        <f>EXP(-LN(2)/25)*BQ151+(1-EXP(-LN(2)/25))/(LN(2)/25)*Calculateur!BL152*Calculateur!BN152*VLOOKUP('Données projet'!$B$11,Paramètres!$A$1:$I$89,3,0)*0.475*44/12</f>
        <v>0.63756493303858752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7.2626905714862922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74.926559033177455</v>
      </c>
      <c r="CE152" s="62">
        <f t="shared" si="148"/>
        <v>430.78114872558075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7.9935942129467366</v>
      </c>
      <c r="CL152" s="23">
        <f>EXP(-LN(2)/25)*CL151+(1-EXP(-LN(2)/25))/(LN(2)/25)*Calculateur!CG152*Calculateur!CI152*VLOOKUP('Données projet'!$B$12,Paramètres!$A$1:$I$89,3,0)*0.475*44/12</f>
        <v>0.76925867330557529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8.7628528862523112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86.580000000000098</v>
      </c>
      <c r="D153" s="12">
        <f t="shared" si="140"/>
        <v>23.738552844733999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851.58181143303511</v>
      </c>
      <c r="H153" s="70">
        <f t="shared" si="110"/>
        <v>485.47147953791188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54.970220527721665</v>
      </c>
      <c r="T153" s="62">
        <f t="shared" si="142"/>
        <v>326.57367524399677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6.0054081714777467</v>
      </c>
      <c r="AA153" s="23">
        <f>EXP(-LN(2)/25)*AA152+(1-EXP(-LN(2)/25))/(LN(2)/25)*Calculateur!V153*Calculateur!X153*VLOOKUP('Données projet'!$B$9,Paramètres!$A$1:$I$89,3,0)*0.475*44/12</f>
        <v>0.57336673301466035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6.5787749044924073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74.926559033177455</v>
      </c>
      <c r="AO153" s="62">
        <f t="shared" si="144"/>
        <v>430.78114872558075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7.8368447060418944</v>
      </c>
      <c r="AV153" s="23">
        <f>EXP(-LN(2)/25)*AV152+(1-EXP(-LN(2)/25))/(LN(2)/25)*Calculateur!AQ153*Calculateur!AS153*VLOOKUP('Données projet'!$B$10,Paramètres!$A$1:$I$89,3,0)*0.475*44/12</f>
        <v>0.74822325443047888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8.5850679604723741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60.31958470054127</v>
      </c>
      <c r="BJ153" s="62">
        <f t="shared" si="146"/>
        <v>354.50173999733266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6.4952109656053754</v>
      </c>
      <c r="BQ153" s="23">
        <f>EXP(-LN(2)/25)*BQ152+(1-EXP(-LN(2)/25))/(LN(2)/25)*Calculateur!BL153*Calculateur!BN153*VLOOKUP('Données projet'!$B$11,Paramètres!$A$1:$I$89,3,0)*0.475*44/12</f>
        <v>0.62013068641656466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7.1153416520219404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74.926559033177455</v>
      </c>
      <c r="CE153" s="62">
        <f t="shared" si="148"/>
        <v>430.78114872558075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7.8368447060418944</v>
      </c>
      <c r="CL153" s="23">
        <f>EXP(-LN(2)/25)*CL152+(1-EXP(-LN(2)/25))/(LN(2)/25)*Calculateur!CG153*Calculateur!CI153*VLOOKUP('Données projet'!$B$12,Paramètres!$A$1:$I$89,3,0)*0.475*44/12</f>
        <v>0.74822325443047888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8.5850679604723741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87.157200000000103</v>
      </c>
      <c r="D154" s="12">
        <f t="shared" si="140"/>
        <v>23.878334624492524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857.1164076276624</v>
      </c>
      <c r="H154" s="70">
        <f t="shared" si="110"/>
        <v>486.72022280432464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54.970220527721665</v>
      </c>
      <c r="T154" s="62">
        <f t="shared" si="142"/>
        <v>326.57367524399677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5.8876457801723676</v>
      </c>
      <c r="AA154" s="23">
        <f>EXP(-LN(2)/25)*AA153+(1-EXP(-LN(2)/25))/(LN(2)/25)*Calculateur!V154*Calculateur!X154*VLOOKUP('Données projet'!$B$9,Paramètres!$A$1:$I$89,3,0)*0.475*44/12</f>
        <v>0.55768798954832843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6.4453337697206958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74.926559033177455</v>
      </c>
      <c r="AO154" s="62">
        <f t="shared" si="144"/>
        <v>430.78114872558075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7.6831689613596978</v>
      </c>
      <c r="AV154" s="23">
        <f>EXP(-LN(2)/25)*AV153+(1-EXP(-LN(2)/25))/(LN(2)/25)*Calculateur!AQ154*Calculateur!AS154*VLOOKUP('Données projet'!$B$10,Paramètres!$A$1:$I$89,3,0)*0.475*44/12</f>
        <v>0.72776305019072662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8.4109320115504254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60.31958470054127</v>
      </c>
      <c r="BJ154" s="62">
        <f t="shared" si="146"/>
        <v>354.50173999733266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6.3678438402573585</v>
      </c>
      <c r="BQ154" s="23">
        <f>EXP(-LN(2)/25)*BQ153+(1-EXP(-LN(2)/25))/(LN(2)/25)*Calculateur!BL154*Calculateur!BN154*VLOOKUP('Données projet'!$B$11,Paramètres!$A$1:$I$89,3,0)*0.475*44/12</f>
        <v>0.60317318018524824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6.9710170204426065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74.926559033177455</v>
      </c>
      <c r="CE154" s="62">
        <f t="shared" si="148"/>
        <v>430.78114872558075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7.6831689613596978</v>
      </c>
      <c r="CL154" s="23">
        <f>EXP(-LN(2)/25)*CL153+(1-EXP(-LN(2)/25))/(LN(2)/25)*Calculateur!CG154*Calculateur!CI154*VLOOKUP('Données projet'!$B$12,Paramètres!$A$1:$I$89,3,0)*0.475*44/12</f>
        <v>0.72776305019072662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8.4109320115504254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87.734400000000107</v>
      </c>
      <c r="D155" s="12">
        <f t="shared" si="140"/>
        <v>24.0180086926262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862.6501723641328</v>
      </c>
      <c r="H155" s="70">
        <f t="shared" si="110"/>
        <v>487.96877847299078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54.970220527721665</v>
      </c>
      <c r="T155" s="62">
        <f t="shared" si="142"/>
        <v>326.57367524399677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5.7721926375325205</v>
      </c>
      <c r="AA155" s="23">
        <f>EXP(-LN(2)/25)*AA154+(1-EXP(-LN(2)/25))/(LN(2)/25)*Calculateur!V155*Calculateur!X155*VLOOKUP('Données projet'!$B$9,Paramètres!$A$1:$I$89,3,0)*0.475*44/12</f>
        <v>0.54243798214659267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6.3146306196791135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74.926559033177455</v>
      </c>
      <c r="AO155" s="62">
        <f t="shared" si="144"/>
        <v>430.78114872558075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7.53250670429777</v>
      </c>
      <c r="AV155" s="23">
        <f>EXP(-LN(2)/25)*AV154+(1-EXP(-LN(2)/25))/(LN(2)/25)*Calculateur!AQ155*Calculateur!AS155*VLOOKUP('Données projet'!$B$10,Paramètres!$A$1:$I$89,3,0)*0.475*44/12</f>
        <v>0.70786233131186571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8.2403690356096355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60.31958470054127</v>
      </c>
      <c r="BJ155" s="62">
        <f t="shared" si="146"/>
        <v>354.50173999733266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6.2429743065511412</v>
      </c>
      <c r="BQ155" s="23">
        <f>EXP(-LN(2)/25)*BQ154+(1-EXP(-LN(2)/25))/(LN(2)/25)*Calculateur!BL155*Calculateur!BN155*VLOOKUP('Données projet'!$B$11,Paramètres!$A$1:$I$89,3,0)*0.475*44/12</f>
        <v>0.58667937785358359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6.8296536844047244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74.926559033177455</v>
      </c>
      <c r="CE155" s="62">
        <f t="shared" si="148"/>
        <v>430.78114872558075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7.53250670429777</v>
      </c>
      <c r="CL155" s="23">
        <f>EXP(-LN(2)/25)*CL154+(1-EXP(-LN(2)/25))/(LN(2)/25)*Calculateur!CG155*Calculateur!CI155*VLOOKUP('Données projet'!$B$12,Paramètres!$A$1:$I$89,3,0)*0.475*44/12</f>
        <v>0.70786233131186571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8.2403690356096355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88.311600000000112</v>
      </c>
      <c r="D156" s="12">
        <f t="shared" si="140"/>
        <v>24.157575839957207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868.18311174703911</v>
      </c>
      <c r="H156" s="70">
        <f t="shared" si="110"/>
        <v>489.21714792125897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54.970220527721665</v>
      </c>
      <c r="T156" s="62">
        <f t="shared" si="142"/>
        <v>326.57367524399677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5.6590034606003776</v>
      </c>
      <c r="AA156" s="23">
        <f>EXP(-LN(2)/25)*AA155+(1-EXP(-LN(2)/25))/(LN(2)/25)*Calculateur!V156*Calculateur!X156*VLOOKUP('Données projet'!$B$9,Paramètres!$A$1:$I$89,3,0)*0.475*44/12</f>
        <v>0.52760498699922032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6.1866084475995979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74.926559033177455</v>
      </c>
      <c r="AO156" s="62">
        <f t="shared" si="144"/>
        <v>430.78114872558075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7.3847988422019233</v>
      </c>
      <c r="AV156" s="23">
        <f>EXP(-LN(2)/25)*AV155+(1-EXP(-LN(2)/25))/(LN(2)/25)*Calculateur!AQ156*Calculateur!AS156*VLOOKUP('Données projet'!$B$10,Paramètres!$A$1:$I$89,3,0)*0.475*44/12</f>
        <v>0.68850579863728056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8.0733046408392042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60.31958470054127</v>
      </c>
      <c r="BJ156" s="62">
        <f t="shared" si="146"/>
        <v>354.50173999733266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6.1205533882380072</v>
      </c>
      <c r="BQ156" s="23">
        <f>EXP(-LN(2)/25)*BQ155+(1-EXP(-LN(2)/25))/(LN(2)/25)*Calculateur!BL156*Calculateur!BN156*VLOOKUP('Données projet'!$B$11,Paramètres!$A$1:$I$89,3,0)*0.475*44/12</f>
        <v>0.57063659941404976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6.6911899876520566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74.926559033177455</v>
      </c>
      <c r="CE156" s="62">
        <f t="shared" si="148"/>
        <v>430.78114872558075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7.3847988422019233</v>
      </c>
      <c r="CL156" s="23">
        <f>EXP(-LN(2)/25)*CL155+(1-EXP(-LN(2)/25))/(LN(2)/25)*Calculateur!CG156*Calculateur!CI156*VLOOKUP('Données projet'!$B$12,Paramètres!$A$1:$I$89,3,0)*0.475*44/12</f>
        <v>0.68850579863728056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8.0733046408392042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88.888800000000117</v>
      </c>
      <c r="D157" s="12">
        <f t="shared" si="140"/>
        <v>24.297036846372414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873.71523179655981</v>
      </c>
      <c r="H157" s="70">
        <f t="shared" si="110"/>
        <v>490.46533250743209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54.970220527721665</v>
      </c>
      <c r="T157" s="62">
        <f t="shared" si="142"/>
        <v>326.57367524399677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5.5480338543892929</v>
      </c>
      <c r="AA157" s="23">
        <f>EXP(-LN(2)/25)*AA156+(1-EXP(-LN(2)/25))/(LN(2)/25)*Calculateur!V157*Calculateur!X157*VLOOKUP('Données projet'!$B$9,Paramètres!$A$1:$I$89,3,0)*0.475*44/12</f>
        <v>0.51317760088418618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6.0612114552734795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74.926559033177455</v>
      </c>
      <c r="AO157" s="62">
        <f t="shared" si="144"/>
        <v>430.78114872558075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7.2399874411888767</v>
      </c>
      <c r="AV157" s="23">
        <f>EXP(-LN(2)/25)*AV156+(1-EXP(-LN(2)/25))/(LN(2)/25)*Calculateur!AQ157*Calculateur!AS157*VLOOKUP('Données projet'!$B$10,Paramètres!$A$1:$I$89,3,0)*0.475*44/12</f>
        <v>0.66967857136659781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7.9096660125554745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60.31958470054127</v>
      </c>
      <c r="BJ157" s="62">
        <f t="shared" si="146"/>
        <v>354.50173999733266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6.0005330694636072</v>
      </c>
      <c r="BQ157" s="23">
        <f>EXP(-LN(2)/25)*BQ156+(1-EXP(-LN(2)/25))/(LN(2)/25)*Calculateur!BL157*Calculateur!BN157*VLOOKUP('Données projet'!$B$11,Paramètres!$A$1:$I$89,3,0)*0.475*44/12</f>
        <v>0.55503251159459799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6.5555655810582056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74.926559033177455</v>
      </c>
      <c r="CE157" s="62">
        <f t="shared" si="148"/>
        <v>430.78114872558075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7.2399874411888767</v>
      </c>
      <c r="CL157" s="23">
        <f>EXP(-LN(2)/25)*CL156+(1-EXP(-LN(2)/25))/(LN(2)/25)*Calculateur!CG157*Calculateur!CI157*VLOOKUP('Données projet'!$B$12,Paramètres!$A$1:$I$89,3,0)*0.475*44/12</f>
        <v>0.66967857136659781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7.9096660125554745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89.466000000000122</v>
      </c>
      <c r="D158" s="12">
        <f t="shared" si="140"/>
        <v>24.43639248104466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879.24653845017031</v>
      </c>
      <c r="H158" s="70">
        <f t="shared" si="110"/>
        <v>491.71333357115299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54.970220527721665</v>
      </c>
      <c r="T158" s="62">
        <f t="shared" si="142"/>
        <v>326.57367524399677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5.4392402944712313</v>
      </c>
      <c r="AA158" s="23">
        <f>EXP(-LN(2)/25)*AA157+(1-EXP(-LN(2)/25))/(LN(2)/25)*Calculateur!V158*Calculateur!X158*VLOOKUP('Données projet'!$B$9,Paramètres!$A$1:$I$89,3,0)*0.475*44/12</f>
        <v>0.49914473240117097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5.9383850268724023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74.926559033177455</v>
      </c>
      <c r="AO158" s="62">
        <f t="shared" si="144"/>
        <v>430.78114872558075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7.0980157034234628</v>
      </c>
      <c r="AV158" s="23">
        <f>EXP(-LN(2)/25)*AV157+(1-EXP(-LN(2)/25))/(LN(2)/25)*Calculateur!AQ158*Calculateur!AS158*VLOOKUP('Données projet'!$B$10,Paramètres!$A$1:$I$89,3,0)*0.475*44/12</f>
        <v>0.65136617561571264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7.7493818790391753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60.31958470054127</v>
      </c>
      <c r="BJ158" s="62">
        <f t="shared" si="146"/>
        <v>354.50173999733266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5.8828662759352071</v>
      </c>
      <c r="BQ158" s="23">
        <f>EXP(-LN(2)/25)*BQ157+(1-EXP(-LN(2)/25))/(LN(2)/25)*Calculateur!BL158*Calculateur!BN158*VLOOKUP('Données projet'!$B$11,Paramètres!$A$1:$I$89,3,0)*0.475*44/12</f>
        <v>0.5398551183771525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6.4227213943123598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74.926559033177455</v>
      </c>
      <c r="CE158" s="62">
        <f t="shared" si="148"/>
        <v>430.78114872558075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7.0980157034234628</v>
      </c>
      <c r="CL158" s="23">
        <f>EXP(-LN(2)/25)*CL157+(1-EXP(-LN(2)/25))/(LN(2)/25)*Calculateur!CG158*Calculateur!CI158*VLOOKUP('Données projet'!$B$12,Paramètres!$A$1:$I$89,3,0)*0.475*44/12</f>
        <v>0.65136617561571264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7.7493818790391753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90.043200000000127</v>
      </c>
      <c r="D159" s="12">
        <f t="shared" si="140"/>
        <v>24.575643502648077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884.77703756430185</v>
      </c>
      <c r="H159" s="70">
        <f t="shared" si="110"/>
        <v>492.96115243377892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54.970220527721665</v>
      </c>
      <c r="T159" s="62">
        <f t="shared" si="142"/>
        <v>326.57367524399677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5.3325801099056438</v>
      </c>
      <c r="AA159" s="23">
        <f>EXP(-LN(2)/25)*AA158+(1-EXP(-LN(2)/25))/(LN(2)/25)*Calculateur!V159*Calculateur!X159*VLOOKUP('Données projet'!$B$9,Paramètres!$A$1:$I$89,3,0)*0.475*44/12</f>
        <v>0.48549559344478027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5.8180757033504245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74.926559033177455</v>
      </c>
      <c r="AO159" s="62">
        <f t="shared" si="144"/>
        <v>430.78114872558075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6.9588279448414188</v>
      </c>
      <c r="AV159" s="23">
        <f>EXP(-LN(2)/25)*AV158+(1-EXP(-LN(2)/25))/(LN(2)/25)*Calculateur!AQ159*Calculateur!AS159*VLOOKUP('Données projet'!$B$10,Paramètres!$A$1:$I$89,3,0)*0.475*44/12</f>
        <v>0.63355453328964251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7.5923824781310616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60.31958470054127</v>
      </c>
      <c r="BJ159" s="62">
        <f t="shared" si="146"/>
        <v>354.50173999733266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5.7675068564582412</v>
      </c>
      <c r="BQ159" s="23">
        <f>EXP(-LN(2)/25)*BQ158+(1-EXP(-LN(2)/25))/(LN(2)/25)*Calculateur!BL159*Calculateur!BN159*VLOOKUP('Données projet'!$B$11,Paramètres!$A$1:$I$89,3,0)*0.475*44/12</f>
        <v>0.52509275177538239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6.2925996082336235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74.926559033177455</v>
      </c>
      <c r="CE159" s="62">
        <f t="shared" si="148"/>
        <v>430.78114872558075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6.9588279448414188</v>
      </c>
      <c r="CL159" s="23">
        <f>EXP(-LN(2)/25)*CL158+(1-EXP(-LN(2)/25))/(LN(2)/25)*Calculateur!CG159*Calculateur!CI159*VLOOKUP('Données projet'!$B$12,Paramètres!$A$1:$I$89,3,0)*0.475*44/12</f>
        <v>0.63355453328964251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7.5923824781310616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90.620400000000132</v>
      </c>
      <c r="D160" s="12">
        <f t="shared" si="140"/>
        <v>24.714790659567761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890.30673491596281</v>
      </c>
      <c r="H160" s="70">
        <f t="shared" si="110"/>
        <v>494.2087903987474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54.970220527721665</v>
      </c>
      <c r="T160" s="62">
        <f t="shared" si="142"/>
        <v>326.57367524399677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5.2280114665030979</v>
      </c>
      <c r="AA160" s="23">
        <f>EXP(-LN(2)/25)*AA159+(1-EXP(-LN(2)/25))/(LN(2)/25)*Calculateur!V160*Calculateur!X160*VLOOKUP('Données projet'!$B$9,Paramètres!$A$1:$I$89,3,0)*0.475*44/12</f>
        <v>0.47221969091092914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5.7002311574140272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74.926559033177455</v>
      </c>
      <c r="AO160" s="62">
        <f t="shared" si="144"/>
        <v>430.78114872558075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6.8223695733090191</v>
      </c>
      <c r="AV160" s="23">
        <f>EXP(-LN(2)/25)*AV159+(1-EXP(-LN(2)/25))/(LN(2)/25)*Calculateur!AQ160*Calculateur!AS160*VLOOKUP('Données projet'!$B$10,Paramètres!$A$1:$I$89,3,0)*0.475*44/12</f>
        <v>0.6162299512596523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7.4385995245686711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60.31958470054127</v>
      </c>
      <c r="BJ160" s="62">
        <f t="shared" si="146"/>
        <v>354.50173999733266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5.6544095648349204</v>
      </c>
      <c r="BQ160" s="23">
        <f>EXP(-LN(2)/25)*BQ159+(1-EXP(-LN(2)/25))/(LN(2)/25)*Calculateur!BL160*Calculateur!BN160*VLOOKUP('Données projet'!$B$11,Paramètres!$A$1:$I$89,3,0)*0.475*44/12</f>
        <v>0.51073406286465683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6.1651436276995772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74.926559033177455</v>
      </c>
      <c r="CE160" s="62">
        <f t="shared" si="148"/>
        <v>430.78114872558075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6.8223695733090191</v>
      </c>
      <c r="CL160" s="23">
        <f>EXP(-LN(2)/25)*CL159+(1-EXP(-LN(2)/25))/(LN(2)/25)*Calculateur!CG160*Calculateur!CI160*VLOOKUP('Données projet'!$B$12,Paramètres!$A$1:$I$89,3,0)*0.475*44/12</f>
        <v>0.6162299512596523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7.4385995245686711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91.197600000000136</v>
      </c>
      <c r="D161" s="12">
        <f t="shared" si="140"/>
        <v>24.853834690103874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895.83563620431175</v>
      </c>
      <c r="H161" s="70">
        <f t="shared" si="110"/>
        <v>495.45624875193107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54.970220527721665</v>
      </c>
      <c r="T161" s="62">
        <f t="shared" si="142"/>
        <v>326.57367524399677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5.1254933504171012</v>
      </c>
      <c r="AA161" s="23">
        <f>EXP(-LN(2)/25)*AA160+(1-EXP(-LN(2)/25))/(LN(2)/25)*Calculateur!V161*Calculateur!X161*VLOOKUP('Données projet'!$B$9,Paramètres!$A$1:$I$89,3,0)*0.475*44/12</f>
        <v>0.45930681863001549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5.5848001690471163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74.926559033177455</v>
      </c>
      <c r="AO161" s="62">
        <f t="shared" si="144"/>
        <v>430.78114872558075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6.6885870672109808</v>
      </c>
      <c r="AV161" s="23">
        <f>EXP(-LN(2)/25)*AV160+(1-EXP(-LN(2)/25))/(LN(2)/25)*Calculateur!AQ161*Calculateur!AS161*VLOOKUP('Données projet'!$B$10,Paramètres!$A$1:$I$89,3,0)*0.475*44/12</f>
        <v>0.59937911083633233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7.2879661780473128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60.31958470054127</v>
      </c>
      <c r="BJ161" s="62">
        <f t="shared" si="146"/>
        <v>354.50173999733266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5.5435300421177969</v>
      </c>
      <c r="BQ161" s="23">
        <f>EXP(-LN(2)/25)*BQ160+(1-EXP(-LN(2)/25))/(LN(2)/25)*Calculateur!BL161*Calculateur!BN161*VLOOKUP('Données projet'!$B$11,Paramètres!$A$1:$I$89,3,0)*0.475*44/12</f>
        <v>0.49676801305728574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6.0402980551750822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74.926559033177455</v>
      </c>
      <c r="CE161" s="62">
        <f t="shared" si="148"/>
        <v>430.78114872558075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6.6885870672109808</v>
      </c>
      <c r="CL161" s="23">
        <f>EXP(-LN(2)/25)*CL160+(1-EXP(-LN(2)/25))/(LN(2)/25)*Calculateur!CG161*Calculateur!CI161*VLOOKUP('Données projet'!$B$12,Paramètres!$A$1:$I$89,3,0)*0.475*44/12</f>
        <v>0.59937911083633233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7.2879661780473128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91.774800000000141</v>
      </c>
      <c r="D162" s="12">
        <f t="shared" si="140"/>
        <v>24.992776322670601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901.36374705219532</v>
      </c>
      <c r="H162" s="70">
        <f t="shared" si="110"/>
        <v>496.7035287619849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54.970220527721665</v>
      </c>
      <c r="T162" s="62">
        <f t="shared" si="142"/>
        <v>326.57367524399677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5.0249855520576752</v>
      </c>
      <c r="AA162" s="23">
        <f>EXP(-LN(2)/25)*AA161+(1-EXP(-LN(2)/25))/(LN(2)/25)*Calculateur!V162*Calculateur!X162*VLOOKUP('Données projet'!$B$9,Paramètres!$A$1:$I$89,3,0)*0.475*44/12</f>
        <v>0.44674704952068189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5.4717326015783572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74.926559033177455</v>
      </c>
      <c r="AO162" s="62">
        <f t="shared" si="144"/>
        <v>430.78114872558075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6.5574279544582543</v>
      </c>
      <c r="AV162" s="23">
        <f>EXP(-LN(2)/25)*AV161+(1-EXP(-LN(2)/25))/(LN(2)/25)*Calculateur!AQ162*Calculateur!AS162*VLOOKUP('Données projet'!$B$10,Paramètres!$A$1:$I$89,3,0)*0.475*44/12</f>
        <v>0.58298905753053532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7.1404170119887898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60.31958470054127</v>
      </c>
      <c r="BJ162" s="62">
        <f t="shared" si="146"/>
        <v>354.50173999733266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5.4348247992113246</v>
      </c>
      <c r="BQ162" s="23">
        <f>EXP(-LN(2)/25)*BQ161+(1-EXP(-LN(2)/25))/(LN(2)/25)*Calculateur!BL162*Calculateur!BN162*VLOOKUP('Données projet'!$B$11,Paramètres!$A$1:$I$89,3,0)*0.475*44/12</f>
        <v>0.48318386561633986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5.9180086648276644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74.926559033177455</v>
      </c>
      <c r="CE162" s="62">
        <f t="shared" si="148"/>
        <v>430.78114872558075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6.5574279544582543</v>
      </c>
      <c r="CL162" s="23">
        <f>EXP(-LN(2)/25)*CL161+(1-EXP(-LN(2)/25))/(LN(2)/25)*Calculateur!CG162*Calculateur!CI162*VLOOKUP('Données projet'!$B$12,Paramètres!$A$1:$I$89,3,0)*0.475*44/12</f>
        <v>0.58298905753053532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7.1404170119887898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92.352000000000146</v>
      </c>
      <c r="D163" s="12">
        <f t="shared" si="140"/>
        <v>25.131616275989785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906.89107300764169</v>
      </c>
      <c r="H163" s="70">
        <f t="shared" si="110"/>
        <v>497.95063168068248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54.970220527721665</v>
      </c>
      <c r="T163" s="62">
        <f t="shared" si="142"/>
        <v>326.57367524399677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4.9264486503203733</v>
      </c>
      <c r="AA163" s="23">
        <f>EXP(-LN(2)/25)*AA162+(1-EXP(-LN(2)/25))/(LN(2)/25)*Calculateur!V163*Calculateur!X163*VLOOKUP('Données projet'!$B$9,Paramètres!$A$1:$I$89,3,0)*0.475*44/12</f>
        <v>0.43453072795813258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5.3609793782785058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74.926559033177455</v>
      </c>
      <c r="AO163" s="62">
        <f t="shared" si="144"/>
        <v>430.78114872558075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6.4288407919074491</v>
      </c>
      <c r="AV163" s="23">
        <f>EXP(-LN(2)/25)*AV162+(1-EXP(-LN(2)/25))/(LN(2)/25)*Calculateur!AQ163*Calculateur!AS163*VLOOKUP('Données projet'!$B$10,Paramètres!$A$1:$I$89,3,0)*0.475*44/12</f>
        <v>0.56704719109430068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6.99588798300175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60.31958470054127</v>
      </c>
      <c r="BJ163" s="62">
        <f t="shared" si="146"/>
        <v>354.50173999733266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5.3282511998145976</v>
      </c>
      <c r="BQ163" s="23">
        <f>EXP(-LN(2)/25)*BQ162+(1-EXP(-LN(2)/25))/(LN(2)/25)*Calculateur!BL163*Calculateur!BN163*VLOOKUP('Données projet'!$B$11,Paramètres!$A$1:$I$89,3,0)*0.475*44/12</f>
        <v>0.46997117740152589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5.7982223772161232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74.926559033177455</v>
      </c>
      <c r="CE163" s="62">
        <f t="shared" si="148"/>
        <v>430.78114872558075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6.4288407919074491</v>
      </c>
      <c r="CL163" s="23">
        <f>EXP(-LN(2)/25)*CL162+(1-EXP(-LN(2)/25))/(LN(2)/25)*Calculateur!CG163*Calculateur!CI163*VLOOKUP('Données projet'!$B$12,Paramètres!$A$1:$I$89,3,0)*0.475*44/12</f>
        <v>0.56704719109430068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6.99588798300175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92.929200000000151</v>
      </c>
      <c r="D164" s="12">
        <f t="shared" si="140"/>
        <v>25.270355259279601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912.41761954531739</v>
      </c>
      <c r="H164" s="70">
        <f t="shared" si="110"/>
        <v>499.19755874324551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54.970220527721665</v>
      </c>
      <c r="T164" s="62">
        <f t="shared" si="142"/>
        <v>326.57367524399677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4.8298439971245646</v>
      </c>
      <c r="AA164" s="23">
        <f>EXP(-LN(2)/25)*AA163+(1-EXP(-LN(2)/25))/(LN(2)/25)*Calculateur!V164*Calculateur!X164*VLOOKUP('Données projet'!$B$9,Paramètres!$A$1:$I$89,3,0)*0.475*44/12</f>
        <v>0.42264846235113962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5.2524924594757039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74.926559033177455</v>
      </c>
      <c r="AO164" s="62">
        <f t="shared" si="144"/>
        <v>430.78114872558075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6.3027751451838405</v>
      </c>
      <c r="AV164" s="23">
        <f>EXP(-LN(2)/25)*AV163+(1-EXP(-LN(2)/25))/(LN(2)/25)*Calculateur!AQ164*Calculateur!AS164*VLOOKUP('Données projet'!$B$10,Paramètres!$A$1:$I$89,3,0)*0.475*44/12</f>
        <v>0.55154125583411129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6.854316401017952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60.31958470054127</v>
      </c>
      <c r="BJ164" s="62">
        <f t="shared" si="146"/>
        <v>354.50173999733266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5.2237674436985628</v>
      </c>
      <c r="BQ164" s="23">
        <f>EXP(-LN(2)/25)*BQ163+(1-EXP(-LN(2)/25))/(LN(2)/25)*Calculateur!BL164*Calculateur!BN164*VLOOKUP('Données projet'!$B$11,Paramètres!$A$1:$I$89,3,0)*0.475*44/12</f>
        <v>0.45711979084077109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5.680887234539334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74.926559033177455</v>
      </c>
      <c r="CE164" s="62">
        <f t="shared" si="148"/>
        <v>430.78114872558075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6.3027751451838405</v>
      </c>
      <c r="CL164" s="23">
        <f>EXP(-LN(2)/25)*CL163+(1-EXP(-LN(2)/25))/(LN(2)/25)*Calculateur!CG164*Calculateur!CI164*VLOOKUP('Données projet'!$B$12,Paramètres!$A$1:$I$89,3,0)*0.475*44/12</f>
        <v>0.55154125583411129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6.854316401017952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93.506400000000156</v>
      </c>
      <c r="D165" s="12">
        <f t="shared" si="140"/>
        <v>25.408993972438534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917.94339206794791</v>
      </c>
      <c r="H165" s="70">
        <f t="shared" si="110"/>
        <v>500.444311168664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54.970220527721665</v>
      </c>
      <c r="T165" s="62">
        <f t="shared" si="142"/>
        <v>326.57367524399677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4.7351337022549052</v>
      </c>
      <c r="AA165" s="23">
        <f>EXP(-LN(2)/25)*AA164+(1-EXP(-LN(2)/25))/(LN(2)/25)*Calculateur!V165*Calculateur!X165*VLOOKUP('Données projet'!$B$9,Paramètres!$A$1:$I$89,3,0)*0.475*44/12</f>
        <v>0.41109111792203107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5.1462248201769363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74.926559033177455</v>
      </c>
      <c r="AO165" s="62">
        <f t="shared" si="144"/>
        <v>430.78114872558075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6.17918156890003</v>
      </c>
      <c r="AV165" s="23">
        <f>EXP(-LN(2)/25)*AV164+(1-EXP(-LN(2)/25))/(LN(2)/25)*Calculateur!AQ165*Calculateur!AS165*VLOOKUP('Données projet'!$B$10,Paramètres!$A$1:$I$89,3,0)*0.475*44/12</f>
        <v>0.53645933118903344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6.7156409000890633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60.31958470054127</v>
      </c>
      <c r="BJ165" s="62">
        <f t="shared" si="146"/>
        <v>354.50173999733266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5.1213325503111653</v>
      </c>
      <c r="BQ165" s="23">
        <f>EXP(-LN(2)/25)*BQ164+(1-EXP(-LN(2)/25))/(LN(2)/25)*Calculateur!BL165*Calculateur!BN165*VLOOKUP('Données projet'!$B$11,Paramètres!$A$1:$I$89,3,0)*0.475*44/12</f>
        <v>0.44461982612134515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5.5659523764325103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74.926559033177455</v>
      </c>
      <c r="CE165" s="62">
        <f t="shared" si="148"/>
        <v>430.78114872558075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6.17918156890003</v>
      </c>
      <c r="CL165" s="23">
        <f>EXP(-LN(2)/25)*CL164+(1-EXP(-LN(2)/25))/(LN(2)/25)*Calculateur!CG165*Calculateur!CI165*VLOOKUP('Données projet'!$B$12,Paramètres!$A$1:$I$89,3,0)*0.475*44/12</f>
        <v>0.53645933118903344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6.7156409000890633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94.08360000000016</v>
      </c>
      <c r="D166" s="12">
        <f t="shared" si="140"/>
        <v>25.547533106224556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923.46839590769969</v>
      </c>
      <c r="H166" s="70">
        <f t="shared" si="110"/>
        <v>501.69089016000805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54.970220527721665</v>
      </c>
      <c r="T166" s="62">
        <f t="shared" si="142"/>
        <v>326.57367524399677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4.642280618500064</v>
      </c>
      <c r="AA166" s="23">
        <f>EXP(-LN(2)/25)*AA165+(1-EXP(-LN(2)/25))/(LN(2)/25)*Calculateur!V166*Calculateur!X166*VLOOKUP('Données projet'!$B$9,Paramètres!$A$1:$I$89,3,0)*0.475*44/12</f>
        <v>0.39984980968411082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5.0421304281841746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74.926559033177455</v>
      </c>
      <c r="AO166" s="62">
        <f t="shared" si="144"/>
        <v>430.78114872558075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6.0580115872625067</v>
      </c>
      <c r="AV166" s="23">
        <f>EXP(-LN(2)/25)*AV165+(1-EXP(-LN(2)/25))/(LN(2)/25)*Calculateur!AQ166*Calculateur!AS166*VLOOKUP('Données projet'!$B$10,Paramètres!$A$1:$I$89,3,0)*0.475*44/12</f>
        <v>0.5217898225664992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6.5798014098290061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60.31958470054127</v>
      </c>
      <c r="BJ166" s="62">
        <f t="shared" si="146"/>
        <v>354.50173999733266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5.0209063427039791</v>
      </c>
      <c r="BQ166" s="23">
        <f>EXP(-LN(2)/25)*BQ165+(1-EXP(-LN(2)/25))/(LN(2)/25)*Calculateur!BL166*Calculateur!BN166*VLOOKUP('Données projet'!$B$11,Paramètres!$A$1:$I$89,3,0)*0.475*44/12</f>
        <v>0.43246167359451648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5.4533680162984952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74.926559033177455</v>
      </c>
      <c r="CE166" s="62">
        <f t="shared" si="148"/>
        <v>430.78114872558075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6.0580115872625067</v>
      </c>
      <c r="CL166" s="23">
        <f>EXP(-LN(2)/25)*CL165+(1-EXP(-LN(2)/25))/(LN(2)/25)*Calculateur!CG166*Calculateur!CI166*VLOOKUP('Données projet'!$B$12,Paramètres!$A$1:$I$89,3,0)*0.475*44/12</f>
        <v>0.5217898225664992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6.5798014098290061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94.660800000000165</v>
      </c>
      <c r="D167" s="12">
        <f t="shared" si="140"/>
        <v>25.685973342429886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928.99263632753036</v>
      </c>
      <c r="H167" s="70">
        <f t="shared" si="110"/>
        <v>502.93729690473231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54.970220527721665</v>
      </c>
      <c r="T167" s="62">
        <f t="shared" si="142"/>
        <v>326.57367524399677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4.5512483270828668</v>
      </c>
      <c r="AA167" s="23">
        <f>EXP(-LN(2)/25)*AA166+(1-EXP(-LN(2)/25))/(LN(2)/25)*Calculateur!V167*Calculateur!X167*VLOOKUP('Données projet'!$B$9,Paramètres!$A$1:$I$89,3,0)*0.475*44/12</f>
        <v>0.38891589561111117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4.9401642226939781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74.926559033177455</v>
      </c>
      <c r="AO167" s="62">
        <f t="shared" si="144"/>
        <v>430.78114872558075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5.9392176750585044</v>
      </c>
      <c r="AV167" s="23">
        <f>EXP(-LN(2)/25)*AV166+(1-EXP(-LN(2)/25))/(LN(2)/25)*Calculateur!AQ167*Calculateur!AS167*VLOOKUP('Données projet'!$B$10,Paramètres!$A$1:$I$89,3,0)*0.475*44/12</f>
        <v>0.50752145242868407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6.4467391274871888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60.31958470054127</v>
      </c>
      <c r="BJ167" s="62">
        <f t="shared" si="146"/>
        <v>354.50173999733266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4.922449431774031</v>
      </c>
      <c r="BQ167" s="23">
        <f>EXP(-LN(2)/25)*BQ166+(1-EXP(-LN(2)/25))/(LN(2)/25)*Calculateur!BL167*Calculateur!BN167*VLOOKUP('Données projet'!$B$11,Paramètres!$A$1:$I$89,3,0)*0.475*44/12</f>
        <v>0.42063598638790339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5.3430854181619347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74.926559033177455</v>
      </c>
      <c r="CE167" s="62">
        <f t="shared" si="148"/>
        <v>430.78114872558075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5.9392176750585044</v>
      </c>
      <c r="CL167" s="23">
        <f>EXP(-LN(2)/25)*CL166+(1-EXP(-LN(2)/25))/(LN(2)/25)*Calculateur!CG167*Calculateur!CI167*VLOOKUP('Données projet'!$B$12,Paramètres!$A$1:$I$89,3,0)*0.475*44/12</f>
        <v>0.50752145242868407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6.4467391274871888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95.23800000000017</v>
      </c>
      <c r="D168" s="12">
        <f t="shared" si="140"/>
        <v>25.824315354051187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934.51611852250164</v>
      </c>
      <c r="H168" s="70">
        <f t="shared" si="110"/>
        <v>504.18353257497273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54.970220527721665</v>
      </c>
      <c r="T168" s="62">
        <f t="shared" si="142"/>
        <v>326.57367524399677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4.4620011233761456</v>
      </c>
      <c r="AA168" s="23">
        <f>EXP(-LN(2)/25)*AA167+(1-EXP(-LN(2)/25))/(LN(2)/25)*Calculateur!V168*Calculateur!X168*VLOOKUP('Données projet'!$B$9,Paramètres!$A$1:$I$89,3,0)*0.475*44/12</f>
        <v>0.37828096999342725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4.8402820933695727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74.926559033177455</v>
      </c>
      <c r="AO168" s="62">
        <f t="shared" si="144"/>
        <v>430.78114872558075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5.8227532390156904</v>
      </c>
      <c r="AV168" s="23">
        <f>EXP(-LN(2)/25)*AV167+(1-EXP(-LN(2)/25))/(LN(2)/25)*Calculateur!AQ168*Calculateur!AS168*VLOOKUP('Données projet'!$B$10,Paramètres!$A$1:$I$89,3,0)*0.475*44/12</f>
        <v>0.49364325162262845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6.3163964906383185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60.31958470054127</v>
      </c>
      <c r="BJ168" s="62">
        <f t="shared" si="146"/>
        <v>354.50173999733266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4.8259232008146338</v>
      </c>
      <c r="BQ168" s="23">
        <f>EXP(-LN(2)/25)*BQ167+(1-EXP(-LN(2)/25))/(LN(2)/25)*Calculateur!BL168*Calculateur!BN168*VLOOKUP('Données projet'!$B$11,Paramètres!$A$1:$I$89,3,0)*0.475*44/12</f>
        <v>0.40913367321984101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5.2350568740344752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74.926559033177455</v>
      </c>
      <c r="CE168" s="62">
        <f t="shared" si="148"/>
        <v>430.78114872558075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5.8227532390156904</v>
      </c>
      <c r="CL168" s="23">
        <f>EXP(-LN(2)/25)*CL167+(1-EXP(-LN(2)/25))/(LN(2)/25)*Calculateur!CG168*Calculateur!CI168*VLOOKUP('Données projet'!$B$12,Paramètres!$A$1:$I$89,3,0)*0.475*44/12</f>
        <v>0.49364325162262845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6.3163964906383185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95.815200000000175</v>
      </c>
      <c r="D169" s="12">
        <f t="shared" si="140"/>
        <v>25.962559805455733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940.03884762106316</v>
      </c>
      <c r="H169" s="70">
        <f t="shared" si="110"/>
        <v>505.42959832783566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54.970220527721665</v>
      </c>
      <c r="T169" s="62">
        <f t="shared" si="142"/>
        <v>326.57367524399677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4.3745040028986937</v>
      </c>
      <c r="AA169" s="23">
        <f>EXP(-LN(2)/25)*AA168+(1-EXP(-LN(2)/25))/(LN(2)/25)*Calculateur!V169*Calculateur!X169*VLOOKUP('Données projet'!$B$9,Paramètres!$A$1:$I$89,3,0)*0.475*44/12</f>
        <v>0.36793685697602535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4.7424408598747192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74.926559033177455</v>
      </c>
      <c r="AO169" s="62">
        <f t="shared" si="144"/>
        <v>430.78114872558075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5.7085725995273844</v>
      </c>
      <c r="AV169" s="23">
        <f>EXP(-LN(2)/25)*AV168+(1-EXP(-LN(2)/25))/(LN(2)/25)*Calculateur!AQ169*Calculateur!AS169*VLOOKUP('Données projet'!$B$10,Paramètres!$A$1:$I$89,3,0)*0.475*44/12</f>
        <v>0.4801445509474373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6.1887171504748215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60.31958470054127</v>
      </c>
      <c r="BJ169" s="62">
        <f t="shared" si="146"/>
        <v>354.50173999733266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4.7312897903691624</v>
      </c>
      <c r="BQ169" s="23">
        <f>EXP(-LN(2)/25)*BQ168+(1-EXP(-LN(2)/25))/(LN(2)/25)*Calculateur!BL169*Calculateur!BN169*VLOOKUP('Données projet'!$B$11,Paramètres!$A$1:$I$89,3,0)*0.475*44/12</f>
        <v>0.39794589141023967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5.1292356817794023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74.926559033177455</v>
      </c>
      <c r="CE169" s="62">
        <f t="shared" si="148"/>
        <v>430.78114872558075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5.7085725995273844</v>
      </c>
      <c r="CL169" s="23">
        <f>EXP(-LN(2)/25)*CL168+(1-EXP(-LN(2)/25))/(LN(2)/25)*Calculateur!CG169*Calculateur!CI169*VLOOKUP('Données projet'!$B$12,Paramètres!$A$1:$I$89,3,0)*0.475*44/12</f>
        <v>0.4801445509474373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6.1887171504748215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96.39240000000018</v>
      </c>
      <c r="D170" s="12">
        <f t="shared" si="140"/>
        <v>26.100707352543353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945.56082868630108</v>
      </c>
      <c r="H170" s="70">
        <f t="shared" si="110"/>
        <v>506.67549530567999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54.970220527721665</v>
      </c>
      <c r="T170" s="62">
        <f t="shared" si="142"/>
        <v>326.57367524399677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4.2887226475858311</v>
      </c>
      <c r="AA170" s="23">
        <f>EXP(-LN(2)/25)*AA169+(1-EXP(-LN(2)/25))/(LN(2)/25)*Calculateur!V170*Calculateur!X170*VLOOKUP('Données projet'!$B$9,Paramètres!$A$1:$I$89,3,0)*0.475*44/12</f>
        <v>0.35787560427305753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4.6465982518588884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74.926559033177455</v>
      </c>
      <c r="AO170" s="62">
        <f t="shared" si="144"/>
        <v>430.78114872558075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5.5966309727361301</v>
      </c>
      <c r="AV170" s="23">
        <f>EXP(-LN(2)/25)*AV169+(1-EXP(-LN(2)/25))/(LN(2)/25)*Calculateur!AQ170*Calculateur!AS170*VLOOKUP('Données projet'!$B$10,Paramètres!$A$1:$I$89,3,0)*0.475*44/12</f>
        <v>0.46701497295207506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6.0636459456882053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60.31958470054127</v>
      </c>
      <c r="BJ170" s="62">
        <f t="shared" si="146"/>
        <v>354.50173999733266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4.6385120833818458</v>
      </c>
      <c r="BQ170" s="23">
        <f>EXP(-LN(2)/25)*BQ169+(1-EXP(-LN(2)/25))/(LN(2)/25)*Calculateur!BL170*Calculateur!BN170*VLOOKUP('Données projet'!$B$11,Paramètres!$A$1:$I$89,3,0)*0.475*44/12</f>
        <v>0.38706404008256173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5.0255761234644076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74.926559033177455</v>
      </c>
      <c r="CE170" s="62">
        <f t="shared" si="148"/>
        <v>430.78114872558075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5.5966309727361301</v>
      </c>
      <c r="CL170" s="23">
        <f>EXP(-LN(2)/25)*CL169+(1-EXP(-LN(2)/25))/(LN(2)/25)*Calculateur!CG170*Calculateur!CI170*VLOOKUP('Données projet'!$B$12,Paramètres!$A$1:$I$89,3,0)*0.475*44/12</f>
        <v>0.46701497295207506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6.0636459456882053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96.969600000000185</v>
      </c>
      <c r="D171" s="12">
        <f t="shared" si="140"/>
        <v>26.238758642904383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951.082066717158</v>
      </c>
      <c r="H171" s="70">
        <f t="shared" si="110"/>
        <v>507.92122463639208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54.970220527721665</v>
      </c>
      <c r="T171" s="62">
        <f t="shared" si="142"/>
        <v>326.57367524399677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4.2046234123291928</v>
      </c>
      <c r="AA171" s="23">
        <f>EXP(-LN(2)/25)*AA170+(1-EXP(-LN(2)/25))/(LN(2)/25)*Calculateur!V171*Calculateur!X171*VLOOKUP('Données projet'!$B$9,Paramètres!$A$1:$I$89,3,0)*0.475*44/12</f>
        <v>0.34808947705435067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4.5527128893835433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74.926559033177455</v>
      </c>
      <c r="AO171" s="62">
        <f t="shared" si="144"/>
        <v>430.78114872558075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5.4868844529686021</v>
      </c>
      <c r="AV171" s="23">
        <f>EXP(-LN(2)/25)*AV170+(1-EXP(-LN(2)/25))/(LN(2)/25)*Calculateur!AQ171*Calculateur!AS171*VLOOKUP('Données projet'!$B$10,Paramètres!$A$1:$I$89,3,0)*0.475*44/12</f>
        <v>0.45424442395745052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5.9411288769260526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60.31958470054127</v>
      </c>
      <c r="BJ171" s="62">
        <f t="shared" si="146"/>
        <v>354.50173999733266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4.5475536906397371</v>
      </c>
      <c r="BQ171" s="23">
        <f>EXP(-LN(2)/25)*BQ170+(1-EXP(-LN(2)/25))/(LN(2)/25)*Calculateur!BL171*Calculateur!BN171*VLOOKUP('Données projet'!$B$11,Paramètres!$A$1:$I$89,3,0)*0.475*44/12</f>
        <v>0.37647975355169089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4.9240334441914282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74.926559033177455</v>
      </c>
      <c r="CE171" s="62">
        <f t="shared" si="148"/>
        <v>430.78114872558075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5.4868844529686021</v>
      </c>
      <c r="CL171" s="23">
        <f>EXP(-LN(2)/25)*CL170+(1-EXP(-LN(2)/25))/(LN(2)/25)*Calculateur!CG171*Calculateur!CI171*VLOOKUP('Données projet'!$B$12,Paramètres!$A$1:$I$89,3,0)*0.475*44/12</f>
        <v>0.45424442395745052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5.9411288769260526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97.546800000000189</v>
      </c>
      <c r="D172" s="12">
        <f t="shared" si="140"/>
        <v>26.376714315973658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956.60256664962287</v>
      </c>
      <c r="H172" s="70">
        <f t="shared" si="110"/>
        <v>509.16678743365441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54.970220527721665</v>
      </c>
      <c r="T172" s="62">
        <f t="shared" si="142"/>
        <v>326.57367524399677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4.1221733117804691</v>
      </c>
      <c r="AA172" s="23">
        <f>EXP(-LN(2)/25)*AA171+(1-EXP(-LN(2)/25))/(LN(2)/25)*Calculateur!V172*Calculateur!X172*VLOOKUP('Données projet'!$B$9,Paramètres!$A$1:$I$89,3,0)*0.475*44/12</f>
        <v>0.33857095199906945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4.4607442637795387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74.926559033177455</v>
      </c>
      <c r="AO172" s="62">
        <f t="shared" si="144"/>
        <v>430.78114872558075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5.3792899955149478</v>
      </c>
      <c r="AV172" s="23">
        <f>EXP(-LN(2)/25)*AV171+(1-EXP(-LN(2)/25))/(LN(2)/25)*Calculateur!AQ172*Calculateur!AS172*VLOOKUP('Données projet'!$B$10,Paramètres!$A$1:$I$89,3,0)*0.475*44/12</f>
        <v>0.44182308629665795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5.8211130818116059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60.31958470054127</v>
      </c>
      <c r="BJ172" s="62">
        <f t="shared" si="146"/>
        <v>354.50173999733266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4.4583789365001598</v>
      </c>
      <c r="BQ172" s="23">
        <f>EXP(-LN(2)/25)*BQ171+(1-EXP(-LN(2)/25))/(LN(2)/25)*Calculateur!BL172*Calculateur!BN172*VLOOKUP('Données projet'!$B$11,Paramètres!$A$1:$I$89,3,0)*0.475*44/12</f>
        <v>0.36618489489261014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4.8245638313927701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74.926559033177455</v>
      </c>
      <c r="CE172" s="62">
        <f t="shared" si="148"/>
        <v>430.78114872558075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5.3792899955149478</v>
      </c>
      <c r="CL172" s="23">
        <f>EXP(-LN(2)/25)*CL171+(1-EXP(-LN(2)/25))/(LN(2)/25)*Calculateur!CG172*Calculateur!CI172*VLOOKUP('Données projet'!$B$12,Paramètres!$A$1:$I$89,3,0)*0.475*44/12</f>
        <v>0.44182308629665795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5.8211130818116059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98.124000000000194</v>
      </c>
      <c r="D173" s="12">
        <f t="shared" si="140"/>
        <v>26.514575003181047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962.12233335789051</v>
      </c>
      <c r="H173" s="70">
        <f t="shared" si="110"/>
        <v>510.41218479720732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54.970220527721665</v>
      </c>
      <c r="T173" s="62">
        <f t="shared" si="142"/>
        <v>326.57367524399677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4.0413400074139103</v>
      </c>
      <c r="AA173" s="23">
        <f>EXP(-LN(2)/25)*AA172+(1-EXP(-LN(2)/25))/(LN(2)/25)*Calculateur!V173*Calculateur!X173*VLOOKUP('Données projet'!$B$9,Paramètres!$A$1:$I$89,3,0)*0.475*44/12</f>
        <v>0.32931271151198233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4.3706527189258928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74.926559033177455</v>
      </c>
      <c r="AO173" s="62">
        <f t="shared" si="144"/>
        <v>430.78114872558075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5.2738053997458207</v>
      </c>
      <c r="AV173" s="23">
        <f>EXP(-LN(2)/25)*AV172+(1-EXP(-LN(2)/25))/(LN(2)/25)*Calculateur!AQ173*Calculateur!AS173*VLOOKUP('Données projet'!$B$10,Paramètres!$A$1:$I$89,3,0)*0.475*44/12</f>
        <v>0.42974141076740952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5.7035468105132301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60.31958470054127</v>
      </c>
      <c r="BJ173" s="62">
        <f t="shared" si="146"/>
        <v>354.50173999733266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4.3709528448980306</v>
      </c>
      <c r="BQ173" s="23">
        <f>EXP(-LN(2)/25)*BQ172+(1-EXP(-LN(2)/25))/(LN(2)/25)*Calculateur!BL173*Calculateur!BN173*VLOOKUP('Données projet'!$B$11,Paramètres!$A$1:$I$89,3,0)*0.475*44/12</f>
        <v>0.35617154968494502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4.727124394582976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74.926559033177455</v>
      </c>
      <c r="CE173" s="62">
        <f t="shared" si="148"/>
        <v>430.78114872558075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5.2738053997458207</v>
      </c>
      <c r="CL173" s="23">
        <f>EXP(-LN(2)/25)*CL172+(1-EXP(-LN(2)/25))/(LN(2)/25)*Calculateur!CG173*Calculateur!CI173*VLOOKUP('Données projet'!$B$12,Paramètres!$A$1:$I$89,3,0)*0.475*44/12</f>
        <v>0.42974141076740952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5.7035468105132301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98.701200000000199</v>
      </c>
      <c r="D174" s="12">
        <f t="shared" si="140"/>
        <v>26.65234132809799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967.64137165549494</v>
      </c>
      <c r="H174" s="70">
        <f t="shared" si="110"/>
        <v>511.6574178131043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54.970220527721665</v>
      </c>
      <c r="T174" s="62">
        <f t="shared" si="142"/>
        <v>326.57367524399677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3.9620917948425323</v>
      </c>
      <c r="AA174" s="23">
        <f>EXP(-LN(2)/25)*AA173+(1-EXP(-LN(2)/25))/(LN(2)/25)*Calculateur!V174*Calculateur!X174*VLOOKUP('Données projet'!$B$9,Paramètres!$A$1:$I$89,3,0)*0.475*44/12</f>
        <v>0.32030763809788432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4.2823994329404167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74.926559033177455</v>
      </c>
      <c r="AO174" s="62">
        <f t="shared" si="144"/>
        <v>430.78114872558075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5.1703892925604755</v>
      </c>
      <c r="AV174" s="23">
        <f>EXP(-LN(2)/25)*AV173+(1-EXP(-LN(2)/25))/(LN(2)/25)*Calculateur!AQ174*Calculateur!AS174*VLOOKUP('Données projet'!$B$10,Paramètres!$A$1:$I$89,3,0)*0.475*44/12</f>
        <v>0.41799010929085612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5.5883794018513315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60.31958470054127</v>
      </c>
      <c r="BJ174" s="62">
        <f t="shared" si="146"/>
        <v>354.50173999733266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4.285241125627568</v>
      </c>
      <c r="BQ174" s="23">
        <f>EXP(-LN(2)/25)*BQ173+(1-EXP(-LN(2)/25))/(LN(2)/25)*Calculateur!BL174*Calculateur!BN174*VLOOKUP('Données projet'!$B$11,Paramètres!$A$1:$I$89,3,0)*0.475*44/12</f>
        <v>0.34643201992856243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4.63167314555613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74.926559033177455</v>
      </c>
      <c r="CE174" s="62">
        <f t="shared" si="148"/>
        <v>430.78114872558075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5.1703892925604755</v>
      </c>
      <c r="CL174" s="23">
        <f>EXP(-LN(2)/25)*CL173+(1-EXP(-LN(2)/25))/(LN(2)/25)*Calculateur!CG174*Calculateur!CI174*VLOOKUP('Données projet'!$B$12,Paramètres!$A$1:$I$89,3,0)*0.475*44/12</f>
        <v>0.41799010929085612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5.5883794018513315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99.278400000000204</v>
      </c>
      <c r="D175" s="12">
        <f t="shared" si="140"/>
        <v>26.790013906580725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973.15968629641429</v>
      </c>
      <c r="H175" s="70">
        <f t="shared" si="110"/>
        <v>512.90248755396169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54.970220527721665</v>
      </c>
      <c r="T175" s="62">
        <f t="shared" si="142"/>
        <v>326.57367524399677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3.884397591383042</v>
      </c>
      <c r="AA175" s="23">
        <f>EXP(-LN(2)/25)*AA174+(1-EXP(-LN(2)/25))/(LN(2)/25)*Calculateur!V175*Calculateur!X175*VLOOKUP('Données projet'!$B$9,Paramètres!$A$1:$I$89,3,0)*0.475*44/12</f>
        <v>0.31154880888985104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4.1959464002728932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74.926559033177455</v>
      </c>
      <c r="AO175" s="62">
        <f t="shared" si="144"/>
        <v>430.78114872558075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5.0690011121594383</v>
      </c>
      <c r="AV175" s="23">
        <f>EXP(-LN(2)/25)*AV174+(1-EXP(-LN(2)/25))/(LN(2)/25)*Calculateur!AQ175*Calculateur!AS175*VLOOKUP('Données projet'!$B$10,Paramètres!$A$1:$I$89,3,0)*0.475*44/12</f>
        <v>0.40656014777115312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5.4755612599305916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60.31958470054127</v>
      </c>
      <c r="BJ175" s="62">
        <f t="shared" si="146"/>
        <v>354.50173999733266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4.2012101608930124</v>
      </c>
      <c r="BQ175" s="23">
        <f>EXP(-LN(2)/25)*BQ174+(1-EXP(-LN(2)/25))/(LN(2)/25)*Calculateur!BL175*Calculateur!BN175*VLOOKUP('Données projet'!$B$11,Paramètres!$A$1:$I$89,3,0)*0.475*44/12</f>
        <v>0.33695881812554773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4.5381689790185602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74.926559033177455</v>
      </c>
      <c r="CE175" s="62">
        <f t="shared" si="148"/>
        <v>430.78114872558075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5.0690011121594383</v>
      </c>
      <c r="CL175" s="23">
        <f>EXP(-LN(2)/25)*CL174+(1-EXP(-LN(2)/25))/(LN(2)/25)*Calculateur!CG175*Calculateur!CI175*VLOOKUP('Données projet'!$B$12,Paramètres!$A$1:$I$89,3,0)*0.475*44/12</f>
        <v>0.40656014777115312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5.4755612599305916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99.855600000000209</v>
      </c>
      <c r="D176" s="12">
        <f t="shared" si="140"/>
        <v>26.927593346910072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978.67728197614963</v>
      </c>
      <c r="H176" s="70">
        <f t="shared" si="110"/>
        <v>514.14739507920206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54.970220527721665</v>
      </c>
      <c r="T176" s="62">
        <f t="shared" si="142"/>
        <v>326.57367524399677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3.8082269238646074</v>
      </c>
      <c r="AA176" s="23">
        <f>EXP(-LN(2)/25)*AA175+(1-EXP(-LN(2)/25))/(LN(2)/25)*Calculateur!V176*Calculateur!X176*VLOOKUP('Données projet'!$B$9,Paramètres!$A$1:$I$89,3,0)*0.475*44/12</f>
        <v>0.30302949032711823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4.1112564141917254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74.926559033177455</v>
      </c>
      <c r="AO176" s="62">
        <f t="shared" si="144"/>
        <v>430.78114872558075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4.9696010921353819</v>
      </c>
      <c r="AV176" s="23">
        <f>EXP(-LN(2)/25)*AV175+(1-EXP(-LN(2)/25))/(LN(2)/25)*Calculateur!AQ176*Calculateur!AS176*VLOOKUP('Données projet'!$B$10,Paramètres!$A$1:$I$89,3,0)*0.475*44/12</f>
        <v>0.395442739150282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5.3650438312856643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60.31958470054127</v>
      </c>
      <c r="BJ176" s="62">
        <f t="shared" si="146"/>
        <v>354.50173999733266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4.1188269921230738</v>
      </c>
      <c r="BQ176" s="23">
        <f>EXP(-LN(2)/25)*BQ175+(1-EXP(-LN(2)/25))/(LN(2)/25)*Calculateur!BL176*Calculateur!BN176*VLOOKUP('Données projet'!$B$11,Paramètres!$A$1:$I$89,3,0)*0.475*44/12</f>
        <v>0.32774466152401049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4.4465716536470845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74.926559033177455</v>
      </c>
      <c r="CE176" s="62">
        <f t="shared" si="148"/>
        <v>430.78114872558075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4.9696010921353819</v>
      </c>
      <c r="CL176" s="23">
        <f>EXP(-LN(2)/25)*CL175+(1-EXP(-LN(2)/25))/(LN(2)/25)*Calculateur!CG176*Calculateur!CI176*VLOOKUP('Données projet'!$B$12,Paramètres!$A$1:$I$89,3,0)*0.475*44/12</f>
        <v>0.395442739150282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5.3650438312856643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100.43280000000021</v>
      </c>
      <c r="D177" s="12">
        <f t="shared" si="140"/>
        <v>27.065080249927746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984.19416333277729</v>
      </c>
      <c r="H177" s="70">
        <f t="shared" si="110"/>
        <v>515.39214143529125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54.970220527721665</v>
      </c>
      <c r="T177" s="62">
        <f t="shared" si="142"/>
        <v>326.57367524399677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3.7335499166766897</v>
      </c>
      <c r="AA177" s="23">
        <f>EXP(-LN(2)/25)*AA176+(1-EXP(-LN(2)/25))/(LN(2)/25)*Calculateur!V177*Calculateur!X177*VLOOKUP('Données projet'!$B$9,Paramètres!$A$1:$I$89,3,0)*0.475*44/12</f>
        <v>0.29474313297849486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4.0282930496551845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74.926559033177455</v>
      </c>
      <c r="AO177" s="62">
        <f t="shared" si="144"/>
        <v>430.78114872558075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4.8721502458759716</v>
      </c>
      <c r="AV177" s="23">
        <f>EXP(-LN(2)/25)*AV176+(1-EXP(-LN(2)/25))/(LN(2)/25)*Calculateur!AQ177*Calculateur!AS177*VLOOKUP('Données projet'!$B$10,Paramètres!$A$1:$I$89,3,0)*0.475*44/12</f>
        <v>0.3846293366527877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5.2567795825287593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60.31958470054127</v>
      </c>
      <c r="BJ177" s="62">
        <f t="shared" si="146"/>
        <v>354.50173999733266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4.0380593070439428</v>
      </c>
      <c r="BQ177" s="23">
        <f>EXP(-LN(2)/25)*BQ176+(1-EXP(-LN(2)/25))/(LN(2)/25)*Calculateur!BL177*Calculateur!BN177*VLOOKUP('Données projet'!$B$11,Paramètres!$A$1:$I$89,3,0)*0.475*44/12</f>
        <v>0.31878246651929376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4.3568417735632368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74.926559033177455</v>
      </c>
      <c r="CE177" s="62">
        <f t="shared" si="148"/>
        <v>430.78114872558075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4.8721502458759716</v>
      </c>
      <c r="CL177" s="23">
        <f>EXP(-LN(2)/25)*CL176+(1-EXP(-LN(2)/25))/(LN(2)/25)*Calculateur!CG177*Calculateur!CI177*VLOOKUP('Données projet'!$B$12,Paramètres!$A$1:$I$89,3,0)*0.475*44/12</f>
        <v>0.3846293366527877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5.2567795825287593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101.01000000000022</v>
      </c>
      <c r="D178" s="12">
        <f t="shared" si="140"/>
        <v>27.202475209169652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989.71033494797791</v>
      </c>
      <c r="H178" s="70">
        <f t="shared" si="110"/>
        <v>516.63672765597084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54.970220527721665</v>
      </c>
      <c r="T178" s="62">
        <f t="shared" si="142"/>
        <v>326.57367524399677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3.6603372800512499</v>
      </c>
      <c r="AA178" s="23">
        <f>EXP(-LN(2)/25)*AA177+(1-EXP(-LN(2)/25))/(LN(2)/25)*Calculateur!V178*Calculateur!X178*VLOOKUP('Données projet'!$B$9,Paramètres!$A$1:$I$89,3,0)*0.475*44/12</f>
        <v>0.28668336650733017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3.9470206465585802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74.926559033177455</v>
      </c>
      <c r="AO178" s="62">
        <f t="shared" si="144"/>
        <v>430.78114872558075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4.7766103512725611</v>
      </c>
      <c r="AV178" s="23">
        <f>EXP(-LN(2)/25)*AV177+(1-EXP(-LN(2)/25))/(LN(2)/25)*Calculateur!AQ178*Calculateur!AS178*VLOOKUP('Données projet'!$B$10,Paramètres!$A$1:$I$89,3,0)*0.475*44/12</f>
        <v>0.3741116272152395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5.1507219784878009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60.31958470054127</v>
      </c>
      <c r="BJ178" s="62">
        <f t="shared" si="146"/>
        <v>354.50173999733266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3.9588754270057898</v>
      </c>
      <c r="BQ178" s="23">
        <f>EXP(-LN(2)/25)*BQ177+(1-EXP(-LN(2)/25))/(LN(2)/25)*Calculateur!BL178*Calculateur!BN178*VLOOKUP('Données projet'!$B$11,Paramètres!$A$1:$I$89,3,0)*0.475*44/12</f>
        <v>0.31006534320828233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4.2689407702140718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74.926559033177455</v>
      </c>
      <c r="CE178" s="62">
        <f t="shared" si="148"/>
        <v>430.78114872558075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4.7766103512725611</v>
      </c>
      <c r="CL178" s="23">
        <f>EXP(-LN(2)/25)*CL177+(1-EXP(-LN(2)/25))/(LN(2)/25)*Calculateur!CG178*Calculateur!CI178*VLOOKUP('Données projet'!$B$12,Paramètres!$A$1:$I$89,3,0)*0.475*44/12</f>
        <v>0.3741116272152395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5.1507219784878009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101.58720000000022</v>
      </c>
      <c r="D179" s="12">
        <f t="shared" si="140"/>
        <v>27.339778810995906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995.22580134804048</v>
      </c>
      <c r="H179" s="70">
        <f t="shared" si="110"/>
        <v>517.88115476248493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54.970220527721665</v>
      </c>
      <c r="T179" s="62">
        <f t="shared" si="142"/>
        <v>326.57367524399677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3.5885602985747362</v>
      </c>
      <c r="AA179" s="23">
        <f>EXP(-LN(2)/25)*AA178+(1-EXP(-LN(2)/25))/(LN(2)/25)*Calculateur!V179*Calculateur!X179*VLOOKUP('Données projet'!$B$9,Paramètres!$A$1:$I$89,3,0)*0.475*44/12</f>
        <v>0.27884399477416422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3.8674042933489003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74.926559033177455</v>
      </c>
      <c r="AO179" s="62">
        <f t="shared" si="144"/>
        <v>430.78114872558075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4.6829439357287415</v>
      </c>
      <c r="AV179" s="23">
        <f>EXP(-LN(2)/25)*AV178+(1-EXP(-LN(2)/25))/(LN(2)/25)*Calculateur!AQ179*Calculateur!AS179*VLOOKUP('Données projet'!$B$10,Paramètres!$A$1:$I$89,3,0)*0.475*44/12</f>
        <v>0.36388152509536331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5.0468254608241043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60.31958470054127</v>
      </c>
      <c r="BJ179" s="62">
        <f t="shared" si="146"/>
        <v>354.50173999733266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3.8812442945577872</v>
      </c>
      <c r="BQ179" s="23">
        <f>EXP(-LN(2)/25)*BQ178+(1-EXP(-LN(2)/25))/(LN(2)/25)*Calculateur!BL179*Calculateur!BN179*VLOOKUP('Données projet'!$B$11,Paramètres!$A$1:$I$89,3,0)*0.475*44/12</f>
        <v>0.30158659009262412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4.1828308846504116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74.926559033177455</v>
      </c>
      <c r="CE179" s="62">
        <f t="shared" si="148"/>
        <v>430.78114872558075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4.6829439357287415</v>
      </c>
      <c r="CL179" s="23">
        <f>EXP(-LN(2)/25)*CL178+(1-EXP(-LN(2)/25))/(LN(2)/25)*Calculateur!CG179*Calculateur!CI179*VLOOKUP('Données projet'!$B$12,Paramètres!$A$1:$I$89,3,0)*0.475*44/12</f>
        <v>0.36388152509536331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5.0468254608241043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102.16440000000023</v>
      </c>
      <c r="D180" s="12">
        <f t="shared" si="140"/>
        <v>27.476991634717923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1000.740567004842</v>
      </c>
      <c r="H180" s="70">
        <f t="shared" si="110"/>
        <v>519.12542376380077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54.970220527721665</v>
      </c>
      <c r="T180" s="62">
        <f t="shared" si="142"/>
        <v>326.57367524399677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3.5181908199253411</v>
      </c>
      <c r="AA180" s="23">
        <f>EXP(-LN(2)/25)*AA179+(1-EXP(-LN(2)/25))/(LN(2)/25)*Calculateur!V180*Calculateur!X180*VLOOKUP('Données projet'!$B$9,Paramètres!$A$1:$I$89,3,0)*0.475*44/12</f>
        <v>0.27121899107329633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3.7894098109986376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74.926559033177455</v>
      </c>
      <c r="AO180" s="62">
        <f t="shared" si="144"/>
        <v>430.78114872558075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4.5911142614628639</v>
      </c>
      <c r="AV180" s="23">
        <f>EXP(-LN(2)/25)*AV179+(1-EXP(-LN(2)/25))/(LN(2)/25)*Calculateur!AQ180*Calculateur!AS180*VLOOKUP('Données projet'!$B$10,Paramètres!$A$1:$I$89,3,0)*0.475*44/12</f>
        <v>0.35393116565593286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4.9450454271187967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60.31958470054127</v>
      </c>
      <c r="BJ180" s="62">
        <f t="shared" si="146"/>
        <v>354.50173999733266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3.8051354612667745</v>
      </c>
      <c r="BQ180" s="23">
        <f>EXP(-LN(2)/25)*BQ179+(1-EXP(-LN(2)/25))/(LN(2)/25)*Calculateur!BL180*Calculateur!BN180*VLOOKUP('Données projet'!$B$11,Paramètres!$A$1:$I$89,3,0)*0.475*44/12</f>
        <v>0.2933396889267918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4.0984751501935666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74.926559033177455</v>
      </c>
      <c r="CE180" s="62">
        <f t="shared" si="148"/>
        <v>430.78114872558075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4.5911142614628639</v>
      </c>
      <c r="CL180" s="23">
        <f>EXP(-LN(2)/25)*CL179+(1-EXP(-LN(2)/25))/(LN(2)/25)*Calculateur!CG180*Calculateur!CI180*VLOOKUP('Données projet'!$B$12,Paramètres!$A$1:$I$89,3,0)*0.475*44/12</f>
        <v>0.35393116565593286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4.9450454271187967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102.74160000000023</v>
      </c>
      <c r="D181" s="12">
        <f t="shared" si="140"/>
        <v>27.614114252722302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1006.2546363368054</v>
      </c>
      <c r="H181" s="70">
        <f t="shared" si="110"/>
        <v>520.36953565682506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54.970220527721665</v>
      </c>
      <c r="T181" s="62">
        <f t="shared" si="142"/>
        <v>326.57367524399677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3.449201243831117</v>
      </c>
      <c r="AA181" s="23">
        <f>EXP(-LN(2)/25)*AA180+(1-EXP(-LN(2)/25))/(LN(2)/25)*Calculateur!V181*Calculateur!X181*VLOOKUP('Données projet'!$B$9,Paramètres!$A$1:$I$89,3,0)*0.475*44/12</f>
        <v>0.26380249349961016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3.7130037373307272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74.926559033177455</v>
      </c>
      <c r="AO181" s="62">
        <f t="shared" si="144"/>
        <v>430.78114872558075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4.5010853110987696</v>
      </c>
      <c r="AV181" s="23">
        <f>EXP(-LN(2)/25)*AV180+(1-EXP(-LN(2)/25))/(LN(2)/25)*Calculateur!AQ181*Calculateur!AS181*VLOOKUP('Données projet'!$B$10,Paramètres!$A$1:$I$89,3,0)*0.475*44/12</f>
        <v>0.34425289931864028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4.8453382104174096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60.31958470054127</v>
      </c>
      <c r="BJ181" s="62">
        <f t="shared" si="146"/>
        <v>354.50173999733266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3.7305190757747941</v>
      </c>
      <c r="BQ181" s="23">
        <f>EXP(-LN(2)/25)*BQ180+(1-EXP(-LN(2)/25))/(LN(2)/25)*Calculateur!BL181*Calculateur!BN181*VLOOKUP('Données projet'!$B$11,Paramètres!$A$1:$I$89,3,0)*0.475*44/12</f>
        <v>0.28531829970702488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4.0158373754818193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74.926559033177455</v>
      </c>
      <c r="CE181" s="62">
        <f t="shared" si="148"/>
        <v>430.78114872558075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4.5010853110987696</v>
      </c>
      <c r="CL181" s="23">
        <f>EXP(-LN(2)/25)*CL180+(1-EXP(-LN(2)/25))/(LN(2)/25)*Calculateur!CG181*Calculateur!CI181*VLOOKUP('Données projet'!$B$12,Paramètres!$A$1:$I$89,3,0)*0.475*44/12</f>
        <v>0.34425289931864028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4.8453382104174096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103.31880000000024</v>
      </c>
      <c r="D182" s="12">
        <f t="shared" si="140"/>
        <v>27.751147230592267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1011.7680137098369</v>
      </c>
      <c r="H182" s="70">
        <f t="shared" si="110"/>
        <v>521.61349142661527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54.970220527721665</v>
      </c>
      <c r="T182" s="62">
        <f t="shared" si="142"/>
        <v>326.57367524399677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3.3815645112446142</v>
      </c>
      <c r="AA182" s="23">
        <f>EXP(-LN(2)/25)*AA181+(1-EXP(-LN(2)/25))/(LN(2)/25)*Calculateur!V182*Calculateur!X182*VLOOKUP('Données projet'!$B$9,Paramètres!$A$1:$I$89,3,0)*0.475*44/12</f>
        <v>0.25658880044209309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3.6381533116867075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74.926559033177455</v>
      </c>
      <c r="AO182" s="62">
        <f t="shared" si="144"/>
        <v>430.78114872558075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4.4128217735390773</v>
      </c>
      <c r="AV182" s="23">
        <f>EXP(-LN(2)/25)*AV181+(1-EXP(-LN(2)/25))/(LN(2)/25)*Calculateur!AQ182*Calculateur!AS182*VLOOKUP('Données projet'!$B$10,Paramètres!$A$1:$I$89,3,0)*0.475*44/12</f>
        <v>0.3348392856832989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4.7476610592223762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60.31958470054127</v>
      </c>
      <c r="BJ182" s="62">
        <f t="shared" si="146"/>
        <v>354.50173999733266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3.6573658720908102</v>
      </c>
      <c r="BQ182" s="23">
        <f>EXP(-LN(2)/25)*BQ181+(1-EXP(-LN(2)/25))/(LN(2)/25)*Calculateur!BL182*Calculateur!BN182*VLOOKUP('Données projet'!$B$11,Paramètres!$A$1:$I$89,3,0)*0.475*44/12</f>
        <v>0.27751625579729899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3.934882127888109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74.926559033177455</v>
      </c>
      <c r="CE182" s="62">
        <f t="shared" si="148"/>
        <v>430.78114872558075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4.4128217735390773</v>
      </c>
      <c r="CL182" s="23">
        <f>EXP(-LN(2)/25)*CL181+(1-EXP(-LN(2)/25))/(LN(2)/25)*Calculateur!CG182*Calculateur!CI182*VLOOKUP('Données projet'!$B$12,Paramètres!$A$1:$I$89,3,0)*0.475*44/12</f>
        <v>0.3348392856832989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4.7476610592223762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103.89600000000024</v>
      </c>
      <c r="D183" s="12">
        <f t="shared" si="140"/>
        <v>27.888091127225874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1017.2807034382367</v>
      </c>
      <c r="H183" s="70">
        <f t="shared" si="110"/>
        <v>522.85729204658537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54.970220527721665</v>
      </c>
      <c r="T183" s="62">
        <f t="shared" si="142"/>
        <v>326.57367524399677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3.3152540937297994</v>
      </c>
      <c r="AA183" s="23">
        <f>EXP(-LN(2)/25)*AA182+(1-EXP(-LN(2)/25))/(LN(2)/25)*Calculateur!V183*Calculateur!X183*VLOOKUP('Données projet'!$B$9,Paramètres!$A$1:$I$89,3,0)*0.475*44/12</f>
        <v>0.24957236620058548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3.5648264599303849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74.926559033177455</v>
      </c>
      <c r="AO183" s="62">
        <f t="shared" si="144"/>
        <v>430.78114872558075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4.3262890301154888</v>
      </c>
      <c r="AV183" s="23">
        <f>EXP(-LN(2)/25)*AV182+(1-EXP(-LN(2)/25))/(LN(2)/25)*Calculateur!AQ183*Calculateur!AS183*VLOOKUP('Données projet'!$B$10,Paramètres!$A$1:$I$89,3,0)*0.475*44/12</f>
        <v>0.32568308780785632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4.6519721179233455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60.31958470054127</v>
      </c>
      <c r="BJ183" s="62">
        <f t="shared" si="146"/>
        <v>354.50173999733266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3.5856471581120211</v>
      </c>
      <c r="BQ183" s="23">
        <f>EXP(-LN(2)/25)*BQ182+(1-EXP(-LN(2)/25))/(LN(2)/25)*Calculateur!BL183*Calculateur!BN183*VLOOKUP('Données projet'!$B$11,Paramètres!$A$1:$I$89,3,0)*0.475*44/12</f>
        <v>0.26992755918857625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3.8555747173005974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74.926559033177455</v>
      </c>
      <c r="CE183" s="62">
        <f t="shared" si="148"/>
        <v>430.78114872558075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4.3262890301154888</v>
      </c>
      <c r="CL183" s="23">
        <f>EXP(-LN(2)/25)*CL182+(1-EXP(-LN(2)/25))/(LN(2)/25)*Calculateur!CG183*Calculateur!CI183*VLOOKUP('Données projet'!$B$12,Paramètres!$A$1:$I$89,3,0)*0.475*44/12</f>
        <v>0.32568308780785632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4.6519721179233455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104.47320000000025</v>
      </c>
      <c r="D184" s="12">
        <f t="shared" si="140"/>
        <v>28.024946494951863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1022.7927097855951</v>
      </c>
      <c r="H184" s="70">
        <f t="shared" si="110"/>
        <v>524.10093847870826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54.970220527721665</v>
      </c>
      <c r="T184" s="62">
        <f t="shared" si="142"/>
        <v>326.57367524399677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3.2502439830570888</v>
      </c>
      <c r="AA184" s="23">
        <f>EXP(-LN(2)/25)*AA183+(1-EXP(-LN(2)/25))/(LN(2)/25)*Calculateur!V184*Calculateur!X184*VLOOKUP('Données projet'!$B$9,Paramètres!$A$1:$I$89,3,0)*0.475*44/12</f>
        <v>0.24274779672239014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3.4929917797794792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74.926559033177455</v>
      </c>
      <c r="AO184" s="62">
        <f t="shared" si="144"/>
        <v>430.78114872558075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4.2414531410106751</v>
      </c>
      <c r="AV184" s="23">
        <f>EXP(-LN(2)/25)*AV183+(1-EXP(-LN(2)/25))/(LN(2)/25)*Calculateur!AQ184*Calculateur!AS184*VLOOKUP('Données projet'!$B$10,Paramètres!$A$1:$I$89,3,0)*0.475*44/12</f>
        <v>0.31677726664482125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4.558230407655496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60.31958470054127</v>
      </c>
      <c r="BJ184" s="62">
        <f t="shared" si="146"/>
        <v>354.50173999733266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3.5153348043702595</v>
      </c>
      <c r="BQ184" s="23">
        <f>EXP(-LN(2)/25)*BQ183+(1-EXP(-LN(2)/25))/(LN(2)/25)*Calculateur!BL184*Calculateur!BN184*VLOOKUP('Données projet'!$B$11,Paramètres!$A$1:$I$89,3,0)*0.475*44/12</f>
        <v>0.2625463758876912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3.7778811802579506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74.926559033177455</v>
      </c>
      <c r="CE184" s="62">
        <f t="shared" si="148"/>
        <v>430.78114872558075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4.2414531410106751</v>
      </c>
      <c r="CL184" s="23">
        <f>EXP(-LN(2)/25)*CL183+(1-EXP(-LN(2)/25))/(LN(2)/25)*Calculateur!CG184*Calculateur!CI184*VLOOKUP('Données projet'!$B$12,Paramètres!$A$1:$I$89,3,0)*0.475*44/12</f>
        <v>0.31677726664482125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4.558230407655496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105.05040000000025</v>
      </c>
      <c r="D185" s="12">
        <f t="shared" si="140"/>
        <v>28.161713879642619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1028.3040369656642</v>
      </c>
      <c r="H185" s="70">
        <f t="shared" si="110"/>
        <v>525.34443167371126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54.970220527721665</v>
      </c>
      <c r="T185" s="62">
        <f t="shared" si="142"/>
        <v>326.57367524399677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3.1865086810024179</v>
      </c>
      <c r="AA185" s="23">
        <f>EXP(-LN(2)/25)*AA184+(1-EXP(-LN(2)/25))/(LN(2)/25)*Calculateur!V185*Calculateur!X185*VLOOKUP('Données projet'!$B$9,Paramètres!$A$1:$I$89,3,0)*0.475*44/12</f>
        <v>0.23610984545546457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3.4226185264578826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74.926559033177455</v>
      </c>
      <c r="AO185" s="62">
        <f t="shared" si="144"/>
        <v>430.78114872558075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4.1582808319464233</v>
      </c>
      <c r="AV185" s="23">
        <f>EXP(-LN(2)/25)*AV184+(1-EXP(-LN(2)/25))/(LN(2)/25)*Calculateur!AQ185*Calculateur!AS185*VLOOKUP('Données projet'!$B$10,Paramètres!$A$1:$I$89,3,0)*0.475*44/12</f>
        <v>0.30811497562982615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4.4663958075762498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60.31958470054127</v>
      </c>
      <c r="BJ185" s="62">
        <f t="shared" si="146"/>
        <v>354.50173999733266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3.4464012329990728</v>
      </c>
      <c r="BQ185" s="23">
        <f>EXP(-LN(2)/25)*BQ184+(1-EXP(-LN(2)/25))/(LN(2)/25)*Calculateur!BL185*Calculateur!BN185*VLOOKUP('Données projet'!$B$11,Paramètres!$A$1:$I$89,3,0)*0.475*44/12</f>
        <v>0.25536703143232842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3.7017682644314012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74.926559033177455</v>
      </c>
      <c r="CE185" s="62">
        <f t="shared" si="148"/>
        <v>430.78114872558075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4.1582808319464233</v>
      </c>
      <c r="CL185" s="23">
        <f>EXP(-LN(2)/25)*CL184+(1-EXP(-LN(2)/25))/(LN(2)/25)*Calculateur!CG185*Calculateur!CI185*VLOOKUP('Données projet'!$B$12,Paramètres!$A$1:$I$89,3,0)*0.475*44/12</f>
        <v>0.30811497562982615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4.4663958075762498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105.62760000000026</v>
      </c>
      <c r="D186" s="12">
        <f t="shared" si="140"/>
        <v>28.29839382082482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1033.8146891432111</v>
      </c>
      <c r="H186" s="70">
        <f t="shared" si="110"/>
        <v>526.58777257127031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54.970220527721665</v>
      </c>
      <c r="T186" s="62">
        <f t="shared" si="142"/>
        <v>326.57367524399677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3.1240231893463433</v>
      </c>
      <c r="AA186" s="23">
        <f>EXP(-LN(2)/25)*AA185+(1-EXP(-LN(2)/25))/(LN(2)/25)*Calculateur!V186*Calculateur!X186*VLOOKUP('Données projet'!$B$9,Paramètres!$A$1:$I$89,3,0)*0.475*44/12</f>
        <v>0.22965340931500774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3.3536765986613508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74.926559033177455</v>
      </c>
      <c r="AO186" s="62">
        <f t="shared" si="144"/>
        <v>430.78114872558075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4.0767394811328224</v>
      </c>
      <c r="AV186" s="23">
        <f>EXP(-LN(2)/25)*AV185+(1-EXP(-LN(2)/25))/(LN(2)/25)*Calculateur!AQ186*Calculateur!AS186*VLOOKUP('Données projet'!$B$10,Paramètres!$A$1:$I$89,3,0)*0.475*44/12</f>
        <v>0.29968955541816616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4.3764290365509888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60.31958470054127</v>
      </c>
      <c r="BJ186" s="62">
        <f t="shared" si="146"/>
        <v>354.50173999733266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3.378819406917148</v>
      </c>
      <c r="BQ186" s="23">
        <f>EXP(-LN(2)/25)*BQ185+(1-EXP(-LN(2)/25))/(LN(2)/25)*Calculateur!BL186*Calculateur!BN186*VLOOKUP('Données projet'!$B$11,Paramètres!$A$1:$I$89,3,0)*0.475*44/12</f>
        <v>0.24838400652864287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3.6272034134457907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74.926559033177455</v>
      </c>
      <c r="CE186" s="62">
        <f t="shared" si="148"/>
        <v>430.78114872558075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4.0767394811328224</v>
      </c>
      <c r="CL186" s="23">
        <f>EXP(-LN(2)/25)*CL185+(1-EXP(-LN(2)/25))/(LN(2)/25)*Calculateur!CG186*Calculateur!CI186*VLOOKUP('Données projet'!$B$12,Paramètres!$A$1:$I$89,3,0)*0.475*44/12</f>
        <v>0.29968955541816616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4.3764290365509888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106.20480000000026</v>
      </c>
      <c r="D187" s="12">
        <f t="shared" si="140"/>
        <v>28.434986851787322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1039.3246704348514</v>
      </c>
      <c r="H187" s="70">
        <f t="shared" si="110"/>
        <v>527.83096210019676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54.970220527721665</v>
      </c>
      <c r="T187" s="62">
        <f t="shared" si="142"/>
        <v>326.57367524399677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3.0627630000692578</v>
      </c>
      <c r="AA187" s="23">
        <f>EXP(-LN(2)/25)*AA186+(1-EXP(-LN(2)/25))/(LN(2)/25)*Calculateur!V187*Calculateur!X187*VLOOKUP('Données projet'!$B$9,Paramètres!$A$1:$I$89,3,0)*0.475*44/12</f>
        <v>0.22337352476034095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3.2861365248295988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74.926559033177455</v>
      </c>
      <c r="AO187" s="62">
        <f t="shared" si="144"/>
        <v>430.78114872558075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3.9967971064733634</v>
      </c>
      <c r="AV187" s="23">
        <f>EXP(-LN(2)/25)*AV186+(1-EXP(-LN(2)/25))/(LN(2)/25)*Calculateur!AQ187*Calculateur!AS187*VLOOKUP('Données projet'!$B$10,Paramètres!$A$1:$I$89,3,0)*0.475*44/12</f>
        <v>0.29149452876526766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4.2882916352386307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60.31958470054127</v>
      </c>
      <c r="BJ187" s="62">
        <f t="shared" si="146"/>
        <v>354.50173999733266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3.3125628192238463</v>
      </c>
      <c r="BQ187" s="23">
        <f>EXP(-LN(2)/25)*BQ186+(1-EXP(-LN(2)/25))/(LN(2)/25)*Calculateur!BL187*Calculateur!BN187*VLOOKUP('Données projet'!$B$11,Paramètres!$A$1:$I$89,3,0)*0.475*44/12</f>
        <v>0.24159193280816993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3.5541547520320163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74.926559033177455</v>
      </c>
      <c r="CE187" s="62">
        <f t="shared" si="148"/>
        <v>430.78114872558075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3.9967971064733634</v>
      </c>
      <c r="CL187" s="23">
        <f>EXP(-LN(2)/25)*CL186+(1-EXP(-LN(2)/25))/(LN(2)/25)*Calculateur!CG187*Calculateur!CI187*VLOOKUP('Données projet'!$B$12,Paramètres!$A$1:$I$89,3,0)*0.475*44/12</f>
        <v>0.29149452876526766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4.2882916352386307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106.78200000000027</v>
      </c>
      <c r="D188" s="12">
        <f t="shared" si="140"/>
        <v>28.571493499686913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1044.8339849098659</v>
      </c>
      <c r="H188" s="70">
        <f t="shared" si="110"/>
        <v>529.07400117862176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54.970220527721665</v>
      </c>
      <c r="T188" s="62">
        <f t="shared" si="142"/>
        <v>326.57367524399677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3.0027040857388703</v>
      </c>
      <c r="AA188" s="23">
        <f>EXP(-LN(2)/25)*AA187+(1-EXP(-LN(2)/25))/(LN(2)/25)*Calculateur!V188*Calculateur!X188*VLOOKUP('Données projet'!$B$9,Paramètres!$A$1:$I$89,3,0)*0.475*44/12</f>
        <v>0.21726536397906629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3.2199694497179365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74.926559033177455</v>
      </c>
      <c r="AO188" s="62">
        <f t="shared" si="144"/>
        <v>430.78114872558075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3.9184223530209423</v>
      </c>
      <c r="AV188" s="23">
        <f>EXP(-LN(2)/25)*AV187+(1-EXP(-LN(2)/25))/(LN(2)/25)*Calculateur!AQ188*Calculateur!AS188*VLOOKUP('Données projet'!$B$10,Paramètres!$A$1:$I$89,3,0)*0.475*44/12</f>
        <v>0.28352359554715034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4.2019459485680928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60.31958470054127</v>
      </c>
      <c r="BJ188" s="62">
        <f t="shared" si="146"/>
        <v>354.50173999733266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3.2476054828026824</v>
      </c>
      <c r="BQ188" s="23">
        <f>EXP(-LN(2)/25)*BQ187+(1-EXP(-LN(2)/25))/(LN(2)/25)*Calculateur!BL188*Calculateur!BN188*VLOOKUP('Données projet'!$B$11,Paramètres!$A$1:$I$89,3,0)*0.475*44/12</f>
        <v>0.23498558870076294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3.4825910715034452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74.926559033177455</v>
      </c>
      <c r="CE188" s="62">
        <f t="shared" si="148"/>
        <v>430.78114872558075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3.9184223530209423</v>
      </c>
      <c r="CL188" s="23">
        <f>EXP(-LN(2)/25)*CL187+(1-EXP(-LN(2)/25))/(LN(2)/25)*Calculateur!CG188*Calculateur!CI188*VLOOKUP('Données projet'!$B$12,Paramètres!$A$1:$I$89,3,0)*0.475*44/12</f>
        <v>0.28352359554715034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4.2019459485680928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107.35920000000027</v>
      </c>
      <c r="D189" s="12">
        <f t="shared" si="140"/>
        <v>28.707914285651423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1050.3426365909957</v>
      </c>
      <c r="H189" s="70">
        <f t="shared" si="110"/>
        <v>530.31689071417668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54.970220527721665</v>
      </c>
      <c r="T189" s="62">
        <f t="shared" si="142"/>
        <v>326.57367524399677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2.9438228900861807</v>
      </c>
      <c r="AA189" s="23">
        <f>EXP(-LN(2)/25)*AA188+(1-EXP(-LN(2)/25))/(LN(2)/25)*Calculateur!V189*Calculateur!X189*VLOOKUP('Données projet'!$B$9,Paramètres!$A$1:$I$89,3,0)*0.475*44/12</f>
        <v>0.21132423117556981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3.1551471212617503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74.926559033177455</v>
      </c>
      <c r="AO189" s="62">
        <f t="shared" si="144"/>
        <v>430.78114872558075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3.841584480679844</v>
      </c>
      <c r="AV189" s="23">
        <f>EXP(-LN(2)/25)*AV188+(1-EXP(-LN(2)/25))/(LN(2)/25)*Calculateur!AQ189*Calculateur!AS189*VLOOKUP('Données projet'!$B$10,Paramètres!$A$1:$I$89,3,0)*0.475*44/12</f>
        <v>0.27577062791705564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4.1173551085968993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60.31958470054127</v>
      </c>
      <c r="BJ189" s="62">
        <f t="shared" si="146"/>
        <v>354.50173999733266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3.1839219201286744</v>
      </c>
      <c r="BQ189" s="23">
        <f>EXP(-LN(2)/25)*BQ188+(1-EXP(-LN(2)/25))/(LN(2)/25)*Calculateur!BL189*Calculateur!BN189*VLOOKUP('Données projet'!$B$11,Paramètres!$A$1:$I$89,3,0)*0.475*44/12</f>
        <v>0.22855989542038554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3.4124818155490599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74.926559033177455</v>
      </c>
      <c r="CE189" s="62">
        <f t="shared" si="148"/>
        <v>430.78114872558075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3.841584480679844</v>
      </c>
      <c r="CL189" s="23">
        <f>EXP(-LN(2)/25)*CL188+(1-EXP(-LN(2)/25))/(LN(2)/25)*Calculateur!CG189*Calculateur!CI189*VLOOKUP('Données projet'!$B$12,Paramètres!$A$1:$I$89,3,0)*0.475*44/12</f>
        <v>0.27577062791705564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4.1173551085968993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107.93640000000028</v>
      </c>
      <c r="D190" s="12">
        <f t="shared" si="140"/>
        <v>28.844249724880935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1055.8506294552233</v>
      </c>
      <c r="H190" s="70">
        <f t="shared" si="110"/>
        <v>531.55963160416809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54.970220527721665</v>
      </c>
      <c r="T190" s="62">
        <f t="shared" si="142"/>
        <v>326.57367524399677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2.8860963187662572</v>
      </c>
      <c r="AA190" s="23">
        <f>EXP(-LN(2)/25)*AA189+(1-EXP(-LN(2)/25))/(LN(2)/25)*Calculateur!V190*Calculateur!X190*VLOOKUP('Données projet'!$B$9,Paramètres!$A$1:$I$89,3,0)*0.475*44/12</f>
        <v>0.20554555896101553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3.0916418777272727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74.926559033177455</v>
      </c>
      <c r="AO190" s="62">
        <f t="shared" si="144"/>
        <v>430.78114872558075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3.7662533521488801</v>
      </c>
      <c r="AV190" s="23">
        <f>EXP(-LN(2)/25)*AV189+(1-EXP(-LN(2)/25))/(LN(2)/25)*Calculateur!AQ190*Calculateur!AS190*VLOOKUP('Données projet'!$B$10,Paramètres!$A$1:$I$89,3,0)*0.475*44/12</f>
        <v>0.26822966559451672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4.0344830177433968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60.31958470054127</v>
      </c>
      <c r="BJ190" s="62">
        <f t="shared" si="146"/>
        <v>354.50173999733266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3.1214871532755657</v>
      </c>
      <c r="BQ190" s="23">
        <f>EXP(-LN(2)/25)*BQ189+(1-EXP(-LN(2)/25))/(LN(2)/25)*Calculateur!BL190*Calculateur!BN190*VLOOKUP('Données projet'!$B$11,Paramètres!$A$1:$I$89,3,0)*0.475*44/12</f>
        <v>0.22230991306067258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3.3437970663362382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74.926559033177455</v>
      </c>
      <c r="CE190" s="62">
        <f t="shared" si="148"/>
        <v>430.78114872558075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3.7662533521488801</v>
      </c>
      <c r="CL190" s="23">
        <f>EXP(-LN(2)/25)*CL189+(1-EXP(-LN(2)/25))/(LN(2)/25)*Calculateur!CG190*Calculateur!CI190*VLOOKUP('Données projet'!$B$12,Paramètres!$A$1:$I$89,3,0)*0.475*44/12</f>
        <v>0.26822966559451672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4.0344830177433968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108.51360000000028</v>
      </c>
      <c r="D191" s="12">
        <f t="shared" si="140"/>
        <v>28.980500326746292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1061.3579674345351</v>
      </c>
      <c r="H191" s="70">
        <f t="shared" si="110"/>
        <v>532.8022247357502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54.970220527721665</v>
      </c>
      <c r="T191" s="62">
        <f t="shared" si="142"/>
        <v>326.57367524399677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2.8295017303001857</v>
      </c>
      <c r="AA191" s="23">
        <f>EXP(-LN(2)/25)*AA190+(1-EXP(-LN(2)/25))/(LN(2)/25)*Calculateur!V191*Calculateur!X191*VLOOKUP('Données projet'!$B$9,Paramètres!$A$1:$I$89,3,0)*0.475*44/12</f>
        <v>0.19992490484205541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3.029426635142241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74.926559033177455</v>
      </c>
      <c r="AO191" s="62">
        <f t="shared" si="144"/>
        <v>430.78114872558075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3.6923994211009568</v>
      </c>
      <c r="AV191" s="23">
        <f>EXP(-LN(2)/25)*AV190+(1-EXP(-LN(2)/25))/(LN(2)/25)*Calculateur!AQ191*Calculateur!AS191*VLOOKUP('Données projet'!$B$10,Paramètres!$A$1:$I$89,3,0)*0.475*44/12</f>
        <v>0.2608949112832496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3.9532943323842065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60.31958470054127</v>
      </c>
      <c r="BJ191" s="62">
        <f t="shared" si="146"/>
        <v>354.50173999733266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3.0602766941189992</v>
      </c>
      <c r="BQ191" s="23">
        <f>EXP(-LN(2)/25)*BQ190+(1-EXP(-LN(2)/25))/(LN(2)/25)*Calculateur!BL191*Calculateur!BN191*VLOOKUP('Données projet'!$B$11,Paramètres!$A$1:$I$89,3,0)*0.475*44/12</f>
        <v>0.21623083679725824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3.2765075309162572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74.926559033177455</v>
      </c>
      <c r="CE191" s="62">
        <f t="shared" si="148"/>
        <v>430.78114872558075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3.6923994211009568</v>
      </c>
      <c r="CL191" s="23">
        <f>EXP(-LN(2)/25)*CL190+(1-EXP(-LN(2)/25))/(LN(2)/25)*Calculateur!CG191*Calculateur!CI191*VLOOKUP('Données projet'!$B$12,Paramètres!$A$1:$I$89,3,0)*0.475*44/12</f>
        <v>0.2608949112832496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3.9532943323842065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109.09080000000029</v>
      </c>
      <c r="D192" s="12">
        <f t="shared" si="140"/>
        <v>29.116666594885888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1066.8646544166652</v>
      </c>
      <c r="H192" s="70">
        <f t="shared" si="110"/>
        <v>534.04467098609337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54.970220527721665</v>
      </c>
      <c r="T192" s="62">
        <f t="shared" si="142"/>
        <v>326.57367524399677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2.7740169271946433</v>
      </c>
      <c r="AA192" s="23">
        <f>EXP(-LN(2)/25)*AA191+(1-EXP(-LN(2)/25))/(LN(2)/25)*Calculateur!V192*Calculateur!X192*VLOOKUP('Données projet'!$B$9,Paramètres!$A$1:$I$89,3,0)*0.475*44/12</f>
        <v>0.19445794780555559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2.968474875000199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74.926559033177455</v>
      </c>
      <c r="AO192" s="62">
        <f t="shared" si="144"/>
        <v>430.78114872558075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3.6199937205944335</v>
      </c>
      <c r="AV192" s="23">
        <f>EXP(-LN(2)/25)*AV191+(1-EXP(-LN(2)/25))/(LN(2)/25)*Calculateur!AQ192*Calculateur!AS192*VLOOKUP('Données projet'!$B$10,Paramètres!$A$1:$I$89,3,0)*0.475*44/12</f>
        <v>0.25376072621434204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3.8737544468087757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60.31958470054127</v>
      </c>
      <c r="BJ192" s="62">
        <f t="shared" si="146"/>
        <v>354.50173999733266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3.0002665347317992</v>
      </c>
      <c r="BQ192" s="23">
        <f>EXP(-LN(2)/25)*BQ191+(1-EXP(-LN(2)/25))/(LN(2)/25)*Calculateur!BL192*Calculateur!BN192*VLOOKUP('Données projet'!$B$11,Paramètres!$A$1:$I$89,3,0)*0.475*44/12</f>
        <v>0.2103179931939517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3.210584527925751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74.926559033177455</v>
      </c>
      <c r="CE192" s="62">
        <f t="shared" si="148"/>
        <v>430.78114872558075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3.6199937205944335</v>
      </c>
      <c r="CL192" s="23">
        <f>EXP(-LN(2)/25)*CL191+(1-EXP(-LN(2)/25))/(LN(2)/25)*Calculateur!CG192*Calculateur!CI192*VLOOKUP('Données projet'!$B$12,Paramètres!$A$1:$I$89,3,0)*0.475*44/12</f>
        <v>0.25376072621434204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3.8737544468087757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109.66800000000029</v>
      </c>
      <c r="D193" s="12">
        <f t="shared" si="140"/>
        <v>29.252749027300084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1072.3706942458273</v>
      </c>
      <c r="H193" s="70">
        <f t="shared" si="110"/>
        <v>535.28697122254812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54.970220527721665</v>
      </c>
      <c r="T193" s="62">
        <f t="shared" si="142"/>
        <v>326.57367524399677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2.7196201472356125</v>
      </c>
      <c r="AA193" s="23">
        <f>EXP(-LN(2)/25)*AA192+(1-EXP(-LN(2)/25))/(LN(2)/25)*Calculateur!V193*Calculateur!X193*VLOOKUP('Données projet'!$B$9,Paramètres!$A$1:$I$89,3,0)*0.475*44/12</f>
        <v>0.18914048499671363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2.9087606322323261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74.926559033177455</v>
      </c>
      <c r="AO193" s="62">
        <f t="shared" si="144"/>
        <v>430.78114872558075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3.5490078517117265</v>
      </c>
      <c r="AV193" s="23">
        <f>EXP(-LN(2)/25)*AV192+(1-EXP(-LN(2)/25))/(LN(2)/25)*Calculateur!AQ193*Calculateur!AS193*VLOOKUP('Données projet'!$B$10,Paramètres!$A$1:$I$89,3,0)*0.475*44/12</f>
        <v>0.24682162581131423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3.7958294775230406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60.31958470054127</v>
      </c>
      <c r="BJ193" s="62">
        <f t="shared" si="146"/>
        <v>354.50173999733266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2.9414331379675991</v>
      </c>
      <c r="BQ193" s="23">
        <f>EXP(-LN(2)/25)*BQ192+(1-EXP(-LN(2)/25))/(LN(2)/25)*Calculateur!BL193*Calculateur!BN193*VLOOKUP('Données projet'!$B$11,Paramètres!$A$1:$I$89,3,0)*0.475*44/12</f>
        <v>0.2045668366099205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3.1459999745775198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74.926559033177455</v>
      </c>
      <c r="CE193" s="62">
        <f t="shared" si="148"/>
        <v>430.78114872558075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3.5490078517117265</v>
      </c>
      <c r="CL193" s="23">
        <f>EXP(-LN(2)/25)*CL192+(1-EXP(-LN(2)/25))/(LN(2)/25)*Calculateur!CG193*Calculateur!CI193*VLOOKUP('Données projet'!$B$12,Paramètres!$A$1:$I$89,3,0)*0.475*44/12</f>
        <v>0.24682162581131423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3.7958294775230406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110.2452000000003</v>
      </c>
      <c r="D194" s="12">
        <f t="shared" si="140"/>
        <v>29.38874811644364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1077.8760907234271</v>
      </c>
      <c r="H194" s="70">
        <f t="shared" si="110"/>
        <v>536.5291263028065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54.970220527721665</v>
      </c>
      <c r="T194" s="62">
        <f t="shared" si="142"/>
        <v>326.57367524399677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2.6662900549528188</v>
      </c>
      <c r="AA194" s="23">
        <f>EXP(-LN(2)/25)*AA193+(1-EXP(-LN(2)/25))/(LN(2)/25)*Calculateur!V194*Calculateur!X194*VLOOKUP('Données projet'!$B$9,Paramètres!$A$1:$I$89,3,0)*0.475*44/12</f>
        <v>0.18396842848801268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2.8502584834408315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74.926559033177455</v>
      </c>
      <c r="AO194" s="62">
        <f t="shared" si="144"/>
        <v>430.78114872558075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3.4794139724207045</v>
      </c>
      <c r="AV194" s="23">
        <f>EXP(-LN(2)/25)*AV193+(1-EXP(-LN(2)/25))/(LN(2)/25)*Calculateur!AQ194*Calculateur!AS194*VLOOKUP('Données projet'!$B$10,Paramètres!$A$1:$I$89,3,0)*0.475*44/12</f>
        <v>0.24007227547371865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3.7194862478944231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60.31958470054127</v>
      </c>
      <c r="BJ194" s="62">
        <f t="shared" si="146"/>
        <v>354.50173999733266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2.8837534282291162</v>
      </c>
      <c r="BQ194" s="23">
        <f>EXP(-LN(2)/25)*BQ193+(1-EXP(-LN(2)/25))/(LN(2)/25)*Calculateur!BL194*Calculateur!BN194*VLOOKUP('Données projet'!$B$11,Paramètres!$A$1:$I$89,3,0)*0.475*44/12</f>
        <v>0.19897294570511984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3.0827263739342361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74.926559033177455</v>
      </c>
      <c r="CE194" s="62">
        <f t="shared" si="148"/>
        <v>430.78114872558075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3.4794139724207045</v>
      </c>
      <c r="CL194" s="23">
        <f>EXP(-LN(2)/25)*CL193+(1-EXP(-LN(2)/25))/(LN(2)/25)*Calculateur!CG194*Calculateur!CI194*VLOOKUP('Données projet'!$B$12,Paramètres!$A$1:$I$89,3,0)*0.475*44/12</f>
        <v>0.24007227547371865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3.7194862478944231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110.8224000000003</v>
      </c>
      <c r="D195" s="12">
        <f t="shared" si="140"/>
        <v>29.524664349316183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1083.380847608759</v>
      </c>
      <c r="H195" s="70">
        <f t="shared" si="110"/>
        <v>537.77113707505953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54.970220527721665</v>
      </c>
      <c r="T195" s="62">
        <f t="shared" si="142"/>
        <v>326.57367524399677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2.6140057332515463</v>
      </c>
      <c r="AA195" s="23">
        <f>EXP(-LN(2)/25)*AA194+(1-EXP(-LN(2)/25))/(LN(2)/25)*Calculateur!V195*Calculateur!X195*VLOOKUP('Données projet'!$B$9,Paramètres!$A$1:$I$89,3,0)*0.475*44/12</f>
        <v>0.17893780213652877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2.7929435353880749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74.926559033177455</v>
      </c>
      <c r="AO195" s="62">
        <f t="shared" si="144"/>
        <v>430.78114872558075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3.4111847866545046</v>
      </c>
      <c r="AV195" s="23">
        <f>EXP(-LN(2)/25)*AV194+(1-EXP(-LN(2)/25))/(LN(2)/25)*Calculateur!AQ195*Calculateur!AS195*VLOOKUP('Données projet'!$B$10,Paramètres!$A$1:$I$89,3,0)*0.475*44/12</f>
        <v>0.23350748647603753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3.6446922731305422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60.31958470054127</v>
      </c>
      <c r="BJ195" s="62">
        <f t="shared" si="146"/>
        <v>354.50173999733266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2.8272047824174558</v>
      </c>
      <c r="BQ195" s="23">
        <f>EXP(-LN(2)/25)*BQ194+(1-EXP(-LN(2)/25))/(LN(2)/25)*Calculateur!BL195*Calculateur!BN195*VLOOKUP('Données projet'!$B$11,Paramètres!$A$1:$I$89,3,0)*0.475*44/12</f>
        <v>0.19353202004128087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3.0207368024587367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74.926559033177455</v>
      </c>
      <c r="CE195" s="62">
        <f t="shared" si="148"/>
        <v>430.78114872558075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3.4111847866545046</v>
      </c>
      <c r="CL195" s="23">
        <f>EXP(-LN(2)/25)*CL194+(1-EXP(-LN(2)/25))/(LN(2)/25)*Calculateur!CG195*Calculateur!CI195*VLOOKUP('Données projet'!$B$12,Paramètres!$A$1:$I$89,3,0)*0.475*44/12</f>
        <v>0.23350748647603753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3.6446922731305422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111.39960000000031</v>
      </c>
      <c r="D196" s="12">
        <f t="shared" si="140"/>
        <v>29.660498207550773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1088.8849686196927</v>
      </c>
      <c r="H196" s="70">
        <f t="shared" ref="H196:H203" si="192">(B196+E196+F196)*44/12+(C196+D196)*0.475*44/12</f>
        <v>539.01300437815144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54.970220527721665</v>
      </c>
      <c r="T196" s="62">
        <f t="shared" si="142"/>
        <v>326.57367524399677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2.5627466752085484</v>
      </c>
      <c r="AA196" s="23">
        <f>EXP(-LN(2)/25)*AA195+(1-EXP(-LN(2)/25))/(LN(2)/25)*Calculateur!V196*Calculateur!X196*VLOOKUP('Données projet'!$B$9,Paramètres!$A$1:$I$89,3,0)*0.475*44/12</f>
        <v>0.17404473852717534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2.7367914137357237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74.926559033177455</v>
      </c>
      <c r="AO196" s="62">
        <f t="shared" si="144"/>
        <v>430.78114872558075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3.344293533605486</v>
      </c>
      <c r="AV196" s="23">
        <f>EXP(-LN(2)/25)*AV195+(1-EXP(-LN(2)/25))/(LN(2)/25)*Calculateur!AQ196*Calculateur!AS196*VLOOKUP('Données projet'!$B$10,Paramètres!$A$1:$I$89,3,0)*0.475*44/12</f>
        <v>0.22712221197872526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3.5714157455842113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60.31958470054127</v>
      </c>
      <c r="BJ196" s="62">
        <f t="shared" si="146"/>
        <v>354.50173999733266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2.771765021058894</v>
      </c>
      <c r="BQ196" s="23">
        <f>EXP(-LN(2)/25)*BQ195+(1-EXP(-LN(2)/25))/(LN(2)/25)*Calculateur!BL196*Calculateur!BN196*VLOOKUP('Données projet'!$B$11,Paramètres!$A$1:$I$89,3,0)*0.475*44/12</f>
        <v>0.18823987677584544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2.9600048978347395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74.926559033177455</v>
      </c>
      <c r="CE196" s="62">
        <f t="shared" si="148"/>
        <v>430.78114872558075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3.344293533605486</v>
      </c>
      <c r="CL196" s="23">
        <f>EXP(-LN(2)/25)*CL195+(1-EXP(-LN(2)/25))/(LN(2)/25)*Calculateur!CG196*Calculateur!CI196*VLOOKUP('Données projet'!$B$12,Paramètres!$A$1:$I$89,3,0)*0.475*44/12</f>
        <v>0.22712221197872526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3.5714157455842113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111.97680000000031</v>
      </c>
      <c r="D197" s="12">
        <f t="shared" ref="D197:D203" si="202">IFERROR(EXP(-1.0587+0.8836*LN(C197)+0.284),0)</f>
        <v>29.796250167500524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1094.3884574333399</v>
      </c>
      <c r="H197" s="70">
        <f t="shared" si="192"/>
        <v>540.25472904173057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54.970220527721665</v>
      </c>
      <c r="T197" s="62">
        <f t="shared" ref="T197:T203" si="204">$T$3</f>
        <v>326.57367524399677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2.5124927760288354</v>
      </c>
      <c r="AA197" s="23">
        <f>EXP(-LN(2)/25)*AA196+(1-EXP(-LN(2)/25))/(LN(2)/25)*Calculateur!V197*Calculateur!X197*VLOOKUP('Données projet'!$B$9,Paramètres!$A$1:$I$89,3,0)*0.475*44/12</f>
        <v>0.16928547599953472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2.6817782520283702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74.926559033177455</v>
      </c>
      <c r="AO197" s="62">
        <f t="shared" ref="AO197:AO203" si="205">$AO$3</f>
        <v>430.78114872558075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3.2787139772291227</v>
      </c>
      <c r="AV197" s="23">
        <f>EXP(-LN(2)/25)*AV196+(1-EXP(-LN(2)/25))/(LN(2)/25)*Calculateur!AQ197*Calculateur!AS197*VLOOKUP('Données projet'!$B$10,Paramètres!$A$1:$I$89,3,0)*0.475*44/12</f>
        <v>0.22091154314832898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3.4996255203774518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60.31958470054127</v>
      </c>
      <c r="BJ197" s="62">
        <f t="shared" ref="BJ197:BJ203" si="206">$BJ$3</f>
        <v>354.50173999733266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2.7174123996056583</v>
      </c>
      <c r="BQ197" s="23">
        <f>EXP(-LN(2)/25)*BQ196+(1-EXP(-LN(2)/25))/(LN(2)/25)*Calculateur!BL197*Calculateur!BN197*VLOOKUP('Données projet'!$B$11,Paramètres!$A$1:$I$89,3,0)*0.475*44/12</f>
        <v>0.18309244744630507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2.9005048470519634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74.926559033177455</v>
      </c>
      <c r="CE197" s="62">
        <f t="shared" ref="CE197:CE203" si="207">$CE$3</f>
        <v>430.78114872558075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3.2787139772291227</v>
      </c>
      <c r="CL197" s="23">
        <f>EXP(-LN(2)/25)*CL196+(1-EXP(-LN(2)/25))/(LN(2)/25)*Calculateur!CG197*Calculateur!CI197*VLOOKUP('Données projet'!$B$12,Paramètres!$A$1:$I$89,3,0)*0.475*44/12</f>
        <v>0.22091154314832898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3.4996255203774518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112.55400000000031</v>
      </c>
      <c r="D198" s="12">
        <f t="shared" si="202"/>
        <v>29.931920700323271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1099.8913176867084</v>
      </c>
      <c r="H198" s="70">
        <f t="shared" si="192"/>
        <v>541.49631188639682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54.970220527721665</v>
      </c>
      <c r="T198" s="62">
        <f t="shared" si="204"/>
        <v>326.57367524399677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2.4632243251601844</v>
      </c>
      <c r="AA198" s="23">
        <f>EXP(-LN(2)/25)*AA197+(1-EXP(-LN(2)/25))/(LN(2)/25)*Calculateur!V198*Calculateur!X198*VLOOKUP('Données projet'!$B$9,Paramètres!$A$1:$I$89,3,0)*0.475*44/12</f>
        <v>0.16465635575599116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2.6278806809161757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74.926559033177455</v>
      </c>
      <c r="AO198" s="62">
        <f t="shared" si="205"/>
        <v>430.78114872558075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3.2144203959537201</v>
      </c>
      <c r="AV198" s="23">
        <f>EXP(-LN(2)/25)*AV197+(1-EXP(-LN(2)/25))/(LN(2)/25)*Calculateur!AQ198*Calculateur!AS198*VLOOKUP('Données projet'!$B$10,Paramètres!$A$1:$I$89,3,0)*0.475*44/12</f>
        <v>0.21487070538370476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3.4292911013374248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60.31958470054127</v>
      </c>
      <c r="BJ198" s="62">
        <f t="shared" si="206"/>
        <v>354.50173999733266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2.6641255999072948</v>
      </c>
      <c r="BQ198" s="23">
        <f>EXP(-LN(2)/25)*BQ197+(1-EXP(-LN(2)/25))/(LN(2)/25)*Calculateur!BL198*Calculateur!BN198*VLOOKUP('Données projet'!$B$11,Paramètres!$A$1:$I$89,3,0)*0.475*44/12</f>
        <v>0.17808577484247251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2.8422113747497675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74.926559033177455</v>
      </c>
      <c r="CE198" s="62">
        <f t="shared" si="207"/>
        <v>430.78114872558075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3.2144203959537201</v>
      </c>
      <c r="CL198" s="23">
        <f>EXP(-LN(2)/25)*CL197+(1-EXP(-LN(2)/25))/(LN(2)/25)*Calculateur!CG198*Calculateur!CI198*VLOOKUP('Données projet'!$B$12,Paramètres!$A$1:$I$89,3,0)*0.475*44/12</f>
        <v>0.21487070538370476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3.4292911013374248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113.13120000000032</v>
      </c>
      <c r="D199" s="12">
        <f t="shared" si="202"/>
        <v>30.067510272064766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1105.3935529773446</v>
      </c>
      <c r="H199" s="70">
        <f t="shared" si="192"/>
        <v>542.73775372384671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54.970220527721665</v>
      </c>
      <c r="T199" s="62">
        <f t="shared" si="204"/>
        <v>326.57367524399677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2.4149219985622801</v>
      </c>
      <c r="AA199" s="23">
        <f>EXP(-LN(2)/25)*AA198+(1-EXP(-LN(2)/25))/(LN(2)/25)*Calculateur!V199*Calculateur!X199*VLOOKUP('Données projet'!$B$9,Paramètres!$A$1:$I$89,3,0)*0.475*44/12</f>
        <v>0.16015381904894216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2.5750758176112223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74.926559033177455</v>
      </c>
      <c r="AO199" s="62">
        <f t="shared" si="205"/>
        <v>430.78114872558075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3.1513875725919158</v>
      </c>
      <c r="AV199" s="23">
        <f>EXP(-LN(2)/25)*AV198+(1-EXP(-LN(2)/25))/(LN(2)/25)*Calculateur!AQ199*Calculateur!AS199*VLOOKUP('Données projet'!$B$10,Paramètres!$A$1:$I$89,3,0)*0.475*44/12</f>
        <v>0.20899505464542806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3.3603826272373438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60.31958470054127</v>
      </c>
      <c r="BJ199" s="62">
        <f t="shared" si="206"/>
        <v>354.50173999733266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2.6118837218492774</v>
      </c>
      <c r="BQ199" s="23">
        <f>EXP(-LN(2)/25)*BQ198+(1-EXP(-LN(2)/25))/(LN(2)/25)*Calculateur!BL199*Calculateur!BN199*VLOOKUP('Données projet'!$B$11,Paramètres!$A$1:$I$89,3,0)*0.475*44/12</f>
        <v>0.17321600996428121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2.7850997318135589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74.926559033177455</v>
      </c>
      <c r="CE199" s="62">
        <f t="shared" si="207"/>
        <v>430.78114872558075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3.1513875725919158</v>
      </c>
      <c r="CL199" s="23">
        <f>EXP(-LN(2)/25)*CL198+(1-EXP(-LN(2)/25))/(LN(2)/25)*Calculateur!CG199*Calculateur!CI199*VLOOKUP('Données projet'!$B$12,Paramètres!$A$1:$I$89,3,0)*0.475*44/12</f>
        <v>0.20899505464542806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3.3603826272373438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113.70840000000032</v>
      </c>
      <c r="D200" s="12">
        <f t="shared" si="202"/>
        <v>30.203019343739882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1110.8951668639595</v>
      </c>
      <c r="H200" s="70">
        <f t="shared" si="192"/>
        <v>543.97905535701409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54.970220527721665</v>
      </c>
      <c r="T200" s="62">
        <f t="shared" si="204"/>
        <v>326.57367524399677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2.3675668511274504</v>
      </c>
      <c r="AA200" s="23">
        <f>EXP(-LN(2)/25)*AA199+(1-EXP(-LN(2)/25))/(LN(2)/25)*Calculateur!V200*Calculateur!X200*VLOOKUP('Données projet'!$B$9,Paramètres!$A$1:$I$89,3,0)*0.475*44/12</f>
        <v>0.15577440444492552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2.523341255572376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74.926559033177455</v>
      </c>
      <c r="AO200" s="62">
        <f t="shared" si="205"/>
        <v>430.78114872558075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3.0895907844500106</v>
      </c>
      <c r="AV200" s="23">
        <f>EXP(-LN(2)/25)*AV199+(1-EXP(-LN(2)/25))/(LN(2)/25)*Calculateur!AQ200*Calculateur!AS200*VLOOKUP('Données projet'!$B$10,Paramètres!$A$1:$I$89,3,0)*0.475*44/12</f>
        <v>0.20328007388557656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3.2928708583355872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60.31958470054127</v>
      </c>
      <c r="BJ200" s="62">
        <f t="shared" si="206"/>
        <v>354.50173999733266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2.5606662751555787</v>
      </c>
      <c r="BQ200" s="23">
        <f>EXP(-LN(2)/25)*BQ199+(1-EXP(-LN(2)/25))/(LN(2)/25)*Calculateur!BL200*Calculateur!BN200*VLOOKUP('Données projet'!$B$11,Paramètres!$A$1:$I$89,3,0)*0.475*44/12</f>
        <v>0.16847940906277387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2.7291456842183526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74.926559033177455</v>
      </c>
      <c r="CE200" s="62">
        <f t="shared" si="207"/>
        <v>430.78114872558075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3.0895907844500106</v>
      </c>
      <c r="CL200" s="23">
        <f>EXP(-LN(2)/25)*CL199+(1-EXP(-LN(2)/25))/(LN(2)/25)*Calculateur!CG200*Calculateur!CI200*VLOOKUP('Données projet'!$B$12,Paramètres!$A$1:$I$89,3,0)*0.475*44/12</f>
        <v>0.20328007388557656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3.2928708583355872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114.28560000000033</v>
      </c>
      <c r="D201" s="12">
        <f t="shared" si="202"/>
        <v>30.338448371411999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1116.3961628670427</v>
      </c>
      <c r="H201" s="70">
        <f t="shared" si="192"/>
        <v>545.22021758020969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54.970220527721665</v>
      </c>
      <c r="T201" s="62">
        <f t="shared" si="204"/>
        <v>326.57367524399677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2.3211403092500298</v>
      </c>
      <c r="AA201" s="23">
        <f>EXP(-LN(2)/25)*AA200+(1-EXP(-LN(2)/25))/(LN(2)/25)*Calculateur!V201*Calculateur!X201*VLOOKUP('Données projet'!$B$9,Paramètres!$A$1:$I$89,3,0)*0.475*44/12</f>
        <v>0.15151474516355912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2.4726550544135888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74.926559033177455</v>
      </c>
      <c r="AO201" s="62">
        <f t="shared" si="205"/>
        <v>430.78114872558075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3.0290057936312489</v>
      </c>
      <c r="AV201" s="23">
        <f>EXP(-LN(2)/25)*AV200+(1-EXP(-LN(2)/25))/(LN(2)/25)*Calculateur!AQ201*Calculateur!AS201*VLOOKUP('Données projet'!$B$10,Paramètres!$A$1:$I$89,3,0)*0.475*44/12</f>
        <v>0.197721369575141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3.2267271632063901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60.31958470054127</v>
      </c>
      <c r="BJ201" s="62">
        <f t="shared" si="206"/>
        <v>354.50173999733266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2.5104531713519855</v>
      </c>
      <c r="BQ201" s="23">
        <f>EXP(-LN(2)/25)*BQ200+(1-EXP(-LN(2)/25))/(LN(2)/25)*Calculateur!BL201*Calculateur!BN201*VLOOKUP('Données projet'!$B$11,Paramètres!$A$1:$I$89,3,0)*0.475*44/12</f>
        <v>0.16387233076200525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2.6743255021139909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74.926559033177455</v>
      </c>
      <c r="CE201" s="62">
        <f t="shared" si="207"/>
        <v>430.78114872558075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3.0290057936312489</v>
      </c>
      <c r="CL201" s="23">
        <f>EXP(-LN(2)/25)*CL200+(1-EXP(-LN(2)/25))/(LN(2)/25)*Calculateur!CG201*Calculateur!CI201*VLOOKUP('Données projet'!$B$12,Paramètres!$A$1:$I$89,3,0)*0.475*44/12</f>
        <v>0.197721369575141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3.2267271632063901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114.86280000000033</v>
      </c>
      <c r="D202" s="12">
        <f t="shared" si="202"/>
        <v>30.473797806271179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1121.8965444694645</v>
      </c>
      <c r="H202" s="70">
        <f t="shared" si="192"/>
        <v>546.46124117925626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54.970220527721665</v>
      </c>
      <c r="T202" s="62">
        <f t="shared" si="204"/>
        <v>326.57367524399677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2.2756241635414312</v>
      </c>
      <c r="AA202" s="23">
        <f>EXP(-LN(2)/25)*AA201+(1-EXP(-LN(2)/25))/(LN(2)/25)*Calculateur!V202*Calculateur!X202*VLOOKUP('Données projet'!$B$9,Paramètres!$A$1:$I$89,3,0)*0.475*44/12</f>
        <v>0.14737156648924743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2.4229957300306788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74.926559033177455</v>
      </c>
      <c r="AO202" s="62">
        <f t="shared" si="205"/>
        <v>430.78114872558075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2.9696088375292478</v>
      </c>
      <c r="AV202" s="23">
        <f>EXP(-LN(2)/25)*AV201+(1-EXP(-LN(2)/25))/(LN(2)/25)*Calculateur!AQ202*Calculateur!AS202*VLOOKUP('Données projet'!$B$10,Paramètres!$A$1:$I$89,3,0)*0.475*44/12</f>
        <v>0.19231466832639385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3.1619235058556416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60.31958470054127</v>
      </c>
      <c r="BJ202" s="62">
        <f t="shared" si="206"/>
        <v>354.50173999733266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2.4612247158870115</v>
      </c>
      <c r="BQ202" s="23">
        <f>EXP(-LN(2)/25)*BQ201+(1-EXP(-LN(2)/25))/(LN(2)/25)*Calculateur!BL202*Calculateur!BN202*VLOOKUP('Données projet'!$B$11,Paramètres!$A$1:$I$89,3,0)*0.475*44/12</f>
        <v>0.15939123325964688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2.6206159491466585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74.926559033177455</v>
      </c>
      <c r="CE202" s="62">
        <f t="shared" si="207"/>
        <v>430.78114872558075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2.9696088375292478</v>
      </c>
      <c r="CL202" s="23">
        <f>EXP(-LN(2)/25)*CL201+(1-EXP(-LN(2)/25))/(LN(2)/25)*Calculateur!CG202*Calculateur!CI202*VLOOKUP('Données projet'!$B$12,Paramètres!$A$1:$I$89,3,0)*0.475*44/12</f>
        <v>0.19231466832639385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3.1619235058556416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115.44000000000034</v>
      </c>
      <c r="D203" s="12">
        <f t="shared" si="202"/>
        <v>30.609068094710292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1127.3963151170647</v>
      </c>
      <c r="H203" s="70">
        <f t="shared" si="192"/>
        <v>547.70212693162102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54.970220527721665</v>
      </c>
      <c r="T203" s="62">
        <f t="shared" si="204"/>
        <v>326.57367524399677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2.2310005616880706</v>
      </c>
      <c r="AA203" s="23">
        <f>EXP(-LN(2)/25)*AA202+(1-EXP(-LN(2)/25))/(LN(2)/25)*Calculateur!V203*Calculateur!X203*VLOOKUP('Données projet'!$B$9,Paramètres!$A$1:$I$89,3,0)*0.475*44/12</f>
        <v>0.14334168325366509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2.3743422449417357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74.926559033177455</v>
      </c>
      <c r="AO203" s="62">
        <f t="shared" si="205"/>
        <v>430.78114872558075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2.9113766195078408</v>
      </c>
      <c r="AV203" s="23">
        <f>EXP(-LN(2)/25)*AV202+(1-EXP(-LN(2)/25))/(LN(2)/25)*Calculateur!AQ203*Calculateur!AS203*VLOOKUP('Données projet'!$B$10,Paramètres!$A$1:$I$89,3,0)*0.475*44/12</f>
        <v>0.18705581360761975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3.0984324331154607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60.31958470054127</v>
      </c>
      <c r="BJ203" s="62">
        <f t="shared" si="206"/>
        <v>354.50173999733266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2.4129616004073129</v>
      </c>
      <c r="BQ203" s="23">
        <f>EXP(-LN(2)/25)*BQ202+(1-EXP(-LN(2)/25))/(LN(2)/25)*Calculateur!BL203*Calculateur!BN203*VLOOKUP('Données projet'!$B$11,Paramètres!$A$1:$I$89,3,0)*0.475*44/12</f>
        <v>0.15503267160414116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2.5679942720114539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74.926559033177455</v>
      </c>
      <c r="CE203" s="62">
        <f t="shared" si="207"/>
        <v>430.78114872558075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2.9113766195078408</v>
      </c>
      <c r="CL203" s="23">
        <f>EXP(-LN(2)/25)*CL202+(1-EXP(-LN(2)/25))/(LN(2)/25)*Calculateur!CG203*Calculateur!CI203*VLOOKUP('Données projet'!$B$12,Paramètres!$A$1:$I$89,3,0)*0.475*44/12</f>
        <v>0.18705581360761975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3.0984324331154607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1.3878726056494621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1.3878726056494621</v>
      </c>
      <c r="BA205" s="88">
        <f>EXP(LN('Données projet'!B88)/'Données projet'!A88)</f>
        <v>1.3878726056494621</v>
      </c>
      <c r="BV205" s="88">
        <f>EXP(LN('Données projet'!B114)/'Données projet'!A114)</f>
        <v>1.3878726056494621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5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7" sqref="G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32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S15" sqref="S1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I-214</v>
      </c>
      <c r="B6" s="155">
        <f>'Données projet'!D9</f>
        <v>2.6749999999999998</v>
      </c>
      <c r="C6" s="156">
        <f ca="1">IF(OR('Données projet'!B9="",'Données projet'!C9="",'Données projet'!C9=0%),0,Calculateur!S3)</f>
        <v>54.970220527721665</v>
      </c>
      <c r="D6" s="156">
        <f>IF(OR('Données projet'!B9="",'Données projet'!C9="",'Données projet'!C9=0%),0,Calculateur!T3)</f>
        <v>326.57367524399677</v>
      </c>
      <c r="E6" s="156">
        <f ca="1">MIN(C6,D6)</f>
        <v>54.970220527721665</v>
      </c>
      <c r="F6" s="156">
        <f ca="1">E6*B6</f>
        <v>147.04533991165545</v>
      </c>
      <c r="G6" s="156">
        <f ca="1">F6*(100%-'Données projet'!$C$24)*(100%-'Données projet'!$C$25)*(100%-'Données projet'!$C$26)*(100%-'Données projet'!$C$27)</f>
        <v>100.57901249957233</v>
      </c>
      <c r="H6" s="157">
        <f>IF(OR('Données projet'!B9="",'Données projet'!C9="",'Données projet'!C9=0%),0,AVERAGE(Calculateur!$AC$3:$AC$33)*B6)</f>
        <v>103.18672377848388</v>
      </c>
      <c r="I6" s="158">
        <f>H6*(100%-'Données projet'!$C$24)*(100%-'Données projet'!$C$25)*(100%-'Données projet'!$C$26)*(100%-'Données projet'!$C$27)</f>
        <v>70.579719064482973</v>
      </c>
      <c r="J6" s="159">
        <f>IF(OR('Données projet'!B9="",'Données projet'!C9="",'Données projet'!C9=0%),0,SUM(Calculateur!$V$3:$V$33)*VLOOKUP('Données projet'!$B$9,Paramètres!$A$1:$I$89,9,0)*B6)</f>
        <v>1005.6662499999999</v>
      </c>
      <c r="K6" s="160">
        <f>J6*(100%-'Données projet'!$C$24)*(100%-'Données projet'!$C$25)*(100%-'Données projet'!$C$26)*(100%-'Données projet'!$C$27)</f>
        <v>687.8757149999999</v>
      </c>
      <c r="L6" s="161">
        <f ca="1">G6+I6+K6</f>
        <v>859.0344465640552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Taro</v>
      </c>
      <c r="B7" s="163">
        <f>'Données projet'!D10</f>
        <v>2.6749999999999998</v>
      </c>
      <c r="C7" s="156">
        <f ca="1">IF(OR('Données projet'!B10="",'Données projet'!C10="",'Données projet'!C10=0%),0,Calculateur!AN3)</f>
        <v>74.926559033177455</v>
      </c>
      <c r="D7" s="156">
        <f>IF(OR('Données projet'!B10="",'Données projet'!C10="",'Données projet'!C10=0%),0,Calculateur!AO3)</f>
        <v>430.78114872558075</v>
      </c>
      <c r="E7" s="156">
        <f t="shared" ref="E7:E15" ca="1" si="0">MIN(C7,D7)</f>
        <v>74.926559033177455</v>
      </c>
      <c r="F7" s="156">
        <f t="shared" ref="F7:F15" ca="1" si="1">E7*B7</f>
        <v>200.42854541374967</v>
      </c>
      <c r="G7" s="156">
        <f ca="1">F7*(100%-'Données projet'!$C$24)*(100%-'Données projet'!$C$25)*(100%-'Données projet'!$C$26)*(100%-'Données projet'!$C$27)</f>
        <v>137.09312506300478</v>
      </c>
      <c r="H7" s="164">
        <f>IF(OR('Données projet'!B10="",'Données projet'!C10="",'Données projet'!C10=0%),0,AVERAGE(Calculateur!$AX$3:$AX$33)*B7)</f>
        <v>134.65501542724144</v>
      </c>
      <c r="I7" s="158">
        <f>H7*(100%-'Données projet'!$C$24)*(100%-'Données projet'!$C$25)*(100%-'Données projet'!$C$26)*(100%-'Données projet'!$C$27)</f>
        <v>92.104030552233141</v>
      </c>
      <c r="J7" s="159">
        <f>IF(OR('Données projet'!B10="",'Données projet'!C10="",'Données projet'!C10=0%),0,SUM(Calculateur!$AQ$3:$AQ$33)*VLOOKUP('Données projet'!$B$10,Paramètres!$A$1:$I$89,9,0)*B7)</f>
        <v>1005.6662499999999</v>
      </c>
      <c r="K7" s="160">
        <f>J7*(100%-'Données projet'!$C$24)*(100%-'Données projet'!$C$25)*(100%-'Données projet'!$C$26)*(100%-'Données projet'!$C$27)</f>
        <v>687.8757149999999</v>
      </c>
      <c r="L7" s="161">
        <f t="shared" ref="L7:L15" ca="1" si="2">G7+I7+K7</f>
        <v>917.07287061523789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Polargo</v>
      </c>
      <c r="B8" s="163">
        <f>'Données projet'!D11</f>
        <v>2.6749999999999998</v>
      </c>
      <c r="C8" s="156">
        <f ca="1">IF(OR('Données projet'!B11="",'Données projet'!C11="",'Données projet'!C11=0%),0,Calculateur!BI3)</f>
        <v>60.31958470054127</v>
      </c>
      <c r="D8" s="156">
        <f>IF(OR('Données projet'!B11="",'Données projet'!C11="",'Données projet'!C11=0%),0,Calculateur!BJ3)</f>
        <v>354.50173999733266</v>
      </c>
      <c r="E8" s="156">
        <f t="shared" ca="1" si="0"/>
        <v>60.31958470054127</v>
      </c>
      <c r="F8" s="156">
        <f t="shared" ca="1" si="1"/>
        <v>161.35488907394787</v>
      </c>
      <c r="G8" s="156">
        <f ca="1">F8*(100%-'Données projet'!$C$24)*(100%-'Données projet'!$C$25)*(100%-'Données projet'!$C$26)*(100%-'Données projet'!$C$27)</f>
        <v>110.36674412658034</v>
      </c>
      <c r="H8" s="164">
        <f>IF(OR('Données projet'!B11="",'Données projet'!C11="",'Données projet'!C11=0%),0,AVERAGE(Calculateur!$BS$3:$BS$33)*B8)</f>
        <v>111.60266224268649</v>
      </c>
      <c r="I8" s="158">
        <f>H8*(100%-'Données projet'!$C$24)*(100%-'Données projet'!$C$25)*(100%-'Données projet'!$C$26)*(100%-'Données projet'!$C$27)</f>
        <v>76.336220973997555</v>
      </c>
      <c r="J8" s="159">
        <f>IF(OR('Données projet'!B11="",'Données projet'!C11="",'Données projet'!C11=0%),0,SUM(Calculateur!$BL$3:$BL$33)*VLOOKUP('Données projet'!$B$11,Paramètres!$A$1:$I$89,9,0)*B8)</f>
        <v>1005.6662499999999</v>
      </c>
      <c r="K8" s="160">
        <f>J8*(100%-'Données projet'!$C$24)*(100%-'Données projet'!$C$25)*(100%-'Données projet'!$C$26)*(100%-'Données projet'!$C$27)</f>
        <v>687.8757149999999</v>
      </c>
      <c r="L8" s="161">
        <f t="shared" ca="1" si="2"/>
        <v>874.5786801005778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Peuplier Taro</v>
      </c>
      <c r="B9" s="163">
        <f>'Données projet'!D12</f>
        <v>2.6749999999999998</v>
      </c>
      <c r="C9" s="156">
        <f ca="1">IF(OR('Données projet'!B12="",'Données projet'!C12="",'Données projet'!C12=0%),0,Calculateur!CD3)</f>
        <v>74.926559033177455</v>
      </c>
      <c r="D9" s="156">
        <f>IF(OR('Données projet'!B12="",'Données projet'!C12="",'Données projet'!C12=0%),0,Calculateur!CE3)</f>
        <v>430.78114872558075</v>
      </c>
      <c r="E9" s="156">
        <f t="shared" ca="1" si="0"/>
        <v>74.926559033177455</v>
      </c>
      <c r="F9" s="156">
        <f t="shared" ca="1" si="1"/>
        <v>200.42854541374967</v>
      </c>
      <c r="G9" s="156">
        <f ca="1">F9*(100%-'Données projet'!$C$24)*(100%-'Données projet'!$C$25)*(100%-'Données projet'!$C$26)*(100%-'Données projet'!$C$27)</f>
        <v>137.09312506300478</v>
      </c>
      <c r="H9" s="164">
        <f>IF(OR('Données projet'!B12="",'Données projet'!C12="",'Données projet'!C12=0%),0,AVERAGE(Calculateur!$CN$3:$CN$33)*B9)</f>
        <v>134.65501542724144</v>
      </c>
      <c r="I9" s="158">
        <f>H9*(100%-'Données projet'!$C$24)*(100%-'Données projet'!$C$25)*(100%-'Données projet'!$C$26)*(100%-'Données projet'!$C$27)</f>
        <v>92.104030552233141</v>
      </c>
      <c r="J9" s="159">
        <f>IF(OR('Données projet'!B12="",'Données projet'!C12="",'Données projet'!C12=0%),0,SUM(Calculateur!$CG$3:$CG$33)*VLOOKUP('Données projet'!$B$12,Paramètres!$A$1:$I$89,9,0)*B9)</f>
        <v>1005.6662499999999</v>
      </c>
      <c r="K9" s="160">
        <f>J9*(100%-'Données projet'!$C$24)*(100%-'Données projet'!$C$25)*(100%-'Données projet'!$C$26)*(100%-'Données projet'!$C$27)</f>
        <v>687.8757149999999</v>
      </c>
      <c r="L9" s="161">
        <f t="shared" ca="1" si="2"/>
        <v>917.07287061523789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709.25731981310275</v>
      </c>
      <c r="G16" s="175">
        <f t="shared" ca="1" si="3"/>
        <v>485.13200675216223</v>
      </c>
      <c r="H16" s="176">
        <f t="shared" si="3"/>
        <v>484.09941687565328</v>
      </c>
      <c r="I16" s="176">
        <f t="shared" si="3"/>
        <v>331.12400114294684</v>
      </c>
      <c r="J16" s="177">
        <f t="shared" si="3"/>
        <v>4022.6649999999995</v>
      </c>
      <c r="K16" s="177">
        <f t="shared" si="3"/>
        <v>2751.5028599999996</v>
      </c>
      <c r="L16" s="178">
        <f t="shared" ca="1" si="3"/>
        <v>3567.7588678951088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I-214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Taro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Polargo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Peuplier Taro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P21" sqref="P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6" t="s">
        <v>315</v>
      </c>
      <c r="I4" s="346"/>
      <c r="K4" s="343" t="s">
        <v>253</v>
      </c>
      <c r="L4" s="34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4" t="s">
        <v>310</v>
      </c>
      <c r="S7" s="355"/>
      <c r="T7" s="355"/>
      <c r="U7" s="355"/>
      <c r="V7" s="35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I-214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2.6749999999999998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Taro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2.6749999999999998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Polargo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2.6749999999999998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Peuplier Taro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2.6749999999999998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I-214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7"/>
      <c r="H16" s="203"/>
      <c r="I16" s="204"/>
      <c r="J16" s="216"/>
      <c r="K16" s="225"/>
      <c r="L16" s="343" t="s">
        <v>254</v>
      </c>
      <c r="M16" s="34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7"/>
      <c r="J17" s="216"/>
      <c r="K17" s="225"/>
      <c r="L17" s="314" t="s">
        <v>289</v>
      </c>
      <c r="M17" s="31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7"/>
      <c r="J18" s="216"/>
      <c r="K18" s="225"/>
      <c r="L18" s="314" t="s">
        <v>255</v>
      </c>
      <c r="M18" s="31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7"/>
      <c r="H19" s="232" t="s">
        <v>178</v>
      </c>
      <c r="I19" s="232" t="s">
        <v>287</v>
      </c>
      <c r="J19" s="260"/>
      <c r="K19" s="183"/>
      <c r="L19" s="343" t="s">
        <v>288</v>
      </c>
      <c r="M19" s="34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18</v>
      </c>
      <c r="B23" s="193">
        <f>'Données projet'!D36</f>
        <v>365</v>
      </c>
      <c r="C23" s="206"/>
      <c r="D23" s="194">
        <f>B23*C23</f>
        <v>0</v>
      </c>
      <c r="E23" s="206"/>
      <c r="F23" s="261"/>
      <c r="H23" s="203"/>
      <c r="I23" s="204"/>
      <c r="K23" s="225"/>
      <c r="L23" s="345" t="s">
        <v>260</v>
      </c>
      <c r="M23" s="345"/>
      <c r="N23" s="345"/>
      <c r="O23" s="25"/>
      <c r="P23" s="25"/>
      <c r="Q23" s="265"/>
      <c r="R23" s="25"/>
      <c r="S23" s="185" t="s">
        <v>264</v>
      </c>
      <c r="T23" s="35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59"/>
      <c r="V23" s="35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6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60"/>
      <c r="V24" s="36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61">
        <f ca="1">T23-T24</f>
        <v>0</v>
      </c>
      <c r="U25" s="361"/>
      <c r="V25" s="36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48" t="s">
        <v>258</v>
      </c>
      <c r="M26" s="349"/>
      <c r="N26" s="349"/>
      <c r="O26" s="349"/>
      <c r="P26" s="350"/>
      <c r="Q26" s="265"/>
      <c r="R26" s="25"/>
      <c r="S26" s="198" t="s">
        <v>265</v>
      </c>
      <c r="T26" s="358" t="str">
        <f ca="1">IF(T25&lt;0,"Votre projet est additionnel","Votre projet n'est pas additionnel")</f>
        <v>Votre projet n'est pas additionnel</v>
      </c>
      <c r="U26" s="358"/>
      <c r="V26" s="35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51"/>
      <c r="M27" s="352"/>
      <c r="N27" s="352"/>
      <c r="O27" s="352"/>
      <c r="P27" s="353"/>
      <c r="Q27" s="265"/>
      <c r="R27" s="25"/>
      <c r="S27" s="357" t="s">
        <v>267</v>
      </c>
      <c r="T27" s="357"/>
      <c r="U27" s="357"/>
      <c r="V27" s="35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Taro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18</v>
      </c>
      <c r="B54" s="193">
        <f>'Données projet'!D62</f>
        <v>365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Polargo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18</v>
      </c>
      <c r="B85" s="193">
        <f>'Données projet'!D88</f>
        <v>365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Peuplier Taro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18</v>
      </c>
      <c r="B116" s="193">
        <f>'Données projet'!D114</f>
        <v>365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D12" sqref="D12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Peuplier I-214</v>
      </c>
      <c r="D3" s="292" t="str">
        <f>'Données projet'!B10</f>
        <v>Peuplier Taro</v>
      </c>
      <c r="E3" s="292" t="str">
        <f>'Données projet'!B11</f>
        <v>Peuplier Polargo</v>
      </c>
      <c r="F3" s="292" t="str">
        <f>'Données projet'!B12</f>
        <v>Peuplier Taro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2.6749999999999998</v>
      </c>
      <c r="D4" s="300">
        <f>'Données projet'!$D$10</f>
        <v>2.6749999999999998</v>
      </c>
      <c r="E4" s="300">
        <f>'Données projet'!$D$11</f>
        <v>2.6749999999999998</v>
      </c>
      <c r="F4" s="300">
        <f>'Données projet'!$D$12</f>
        <v>2.6749999999999998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10.7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2025-03-10T14:03:13Z</dcterms:modified>
</cp:coreProperties>
</file>