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5-2026/BOURGEOIS (les Touches) - 20097515 LE/"/>
    </mc:Choice>
  </mc:AlternateContent>
  <xr:revisionPtr revIDLastSave="202" documentId="8_{98E7D02E-8F57-4037-A0B4-2A52FDCAF7FA}" xr6:coauthVersionLast="47" xr6:coauthVersionMax="47" xr10:uidLastSave="{393B25F0-698F-4F9D-9DAE-16328D845D72}"/>
  <bookViews>
    <workbookView xWindow="-28920" yWindow="7515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7" i="1"/>
  <c r="U18" i="6" s="1"/>
  <c r="V18" i="6" s="1"/>
  <c r="D18" i="1"/>
  <c r="P66" i="6" l="1"/>
  <c r="H18" i="2"/>
  <c r="D19" i="2"/>
  <c r="G19" i="2" s="1"/>
  <c r="P39" i="6"/>
  <c r="B15" i="4"/>
  <c r="U19" i="6"/>
  <c r="V19" i="6" s="1"/>
  <c r="B14" i="4"/>
  <c r="P67" i="6" l="1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HH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GS33" i="2"/>
  <c r="FP33" i="2"/>
  <c r="GG33" i="2"/>
  <c r="FX33" i="2"/>
  <c r="EQ33" i="2"/>
  <c r="EH33" i="2"/>
  <c r="CJ33" i="2"/>
  <c r="FB33" i="2"/>
  <c r="ER33" i="2"/>
  <c r="DV33" i="2"/>
  <c r="DM33" i="2"/>
  <c r="DA33" i="2"/>
  <c r="GH33" i="2"/>
  <c r="J14" i="4" s="1"/>
  <c r="K14" i="4" s="1"/>
  <c r="FL33" i="2"/>
  <c r="FC33" i="2"/>
  <c r="EU33" i="2"/>
  <c r="EG33" i="2"/>
  <c r="DW33" i="2"/>
  <c r="DB33" i="2"/>
  <c r="DL33" i="2"/>
  <c r="CQ33" i="2"/>
  <c r="DZ33" i="2"/>
  <c r="CG33" i="2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AG33" i="2"/>
  <c r="Y33" i="2"/>
  <c r="U33" i="2"/>
  <c r="A34" i="2"/>
  <c r="V33" i="2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CN33" i="2"/>
  <c r="FT33" i="2"/>
  <c r="ED33" i="2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Y161" i="2"/>
  <c r="EW162" i="2"/>
  <c r="DI161" i="2"/>
  <c r="HH162" i="2"/>
  <c r="EC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I163" i="2"/>
  <c r="ED163" i="2"/>
  <c r="FR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HI168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HI172" i="2"/>
  <c r="EA172" i="2"/>
  <c r="ED171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D172" i="2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A178" i="2"/>
  <c r="EW178" i="2"/>
  <c r="EB178" i="2"/>
  <c r="ED177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D184" i="2"/>
  <c r="HI185" i="2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FS186" i="2"/>
  <c r="HG186" i="2"/>
  <c r="EW186" i="2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HH189" i="2"/>
  <c r="AA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Y189" i="2"/>
  <c r="ED189" i="2"/>
  <c r="EV190" i="2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B194" i="2"/>
  <c r="HI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Y194" i="2"/>
  <c r="AA195" i="2"/>
  <c r="ED194" i="2"/>
  <c r="EX195" i="2"/>
  <c r="HI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FS197" i="2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FS199" i="2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 l="1"/>
  <c r="FS201" i="2"/>
  <c r="DI200" i="2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S202" i="2" l="1"/>
  <c r="HI202" i="2"/>
  <c r="EW202" i="2"/>
  <c r="ED201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GT102" i="2" a="1"/>
  <c r="GT102" i="2" s="1"/>
  <c r="GT11" i="2" a="1"/>
  <c r="GT11" i="2" s="1"/>
  <c r="EI166" i="2" a="1"/>
  <c r="EI166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FY142" i="2" a="1"/>
  <c r="FY142" i="2" s="1"/>
  <c r="BC130" i="2" a="1"/>
  <c r="BC130" i="2" s="1"/>
  <c r="BC55" i="2" a="1"/>
  <c r="BC55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38" i="2" a="1"/>
  <c r="GT138" i="2" s="1"/>
  <c r="GT15" i="2" a="1"/>
  <c r="GT15" i="2" s="1"/>
  <c r="EI67" i="2" a="1"/>
  <c r="EI67" i="2" s="1"/>
  <c r="DN6" i="2" a="1"/>
  <c r="DN6" i="2" s="1"/>
  <c r="DO6" i="2" s="1"/>
  <c r="HJ202" i="2"/>
  <c r="AX200" i="2"/>
  <c r="EI37" i="2" l="1" a="1"/>
  <c r="EI37" i="2" s="1"/>
  <c r="FD82" i="2" a="1"/>
  <c r="FD82" i="2" s="1"/>
  <c r="EI35" i="2" a="1"/>
  <c r="EI35" i="2" s="1"/>
  <c r="EI139" i="2" a="1"/>
  <c r="EI139" i="2" s="1"/>
  <c r="CS134" i="2" a="1"/>
  <c r="CS134" i="2" s="1"/>
  <c r="CS72" i="2" a="1"/>
  <c r="CS72" i="2" s="1"/>
  <c r="CS24" i="2" a="1"/>
  <c r="CS24" i="2" s="1"/>
  <c r="FD159" i="2" a="1"/>
  <c r="FD159" i="2" s="1"/>
  <c r="FD167" i="2" a="1"/>
  <c r="FD167" i="2" s="1"/>
  <c r="FD189" i="2" a="1"/>
  <c r="FD189" i="2" s="1"/>
  <c r="FD48" i="2" a="1"/>
  <c r="FD48" i="2" s="1"/>
  <c r="FD188" i="2" a="1"/>
  <c r="FD188" i="2" s="1"/>
  <c r="EI16" i="2" a="1"/>
  <c r="EI16" i="2" s="1"/>
  <c r="EI128" i="2" a="1"/>
  <c r="EI128" i="2" s="1"/>
  <c r="EI170" i="2" a="1"/>
  <c r="EI170" i="2" s="1"/>
  <c r="EI113" i="2" a="1"/>
  <c r="EI113" i="2" s="1"/>
  <c r="EI38" i="2" a="1"/>
  <c r="EI38" i="2" s="1"/>
  <c r="EY202" i="2"/>
  <c r="DN70" i="2" a="1"/>
  <c r="DN70" i="2" s="1"/>
  <c r="DN63" i="2" a="1"/>
  <c r="DN63" i="2" s="1"/>
  <c r="DN113" i="2" a="1"/>
  <c r="DN113" i="2" s="1"/>
  <c r="DN103" i="2" a="1"/>
  <c r="DN103" i="2" s="1"/>
  <c r="CS185" i="2" a="1"/>
  <c r="CS185" i="2" s="1"/>
  <c r="CS114" i="2" a="1"/>
  <c r="CS114" i="2" s="1"/>
  <c r="CS56" i="2" a="1"/>
  <c r="CS56" i="2" s="1"/>
  <c r="CS38" i="2" a="1"/>
  <c r="CS38" i="2" s="1"/>
  <c r="CS105" i="2" a="1"/>
  <c r="CS105" i="2" s="1"/>
  <c r="CS161" i="2" a="1"/>
  <c r="CS161" i="2" s="1"/>
  <c r="CS77" i="2" a="1"/>
  <c r="CS77" i="2" s="1"/>
  <c r="BC32" i="2" a="1"/>
  <c r="BC32" i="2" s="1"/>
  <c r="BC164" i="2" a="1"/>
  <c r="BC164" i="2" s="1"/>
  <c r="BC58" i="2" a="1"/>
  <c r="BC58" i="2" s="1"/>
  <c r="BC68" i="2" a="1"/>
  <c r="BC68" i="2" s="1"/>
  <c r="BC192" i="2" a="1"/>
  <c r="BC192" i="2" s="1"/>
  <c r="BC34" i="2" a="1"/>
  <c r="BC34" i="2" s="1"/>
  <c r="DN55" i="2" a="1"/>
  <c r="DN55" i="2" s="1"/>
  <c r="DN25" i="2" a="1"/>
  <c r="DN25" i="2" s="1"/>
  <c r="DN123" i="2" a="1"/>
  <c r="DN123" i="2" s="1"/>
  <c r="BX107" i="2" a="1"/>
  <c r="BX107" i="2" s="1"/>
  <c r="DN16" i="2" a="1"/>
  <c r="DN16" i="2" s="1"/>
  <c r="DN150" i="2" a="1"/>
  <c r="DN150" i="2" s="1"/>
  <c r="DN43" i="2" a="1"/>
  <c r="DN43" i="2" s="1"/>
  <c r="FY196" i="2" a="1"/>
  <c r="FY196" i="2" s="1"/>
  <c r="GT122" i="2" a="1"/>
  <c r="GT122" i="2" s="1"/>
  <c r="FS203" i="2"/>
  <c r="DN30" i="2" a="1"/>
  <c r="DN30" i="2" s="1"/>
  <c r="DN135" i="2" a="1"/>
  <c r="DN135" i="2" s="1"/>
  <c r="EI34" i="2" a="1"/>
  <c r="EI34" i="2" s="1"/>
  <c r="GT74" i="2" a="1"/>
  <c r="GT74" i="2" s="1"/>
  <c r="DN86" i="2" a="1"/>
  <c r="DN86" i="2" s="1"/>
  <c r="GT51" i="2" a="1"/>
  <c r="GT51" i="2" s="1"/>
  <c r="FY104" i="2" a="1"/>
  <c r="FY104" i="2" s="1"/>
  <c r="GT107" i="2" a="1"/>
  <c r="GT107" i="2" s="1"/>
  <c r="DN29" i="2" a="1"/>
  <c r="DN29" i="2" s="1"/>
  <c r="GT190" i="2" a="1"/>
  <c r="GT190" i="2" s="1"/>
  <c r="DN41" i="2" a="1"/>
  <c r="DN41" i="2" s="1"/>
  <c r="GT133" i="2" a="1"/>
  <c r="GT133" i="2" s="1"/>
  <c r="GT38" i="2" a="1"/>
  <c r="GT38" i="2" s="1"/>
  <c r="DN186" i="2" a="1"/>
  <c r="DN186" i="2" s="1"/>
  <c r="DN164" i="2" a="1"/>
  <c r="DN164" i="2" s="1"/>
  <c r="DN137" i="2" a="1"/>
  <c r="DN137" i="2" s="1"/>
  <c r="GT178" i="2" a="1"/>
  <c r="GT178" i="2" s="1"/>
  <c r="GT68" i="2" a="1"/>
  <c r="GT68" i="2" s="1"/>
  <c r="AH163" i="2" a="1"/>
  <c r="AH163" i="2" s="1"/>
  <c r="DN115" i="2" a="1"/>
  <c r="DN115" i="2" s="1"/>
  <c r="DN124" i="2" a="1"/>
  <c r="DN124" i="2" s="1"/>
  <c r="GT181" i="2" a="1"/>
  <c r="GT181" i="2" s="1"/>
  <c r="AH92" i="2" a="1"/>
  <c r="AH92" i="2" s="1"/>
  <c r="DN187" i="2" a="1"/>
  <c r="DN187" i="2" s="1"/>
  <c r="DN184" i="2" a="1"/>
  <c r="DN184" i="2" s="1"/>
  <c r="DN31" i="2" a="1"/>
  <c r="DN31" i="2" s="1"/>
  <c r="DN152" i="2" a="1"/>
  <c r="DN152" i="2" s="1"/>
  <c r="GT174" i="2" a="1"/>
  <c r="GT174" i="2" s="1"/>
  <c r="DN192" i="2" a="1"/>
  <c r="DN192" i="2" s="1"/>
  <c r="GT126" i="2" a="1"/>
  <c r="GT126" i="2" s="1"/>
  <c r="DN38" i="2" a="1"/>
  <c r="DN38" i="2" s="1"/>
  <c r="DN177" i="2" a="1"/>
  <c r="DN177" i="2" s="1"/>
  <c r="AH62" i="2" a="1"/>
  <c r="AH62" i="2" s="1"/>
  <c r="DN153" i="2" a="1"/>
  <c r="DN153" i="2" s="1"/>
  <c r="GT184" i="2" a="1"/>
  <c r="GT184" i="2" s="1"/>
  <c r="FY78" i="2" a="1"/>
  <c r="FY78" i="2" s="1"/>
  <c r="DN110" i="2" a="1"/>
  <c r="DN110" i="2" s="1"/>
  <c r="GT147" i="2" a="1"/>
  <c r="GT147" i="2" s="1"/>
  <c r="GT152" i="2" a="1"/>
  <c r="GT152" i="2" s="1"/>
  <c r="FY30" i="2" a="1"/>
  <c r="FY30" i="2" s="1"/>
  <c r="GT121" i="2" a="1"/>
  <c r="GT121" i="2" s="1"/>
  <c r="EI165" i="2" a="1"/>
  <c r="EI165" i="2" s="1"/>
  <c r="EI71" i="2" a="1"/>
  <c r="EI71" i="2" s="1"/>
  <c r="EI57" i="2" a="1"/>
  <c r="EI57" i="2" s="1"/>
  <c r="DN80" i="2" a="1"/>
  <c r="DN80" i="2" s="1"/>
  <c r="EI36" i="2" a="1"/>
  <c r="EI36" i="2" s="1"/>
  <c r="GT21" i="2" a="1"/>
  <c r="GT21" i="2" s="1"/>
  <c r="AH199" i="2" a="1"/>
  <c r="AH199" i="2" s="1"/>
  <c r="DN170" i="2" a="1"/>
  <c r="DN170" i="2" s="1"/>
  <c r="DN155" i="2" a="1"/>
  <c r="DN155" i="2" s="1"/>
  <c r="GT115" i="2" a="1"/>
  <c r="GT115" i="2" s="1"/>
  <c r="FY186" i="2" a="1"/>
  <c r="FY186" i="2" s="1"/>
  <c r="DN167" i="2" a="1"/>
  <c r="DN167" i="2" s="1"/>
  <c r="DN45" i="2" a="1"/>
  <c r="DN45" i="2" s="1"/>
  <c r="GT33" i="2" a="1"/>
  <c r="GT33" i="2" s="1"/>
  <c r="DN162" i="2" a="1"/>
  <c r="DN162" i="2" s="1"/>
  <c r="DN49" i="2" a="1"/>
  <c r="DN49" i="2" s="1"/>
  <c r="DN66" i="2" a="1"/>
  <c r="DN66" i="2" s="1"/>
  <c r="DN132" i="2" a="1"/>
  <c r="DN132" i="2" s="1"/>
  <c r="DN188" i="2" a="1"/>
  <c r="DN188" i="2" s="1"/>
  <c r="FY190" i="2" a="1"/>
  <c r="FY190" i="2" s="1"/>
  <c r="GT189" i="2" a="1"/>
  <c r="GT189" i="2" s="1"/>
  <c r="DN190" i="2" a="1"/>
  <c r="DN190" i="2" s="1"/>
  <c r="DN133" i="2" a="1"/>
  <c r="DN133" i="2" s="1"/>
  <c r="EI87" i="2" a="1"/>
  <c r="EI87" i="2" s="1"/>
  <c r="GT12" i="2" a="1"/>
  <c r="GT12" i="2" s="1"/>
  <c r="DN129" i="2" a="1"/>
  <c r="DN129" i="2" s="1"/>
  <c r="EI142" i="2" a="1"/>
  <c r="EI142" i="2" s="1"/>
  <c r="DN56" i="2" a="1"/>
  <c r="DN56" i="2" s="1"/>
  <c r="FY69" i="2" a="1"/>
  <c r="FY69" i="2" s="1"/>
  <c r="GT191" i="2" a="1"/>
  <c r="GT191" i="2" s="1"/>
  <c r="EI20" i="2" a="1"/>
  <c r="EI20" i="2" s="1"/>
  <c r="DN46" i="2" a="1"/>
  <c r="DN46" i="2" s="1"/>
  <c r="DN176" i="2" a="1"/>
  <c r="DN176" i="2" s="1"/>
  <c r="GT198" i="2" a="1"/>
  <c r="GT198" i="2" s="1"/>
  <c r="DN65" i="2" a="1"/>
  <c r="DN65" i="2" s="1"/>
  <c r="DN168" i="2" a="1"/>
  <c r="DN168" i="2" s="1"/>
  <c r="EI109" i="2" a="1"/>
  <c r="EI109" i="2" s="1"/>
  <c r="FD160" i="2" a="1"/>
  <c r="FD160" i="2" s="1"/>
  <c r="DN114" i="2" a="1"/>
  <c r="DN114" i="2" s="1"/>
  <c r="DN50" i="2" a="1"/>
  <c r="DN50" i="2" s="1"/>
  <c r="EI106" i="2" a="1"/>
  <c r="EI106" i="2" s="1"/>
  <c r="BC117" i="2" a="1"/>
  <c r="BC117" i="2" s="1"/>
  <c r="FY35" i="2" a="1"/>
  <c r="FY3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DI203" i="2"/>
  <c r="EY203" i="2"/>
  <c r="ED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EJ34" i="2"/>
  <c r="EK33" i="2"/>
  <c r="EL33" i="2" s="1"/>
  <c r="EM33" i="2" s="1"/>
  <c r="EN33" i="2" s="1"/>
  <c r="EP3" i="2" s="1"/>
  <c r="DO34" i="2"/>
  <c r="DP33" i="2"/>
  <c r="DQ33" i="2" s="1"/>
  <c r="DR33" i="2" s="1"/>
  <c r="DS33" i="2" s="1"/>
  <c r="DU3" i="2" s="1"/>
  <c r="CT34" i="2"/>
  <c r="CU33" i="2"/>
  <c r="CV33" i="2" s="1"/>
  <c r="CW33" i="2" s="1"/>
  <c r="CX33" i="2" s="1"/>
  <c r="CZ3" i="2" s="1"/>
  <c r="BY34" i="2"/>
  <c r="BZ33" i="2"/>
  <c r="CA33" i="2" s="1"/>
  <c r="CB33" i="2" s="1"/>
  <c r="CC33" i="2" s="1"/>
  <c r="CE3" i="2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J144" i="2" l="1"/>
  <c r="FJ10" i="2"/>
  <c r="FJ156" i="2"/>
  <c r="FJ19" i="2"/>
  <c r="FJ37" i="2"/>
  <c r="FJ76" i="2"/>
  <c r="FJ172" i="2"/>
  <c r="FJ68" i="2"/>
  <c r="FJ118" i="2"/>
  <c r="FJ137" i="2"/>
  <c r="FJ126" i="2"/>
  <c r="FJ117" i="2"/>
  <c r="FJ135" i="2"/>
  <c r="FJ99" i="2"/>
  <c r="FJ56" i="2"/>
  <c r="FJ57" i="2"/>
  <c r="FJ153" i="2"/>
  <c r="FJ103" i="2"/>
  <c r="FJ108" i="2"/>
  <c r="FJ11" i="2"/>
  <c r="FJ73" i="2"/>
  <c r="FJ143" i="2"/>
  <c r="FJ134" i="2"/>
  <c r="FJ89" i="2"/>
  <c r="FJ38" i="2"/>
  <c r="FJ193" i="2"/>
  <c r="FJ59" i="2"/>
  <c r="FJ122" i="2"/>
  <c r="FJ30" i="2"/>
  <c r="FJ33" i="2"/>
  <c r="FJ9" i="2"/>
  <c r="FJ112" i="2"/>
  <c r="FJ42" i="2"/>
  <c r="FJ158" i="2"/>
  <c r="FJ8" i="2"/>
  <c r="FJ16" i="2"/>
  <c r="FJ125" i="2"/>
  <c r="FJ83" i="2"/>
  <c r="FJ54" i="2"/>
  <c r="FJ184" i="2"/>
  <c r="FJ48" i="2"/>
  <c r="FJ65" i="2"/>
  <c r="FJ58" i="2"/>
  <c r="FJ93" i="2"/>
  <c r="FJ176" i="2"/>
  <c r="FJ84" i="2"/>
  <c r="FJ195" i="2"/>
  <c r="FJ121" i="2"/>
  <c r="FJ127" i="2"/>
  <c r="FJ105" i="2"/>
  <c r="FJ141" i="2"/>
  <c r="FJ34" i="2"/>
  <c r="FJ7" i="2"/>
  <c r="FJ189" i="2"/>
  <c r="FJ168" i="2"/>
  <c r="FJ46" i="2"/>
  <c r="FJ66" i="2"/>
  <c r="FJ45" i="2"/>
  <c r="FJ96" i="2"/>
  <c r="FJ86" i="2"/>
  <c r="FJ50" i="2"/>
  <c r="FJ26" i="2"/>
  <c r="FJ179" i="2"/>
  <c r="FJ71" i="2"/>
  <c r="FJ192" i="2"/>
  <c r="FJ52" i="2"/>
  <c r="FJ148" i="2"/>
  <c r="FJ203" i="2"/>
  <c r="FJ101" i="2"/>
  <c r="FJ123" i="2"/>
  <c r="FJ100" i="2"/>
  <c r="FJ182" i="2"/>
  <c r="FJ49" i="2"/>
  <c r="FJ27" i="2"/>
  <c r="FJ145" i="2"/>
  <c r="FJ140" i="2"/>
  <c r="FJ124" i="2"/>
  <c r="FJ199" i="2"/>
  <c r="FJ80" i="2"/>
  <c r="FJ114" i="2"/>
  <c r="FJ4" i="2"/>
  <c r="FJ106" i="2"/>
  <c r="FJ47" i="2"/>
  <c r="FJ166" i="2"/>
  <c r="FJ87" i="2"/>
  <c r="FJ167" i="2"/>
  <c r="FJ35" i="2"/>
  <c r="FJ15" i="2"/>
  <c r="FJ132" i="2"/>
  <c r="FJ92" i="2"/>
  <c r="FJ78" i="2"/>
  <c r="FJ25" i="2"/>
  <c r="FJ110" i="2"/>
  <c r="FJ183" i="2"/>
  <c r="FJ91" i="2"/>
  <c r="FJ111" i="2"/>
  <c r="FJ94" i="2"/>
  <c r="FJ142" i="2"/>
  <c r="FJ104" i="2"/>
  <c r="FJ14" i="2"/>
  <c r="FJ62" i="2"/>
  <c r="FJ75" i="2"/>
  <c r="FJ28" i="2"/>
  <c r="FJ165" i="2"/>
  <c r="FJ82" i="2"/>
  <c r="FJ32" i="2"/>
  <c r="FJ155" i="2"/>
  <c r="FJ12" i="2"/>
  <c r="FJ40" i="2"/>
  <c r="FJ175" i="2"/>
  <c r="FJ41" i="2"/>
  <c r="FJ113" i="2"/>
  <c r="FJ152" i="2"/>
  <c r="FJ177" i="2"/>
  <c r="FJ202" i="2"/>
  <c r="FJ77" i="2"/>
  <c r="FJ6" i="2"/>
  <c r="FJ187" i="2"/>
  <c r="FJ173" i="2"/>
  <c r="FJ191" i="2"/>
  <c r="FJ18" i="2"/>
  <c r="FJ186" i="2"/>
  <c r="FJ60" i="2"/>
  <c r="FJ201" i="2"/>
  <c r="FJ146" i="2"/>
  <c r="FJ170" i="2"/>
  <c r="FJ159" i="2"/>
  <c r="FJ109" i="2"/>
  <c r="FJ154" i="2"/>
  <c r="FJ67" i="2"/>
  <c r="FJ190" i="2"/>
  <c r="FJ39" i="2"/>
  <c r="FJ85" i="2"/>
  <c r="FJ151" i="2"/>
  <c r="FJ53" i="2"/>
  <c r="FJ13" i="2"/>
  <c r="FJ55" i="2"/>
  <c r="FJ171" i="2"/>
  <c r="FJ22" i="2"/>
  <c r="FJ149" i="2"/>
  <c r="FJ162" i="2"/>
  <c r="FJ139" i="2"/>
  <c r="FJ120" i="2"/>
  <c r="FJ200" i="2"/>
  <c r="FJ98" i="2"/>
  <c r="FJ44" i="2"/>
  <c r="FJ79" i="2"/>
  <c r="FJ17" i="2"/>
  <c r="FJ5" i="2"/>
  <c r="FJ29" i="2"/>
  <c r="FJ131" i="2"/>
  <c r="FJ107" i="2"/>
  <c r="FJ185" i="2"/>
  <c r="FJ178" i="2"/>
  <c r="FJ138" i="2"/>
  <c r="FJ181" i="2"/>
  <c r="FJ61" i="2"/>
  <c r="FJ64" i="2"/>
  <c r="FJ20" i="2"/>
  <c r="FJ69" i="2"/>
  <c r="FJ43" i="2"/>
  <c r="FJ97" i="2"/>
  <c r="FJ88" i="2"/>
  <c r="FJ74" i="2"/>
  <c r="FJ196" i="2"/>
  <c r="FJ24" i="2"/>
  <c r="FJ164" i="2"/>
  <c r="FJ116" i="2"/>
  <c r="FJ157" i="2"/>
  <c r="FJ95" i="2"/>
  <c r="FJ129" i="2"/>
  <c r="FJ31" i="2"/>
  <c r="FJ3" i="2"/>
  <c r="FJ90" i="2"/>
  <c r="FJ21" i="2"/>
  <c r="FJ70" i="2"/>
  <c r="FJ63" i="2"/>
  <c r="FJ160" i="2"/>
  <c r="FJ102" i="2"/>
  <c r="FJ180" i="2"/>
  <c r="FJ194" i="2"/>
  <c r="FJ150" i="2"/>
  <c r="FJ115" i="2"/>
  <c r="FJ128" i="2"/>
  <c r="FJ147" i="2"/>
  <c r="FJ163" i="2"/>
  <c r="FJ198" i="2"/>
  <c r="FJ36" i="2"/>
  <c r="FJ133" i="2"/>
  <c r="FJ188" i="2"/>
  <c r="FJ161" i="2"/>
  <c r="FJ51" i="2"/>
  <c r="FJ81" i="2"/>
  <c r="FJ119" i="2"/>
  <c r="FJ136" i="2"/>
  <c r="FJ23" i="2"/>
  <c r="FJ130" i="2"/>
  <c r="FJ174" i="2"/>
  <c r="FJ72" i="2"/>
  <c r="FJ197" i="2"/>
  <c r="FJ169" i="2"/>
  <c r="FE114" i="2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BF34" i="2"/>
  <c r="BG34" i="2" s="1"/>
  <c r="BH34" i="2" s="1"/>
  <c r="BE35" i="2"/>
  <c r="BS33" i="2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Y192" i="2" l="1"/>
  <c r="CY9" i="2"/>
  <c r="CY112" i="2"/>
  <c r="CY24" i="2"/>
  <c r="CY161" i="2"/>
  <c r="CY107" i="2"/>
  <c r="CY116" i="2"/>
  <c r="CY190" i="2"/>
  <c r="CY15" i="2"/>
  <c r="CY47" i="2"/>
  <c r="CY166" i="2"/>
  <c r="CY126" i="2"/>
  <c r="CY134" i="2"/>
  <c r="CY91" i="2"/>
  <c r="CY160" i="2"/>
  <c r="CY57" i="2"/>
  <c r="CY203" i="2"/>
  <c r="CY51" i="2"/>
  <c r="CY33" i="2"/>
  <c r="CY122" i="2"/>
  <c r="CY8" i="2"/>
  <c r="CY181" i="2"/>
  <c r="CY96" i="2"/>
  <c r="CY154" i="2"/>
  <c r="CY50" i="2"/>
  <c r="CY148" i="2"/>
  <c r="CY173" i="2"/>
  <c r="CY54" i="2"/>
  <c r="CY179" i="2"/>
  <c r="CY67" i="2"/>
  <c r="CY136" i="2"/>
  <c r="CY163" i="2"/>
  <c r="CY79" i="2"/>
  <c r="CY52" i="2"/>
  <c r="CY197" i="2"/>
  <c r="CY59" i="2"/>
  <c r="CY85" i="2"/>
  <c r="CY46" i="2"/>
  <c r="CY110" i="2"/>
  <c r="CY56" i="2"/>
  <c r="CY121" i="2"/>
  <c r="CY156" i="2"/>
  <c r="CY89" i="2"/>
  <c r="CY168" i="2"/>
  <c r="CY97" i="2"/>
  <c r="CY102" i="2"/>
  <c r="CY72" i="2"/>
  <c r="CY45" i="2"/>
  <c r="CY92" i="2"/>
  <c r="CY105" i="2"/>
  <c r="CY68" i="2"/>
  <c r="CY64" i="2"/>
  <c r="CY82" i="2"/>
  <c r="CY195" i="2"/>
  <c r="CY143" i="2"/>
  <c r="CY151" i="2"/>
  <c r="CY27" i="2"/>
  <c r="CY133" i="2"/>
  <c r="CY18" i="2"/>
  <c r="CY131" i="2"/>
  <c r="CY78" i="2"/>
  <c r="CY104" i="2"/>
  <c r="CY188" i="2"/>
  <c r="CY158" i="2"/>
  <c r="CY149" i="2"/>
  <c r="CY125" i="2"/>
  <c r="CY194" i="2"/>
  <c r="CY81" i="2"/>
  <c r="CY87" i="2"/>
  <c r="CY152" i="2"/>
  <c r="CY186" i="2"/>
  <c r="CY176" i="2"/>
  <c r="CY111" i="2"/>
  <c r="CY124" i="2"/>
  <c r="CY26" i="2"/>
  <c r="CY137" i="2"/>
  <c r="CY189" i="2"/>
  <c r="CY22" i="2"/>
  <c r="CY55" i="2"/>
  <c r="CY29" i="2"/>
  <c r="CY115" i="2"/>
  <c r="CY65" i="2"/>
  <c r="CY167" i="2"/>
  <c r="CY184" i="2"/>
  <c r="CY17" i="2"/>
  <c r="CY58" i="2"/>
  <c r="CY199" i="2"/>
  <c r="CY94" i="2"/>
  <c r="CY118" i="2"/>
  <c r="CY36" i="2"/>
  <c r="CY62" i="2"/>
  <c r="CY31" i="2"/>
  <c r="CY150" i="2"/>
  <c r="CY32" i="2"/>
  <c r="CY19" i="2"/>
  <c r="CY187" i="2"/>
  <c r="CY98" i="2"/>
  <c r="CY20" i="2"/>
  <c r="CY132" i="2"/>
  <c r="CY106" i="2"/>
  <c r="CY123" i="2"/>
  <c r="CY4" i="2"/>
  <c r="CY109" i="2"/>
  <c r="CY113" i="2"/>
  <c r="CY90" i="2"/>
  <c r="CY183" i="2"/>
  <c r="CY138" i="2"/>
  <c r="CY30" i="2"/>
  <c r="CY43" i="2"/>
  <c r="CY182" i="2"/>
  <c r="CY146" i="2"/>
  <c r="CY103" i="2"/>
  <c r="CY42" i="2"/>
  <c r="CY11" i="2"/>
  <c r="CY100" i="2"/>
  <c r="CY86" i="2"/>
  <c r="CY69" i="2"/>
  <c r="CY141" i="2"/>
  <c r="CY16" i="2"/>
  <c r="CY172" i="2"/>
  <c r="CY101" i="2"/>
  <c r="CY180" i="2"/>
  <c r="CY7" i="2"/>
  <c r="CY147" i="2"/>
  <c r="CY34" i="2"/>
  <c r="CY142" i="2"/>
  <c r="CY144" i="2"/>
  <c r="CY155" i="2"/>
  <c r="CY76" i="2"/>
  <c r="CY83" i="2"/>
  <c r="CY23" i="2"/>
  <c r="CY120" i="2"/>
  <c r="CY25" i="2"/>
  <c r="CY159" i="2"/>
  <c r="CY200" i="2"/>
  <c r="CY39" i="2"/>
  <c r="CY60" i="2"/>
  <c r="CY10" i="2"/>
  <c r="CY153" i="2"/>
  <c r="CY117" i="2"/>
  <c r="CY139" i="2"/>
  <c r="CY63" i="2"/>
  <c r="CY119" i="2"/>
  <c r="CY175" i="2"/>
  <c r="CY170" i="2"/>
  <c r="CY75" i="2"/>
  <c r="CY61" i="2"/>
  <c r="CY71" i="2"/>
  <c r="CY169" i="2"/>
  <c r="CY13" i="2"/>
  <c r="CY165" i="2"/>
  <c r="CY80" i="2"/>
  <c r="CY178" i="2"/>
  <c r="CY5" i="2"/>
  <c r="CY127" i="2"/>
  <c r="CY14" i="2"/>
  <c r="CY191" i="2"/>
  <c r="CY48" i="2"/>
  <c r="CY145" i="2"/>
  <c r="CY196" i="2"/>
  <c r="CY28" i="2"/>
  <c r="CY193" i="2"/>
  <c r="CY70" i="2"/>
  <c r="CY99" i="2"/>
  <c r="CY129" i="2"/>
  <c r="CY88" i="2"/>
  <c r="CY171" i="2"/>
  <c r="CY140" i="2"/>
  <c r="CY49" i="2"/>
  <c r="CY198" i="2"/>
  <c r="CY93" i="2"/>
  <c r="CY202" i="2"/>
  <c r="CY135" i="2"/>
  <c r="CY37" i="2"/>
  <c r="CY177" i="2"/>
  <c r="CY77" i="2"/>
  <c r="CY84" i="2"/>
  <c r="CY174" i="2"/>
  <c r="CY164" i="2"/>
  <c r="CY114" i="2"/>
  <c r="CY162" i="2"/>
  <c r="CY157" i="2"/>
  <c r="CY108" i="2"/>
  <c r="CY185" i="2"/>
  <c r="CY66" i="2"/>
  <c r="CY35" i="2"/>
  <c r="CY53" i="2"/>
  <c r="CY3" i="2"/>
  <c r="CY130" i="2"/>
  <c r="CY74" i="2"/>
  <c r="CY40" i="2"/>
  <c r="CY38" i="2"/>
  <c r="CY73" i="2"/>
  <c r="CY128" i="2"/>
  <c r="CY201" i="2"/>
  <c r="CY21" i="2"/>
  <c r="CY95" i="2"/>
  <c r="CY6" i="2"/>
  <c r="CY12" i="2"/>
  <c r="CY44" i="2"/>
  <c r="CY41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11" i="2" l="1"/>
  <c r="CD60" i="2"/>
  <c r="CD97" i="2"/>
  <c r="CD117" i="2"/>
  <c r="CD163" i="2"/>
  <c r="CD3" i="2"/>
  <c r="CD78" i="2"/>
  <c r="CD55" i="2"/>
  <c r="CD192" i="2"/>
  <c r="CD119" i="2"/>
  <c r="CD156" i="2"/>
  <c r="CD129" i="2"/>
  <c r="CD154" i="2"/>
  <c r="CD54" i="2"/>
  <c r="CD37" i="2"/>
  <c r="CD121" i="2"/>
  <c r="CD124" i="2"/>
  <c r="CD162" i="2"/>
  <c r="CD79" i="2"/>
  <c r="CD152" i="2"/>
  <c r="CD26" i="2"/>
  <c r="CD85" i="2"/>
  <c r="CD134" i="2"/>
  <c r="CD137" i="2"/>
  <c r="CD190" i="2"/>
  <c r="CD194" i="2"/>
  <c r="CD14" i="2"/>
  <c r="CD123" i="2"/>
  <c r="CD99" i="2"/>
  <c r="CD197" i="2"/>
  <c r="CD164" i="2"/>
  <c r="CD45" i="2"/>
  <c r="CD148" i="2"/>
  <c r="CD19" i="2"/>
  <c r="CD132" i="2"/>
  <c r="CD86" i="2"/>
  <c r="CD87" i="2"/>
  <c r="CD184" i="2"/>
  <c r="CD10" i="2"/>
  <c r="CD94" i="2"/>
  <c r="CD5" i="2"/>
  <c r="CD105" i="2"/>
  <c r="CD149" i="2"/>
  <c r="CD36" i="2"/>
  <c r="CD76" i="2"/>
  <c r="CD172" i="2"/>
  <c r="CD167" i="2"/>
  <c r="CD160" i="2"/>
  <c r="CD9" i="2"/>
  <c r="CD57" i="2"/>
  <c r="CD127" i="2"/>
  <c r="CD74" i="2"/>
  <c r="CD139" i="2"/>
  <c r="CD165" i="2"/>
  <c r="CD92" i="2"/>
  <c r="CD203" i="2"/>
  <c r="CD104" i="2"/>
  <c r="CD189" i="2"/>
  <c r="CD88" i="2"/>
  <c r="CD27" i="2"/>
  <c r="CD126" i="2"/>
  <c r="CD95" i="2"/>
  <c r="CD13" i="2"/>
  <c r="CD43" i="2"/>
  <c r="CD24" i="2"/>
  <c r="CD39" i="2"/>
  <c r="CD112" i="2"/>
  <c r="CD8" i="2"/>
  <c r="CD176" i="2"/>
  <c r="CD53" i="2"/>
  <c r="CD182" i="2"/>
  <c r="CD90" i="2"/>
  <c r="CD93" i="2"/>
  <c r="CD16" i="2"/>
  <c r="CD166" i="2"/>
  <c r="CD111" i="2"/>
  <c r="CD58" i="2"/>
  <c r="CD12" i="2"/>
  <c r="CD33" i="2"/>
  <c r="CD48" i="2"/>
  <c r="CD142" i="2"/>
  <c r="CD38" i="2"/>
  <c r="CD115" i="2"/>
  <c r="CD106" i="2"/>
  <c r="CD73" i="2"/>
  <c r="CD169" i="2"/>
  <c r="CD83" i="2"/>
  <c r="CD175" i="2"/>
  <c r="CD151" i="2"/>
  <c r="CD158" i="2"/>
  <c r="CD198" i="2"/>
  <c r="CD136" i="2"/>
  <c r="CD52" i="2"/>
  <c r="CD41" i="2"/>
  <c r="CD131" i="2"/>
  <c r="CD21" i="2"/>
  <c r="CD44" i="2"/>
  <c r="CD61" i="2"/>
  <c r="CD153" i="2"/>
  <c r="CD133" i="2"/>
  <c r="CD181" i="2"/>
  <c r="CD22" i="2"/>
  <c r="CD177" i="2"/>
  <c r="CD191" i="2"/>
  <c r="CD49" i="2"/>
  <c r="CD84" i="2"/>
  <c r="CD195" i="2"/>
  <c r="CD40" i="2"/>
  <c r="CD174" i="2"/>
  <c r="CD113" i="2"/>
  <c r="CD15" i="2"/>
  <c r="CD7" i="2"/>
  <c r="CD96" i="2"/>
  <c r="CD30" i="2"/>
  <c r="CD98" i="2"/>
  <c r="CD82" i="2"/>
  <c r="CD59" i="2"/>
  <c r="CD120" i="2"/>
  <c r="CD64" i="2"/>
  <c r="CD150" i="2"/>
  <c r="CD17" i="2"/>
  <c r="CD72" i="2"/>
  <c r="CD77" i="2"/>
  <c r="CD122" i="2"/>
  <c r="CD101" i="2"/>
  <c r="CD28" i="2"/>
  <c r="CD173" i="2"/>
  <c r="CD107" i="2"/>
  <c r="CD193" i="2"/>
  <c r="CD168" i="2"/>
  <c r="CD157" i="2"/>
  <c r="CD62" i="2"/>
  <c r="CD110" i="2"/>
  <c r="CD143" i="2"/>
  <c r="CD20" i="2"/>
  <c r="CD103" i="2"/>
  <c r="CD170" i="2"/>
  <c r="CD56" i="2"/>
  <c r="CD196" i="2"/>
  <c r="CD81" i="2"/>
  <c r="CD130" i="2"/>
  <c r="CD102" i="2"/>
  <c r="CD25" i="2"/>
  <c r="CD69" i="2"/>
  <c r="CD202" i="2"/>
  <c r="CD171" i="2"/>
  <c r="CD32" i="2"/>
  <c r="CD18" i="2"/>
  <c r="CD140" i="2"/>
  <c r="CD199" i="2"/>
  <c r="CD114" i="2"/>
  <c r="CD63" i="2"/>
  <c r="CD31" i="2"/>
  <c r="CD70" i="2"/>
  <c r="CD201" i="2"/>
  <c r="CD180" i="2"/>
  <c r="CD155" i="2"/>
  <c r="CD80" i="2"/>
  <c r="CD42" i="2"/>
  <c r="CD68" i="2"/>
  <c r="CD146" i="2"/>
  <c r="CD47" i="2"/>
  <c r="CD144" i="2"/>
  <c r="CD109" i="2"/>
  <c r="CD51" i="2"/>
  <c r="CD145" i="2"/>
  <c r="CD187" i="2"/>
  <c r="CD46" i="2"/>
  <c r="CD50" i="2"/>
  <c r="CD141" i="2"/>
  <c r="CD108" i="2"/>
  <c r="CD186" i="2"/>
  <c r="CD65" i="2"/>
  <c r="CD34" i="2"/>
  <c r="CD185" i="2"/>
  <c r="CD138" i="2"/>
  <c r="CD178" i="2"/>
  <c r="CD179" i="2"/>
  <c r="CD161" i="2"/>
  <c r="CD35" i="2"/>
  <c r="CD89" i="2"/>
  <c r="CD118" i="2"/>
  <c r="CD71" i="2"/>
  <c r="CD91" i="2"/>
  <c r="CD135" i="2"/>
  <c r="CD116" i="2"/>
  <c r="CD125" i="2"/>
  <c r="CD67" i="2"/>
  <c r="CD75" i="2"/>
  <c r="CD147" i="2"/>
  <c r="CD29" i="2"/>
  <c r="CD200" i="2"/>
  <c r="CD159" i="2"/>
  <c r="CD188" i="2"/>
  <c r="CD100" i="2"/>
  <c r="CD128" i="2"/>
  <c r="CD183" i="2"/>
  <c r="CD66" i="2"/>
  <c r="CD4" i="2"/>
  <c r="CD6" i="2"/>
  <c r="CD23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203" i="2" l="1"/>
  <c r="AN97" i="2"/>
  <c r="AN37" i="2"/>
  <c r="AN176" i="2"/>
  <c r="AN17" i="2"/>
  <c r="AN109" i="2"/>
  <c r="AN74" i="2"/>
  <c r="AN196" i="2"/>
  <c r="AN76" i="2"/>
  <c r="AN113" i="2"/>
  <c r="AN57" i="2"/>
  <c r="AN120" i="2"/>
  <c r="AN167" i="2"/>
  <c r="AN59" i="2"/>
  <c r="AN94" i="2"/>
  <c r="AN172" i="2"/>
  <c r="AN181" i="2"/>
  <c r="AN81" i="2"/>
  <c r="AN165" i="2"/>
  <c r="AN92" i="2"/>
  <c r="AN82" i="2"/>
  <c r="AN125" i="2"/>
  <c r="AN54" i="2"/>
  <c r="AN146" i="2"/>
  <c r="AN90" i="2"/>
  <c r="AN147" i="2"/>
  <c r="AN77" i="2"/>
  <c r="AN64" i="2"/>
  <c r="AN69" i="2"/>
  <c r="AN171" i="2"/>
  <c r="AN122" i="2"/>
  <c r="AN7" i="2"/>
  <c r="AN148" i="2"/>
  <c r="AN117" i="2"/>
  <c r="AN182" i="2"/>
  <c r="AN110" i="2"/>
  <c r="AN137" i="2"/>
  <c r="AN193" i="2"/>
  <c r="AN51" i="2"/>
  <c r="AN18" i="2"/>
  <c r="AN107" i="2"/>
  <c r="AN195" i="2"/>
  <c r="AN190" i="2"/>
  <c r="AN49" i="2"/>
  <c r="AN55" i="2"/>
  <c r="AN3" i="2"/>
  <c r="AN183" i="2"/>
  <c r="AN185" i="2"/>
  <c r="AN88" i="2"/>
  <c r="AN83" i="2"/>
  <c r="AN73" i="2"/>
  <c r="AN39" i="2"/>
  <c r="AN53" i="2"/>
  <c r="AN100" i="2"/>
  <c r="AN175" i="2"/>
  <c r="AN62" i="2"/>
  <c r="AN105" i="2"/>
  <c r="AN121" i="2"/>
  <c r="AN188" i="2"/>
  <c r="AN124" i="2"/>
  <c r="AN20" i="2"/>
  <c r="AN47" i="2"/>
  <c r="AN96" i="2"/>
  <c r="AN104" i="2"/>
  <c r="AN56" i="2"/>
  <c r="AN136" i="2"/>
  <c r="AN140" i="2"/>
  <c r="AN58" i="2"/>
  <c r="AN145" i="2"/>
  <c r="AN108" i="2"/>
  <c r="AN72" i="2"/>
  <c r="AN19" i="2"/>
  <c r="AN200" i="2"/>
  <c r="AN194" i="2"/>
  <c r="AN12" i="2"/>
  <c r="AN186" i="2"/>
  <c r="AN134" i="2"/>
  <c r="AN33" i="2"/>
  <c r="AN132" i="2"/>
  <c r="AN31" i="2"/>
  <c r="AN91" i="2"/>
  <c r="AN103" i="2"/>
  <c r="AN198" i="2"/>
  <c r="AN173" i="2"/>
  <c r="AN142" i="2"/>
  <c r="AN66" i="2"/>
  <c r="AN35" i="2"/>
  <c r="AN111" i="2"/>
  <c r="AN155" i="2"/>
  <c r="AN179" i="2"/>
  <c r="AN40" i="2"/>
  <c r="AN154" i="2"/>
  <c r="AN80" i="2"/>
  <c r="AN16" i="2"/>
  <c r="AN101" i="2"/>
  <c r="AN21" i="2"/>
  <c r="AN112" i="2"/>
  <c r="AN14" i="2"/>
  <c r="AN158" i="2"/>
  <c r="AN32" i="2"/>
  <c r="AN10" i="2"/>
  <c r="AN187" i="2"/>
  <c r="AN166" i="2"/>
  <c r="AN184" i="2"/>
  <c r="AN163" i="2"/>
  <c r="AN68" i="2"/>
  <c r="AN118" i="2"/>
  <c r="AN23" i="2"/>
  <c r="AN116" i="2"/>
  <c r="AN135" i="2"/>
  <c r="AN27" i="2"/>
  <c r="AN156" i="2"/>
  <c r="AN70" i="2"/>
  <c r="AN180" i="2"/>
  <c r="AN131" i="2"/>
  <c r="AN28" i="2"/>
  <c r="AN202" i="2"/>
  <c r="AN159" i="2"/>
  <c r="AN168" i="2"/>
  <c r="AN115" i="2"/>
  <c r="AN60" i="2"/>
  <c r="AN177" i="2"/>
  <c r="AN119" i="2"/>
  <c r="AN78" i="2"/>
  <c r="AN30" i="2"/>
  <c r="AN149" i="2"/>
  <c r="AN178" i="2"/>
  <c r="AN36" i="2"/>
  <c r="AN102" i="2"/>
  <c r="AN87" i="2"/>
  <c r="AN71" i="2"/>
  <c r="AN128" i="2"/>
  <c r="AN129" i="2"/>
  <c r="AN43" i="2"/>
  <c r="AN67" i="2"/>
  <c r="AN157" i="2"/>
  <c r="AN138" i="2"/>
  <c r="AN199" i="2"/>
  <c r="AN15" i="2"/>
  <c r="AN41" i="2"/>
  <c r="AN130" i="2"/>
  <c r="AN86" i="2"/>
  <c r="AN13" i="2"/>
  <c r="AN170" i="2"/>
  <c r="AN191" i="2"/>
  <c r="AN99" i="2"/>
  <c r="AN85" i="2"/>
  <c r="AN63" i="2"/>
  <c r="AN11" i="2"/>
  <c r="AN161" i="2"/>
  <c r="AN160" i="2"/>
  <c r="AN38" i="2"/>
  <c r="AN52" i="2"/>
  <c r="AN162" i="2"/>
  <c r="AN169" i="2"/>
  <c r="AN197" i="2"/>
  <c r="AN44" i="2"/>
  <c r="AN106" i="2"/>
  <c r="AN4" i="2"/>
  <c r="AN133" i="2"/>
  <c r="AN164" i="2"/>
  <c r="AN50" i="2"/>
  <c r="AN5" i="2"/>
  <c r="AN143" i="2"/>
  <c r="AN75" i="2"/>
  <c r="AN8" i="2"/>
  <c r="AN192" i="2"/>
  <c r="AN89" i="2"/>
  <c r="AN201" i="2"/>
  <c r="AN34" i="2"/>
  <c r="AN127" i="2"/>
  <c r="AN144" i="2"/>
  <c r="AN123" i="2"/>
  <c r="AN84" i="2"/>
  <c r="AN29" i="2"/>
  <c r="AN6" i="2"/>
  <c r="AN150" i="2"/>
  <c r="AN79" i="2"/>
  <c r="AN152" i="2"/>
  <c r="AN153" i="2"/>
  <c r="AN65" i="2"/>
  <c r="AN93" i="2"/>
  <c r="AN9" i="2"/>
  <c r="AN26" i="2"/>
  <c r="AN174" i="2"/>
  <c r="AN139" i="2"/>
  <c r="AN98" i="2"/>
  <c r="AN25" i="2"/>
  <c r="AN126" i="2"/>
  <c r="AN151" i="2"/>
  <c r="AN48" i="2"/>
  <c r="AN189" i="2"/>
  <c r="AN24" i="2"/>
  <c r="AN61" i="2"/>
  <c r="AN42" i="2"/>
  <c r="AN141" i="2"/>
  <c r="AN45" i="2"/>
  <c r="AN46" i="2"/>
  <c r="AN114" i="2"/>
  <c r="AN22" i="2"/>
  <c r="AN9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EO36" i="2" l="1"/>
  <c r="EO137" i="2"/>
  <c r="EO187" i="2"/>
  <c r="EO101" i="2"/>
  <c r="EO132" i="2"/>
  <c r="EO19" i="2"/>
  <c r="EO89" i="2"/>
  <c r="EO203" i="2"/>
  <c r="EO78" i="2"/>
  <c r="EO39" i="2"/>
  <c r="EO99" i="2"/>
  <c r="EO16" i="2"/>
  <c r="EO143" i="2"/>
  <c r="EO110" i="2"/>
  <c r="EO117" i="2"/>
  <c r="EO199" i="2"/>
  <c r="EO155" i="2"/>
  <c r="EO184" i="2"/>
  <c r="EO125" i="2"/>
  <c r="EO15" i="2"/>
  <c r="EO73" i="2"/>
  <c r="EO23" i="2"/>
  <c r="EO18" i="2"/>
  <c r="EO43" i="2"/>
  <c r="EO178" i="2"/>
  <c r="EO113" i="2"/>
  <c r="EO162" i="2"/>
  <c r="EO6" i="2"/>
  <c r="EO44" i="2"/>
  <c r="EO115" i="2"/>
  <c r="EO123" i="2"/>
  <c r="EO76" i="2"/>
  <c r="EO12" i="2"/>
  <c r="EO152" i="2"/>
  <c r="EO176" i="2"/>
  <c r="EO72" i="2"/>
  <c r="EO171" i="2"/>
  <c r="EO168" i="2"/>
  <c r="EO141" i="2"/>
  <c r="EO173" i="2"/>
  <c r="EO38" i="2"/>
  <c r="EO201" i="2"/>
  <c r="EO158" i="2"/>
  <c r="EO83" i="2"/>
  <c r="EO124" i="2"/>
  <c r="EO92" i="2"/>
  <c r="EO129" i="2"/>
  <c r="EO189" i="2"/>
  <c r="EO13" i="2"/>
  <c r="EO116" i="2"/>
  <c r="EO58" i="2"/>
  <c r="EO77" i="2"/>
  <c r="EO85" i="2"/>
  <c r="EO148" i="2"/>
  <c r="EO195" i="2"/>
  <c r="EO161" i="2"/>
  <c r="EO14" i="2"/>
  <c r="EO119" i="2"/>
  <c r="EO121" i="2"/>
  <c r="EO159" i="2"/>
  <c r="EO100" i="2"/>
  <c r="EO188" i="2"/>
  <c r="EO142" i="2"/>
  <c r="EO27" i="2"/>
  <c r="EO71" i="2"/>
  <c r="EO114" i="2"/>
  <c r="EO79" i="2"/>
  <c r="EO29" i="2"/>
  <c r="EO134" i="2"/>
  <c r="EO3" i="2"/>
  <c r="EO42" i="2"/>
  <c r="EO193" i="2"/>
  <c r="EO86" i="2"/>
  <c r="EO93" i="2"/>
  <c r="EO32" i="2"/>
  <c r="EO50" i="2"/>
  <c r="EO177" i="2"/>
  <c r="EO5" i="2"/>
  <c r="EO154" i="2"/>
  <c r="EO7" i="2"/>
  <c r="EO133" i="2"/>
  <c r="EO96" i="2"/>
  <c r="EO144" i="2"/>
  <c r="EO174" i="2"/>
  <c r="EO160" i="2"/>
  <c r="EO31" i="2"/>
  <c r="EO80" i="2"/>
  <c r="EO52" i="2"/>
  <c r="EO56" i="2"/>
  <c r="EO170" i="2"/>
  <c r="EO69" i="2"/>
  <c r="EO4" i="2"/>
  <c r="EO190" i="2"/>
  <c r="EO97" i="2"/>
  <c r="EO74" i="2"/>
  <c r="EO131" i="2"/>
  <c r="EO28" i="2"/>
  <c r="EO11" i="2"/>
  <c r="EO61" i="2"/>
  <c r="EO81" i="2"/>
  <c r="EO181" i="2"/>
  <c r="EO179" i="2"/>
  <c r="EO185" i="2"/>
  <c r="EO46" i="2"/>
  <c r="EO17" i="2"/>
  <c r="EO118" i="2"/>
  <c r="EO57" i="2"/>
  <c r="EO91" i="2"/>
  <c r="EO200" i="2"/>
  <c r="EO84" i="2"/>
  <c r="EO192" i="2"/>
  <c r="EO45" i="2"/>
  <c r="EO172" i="2"/>
  <c r="EO145" i="2"/>
  <c r="EO63" i="2"/>
  <c r="EO22" i="2"/>
  <c r="EO21" i="2"/>
  <c r="EO8" i="2"/>
  <c r="EO138" i="2"/>
  <c r="EO90" i="2"/>
  <c r="EO157" i="2"/>
  <c r="EO82" i="2"/>
  <c r="EO122" i="2"/>
  <c r="EO53" i="2"/>
  <c r="EO95" i="2"/>
  <c r="EO186" i="2"/>
  <c r="EO75" i="2"/>
  <c r="EO182" i="2"/>
  <c r="EO169" i="2"/>
  <c r="EO108" i="2"/>
  <c r="EO54" i="2"/>
  <c r="EO55" i="2"/>
  <c r="EO49" i="2"/>
  <c r="EO112" i="2"/>
  <c r="EO166" i="2"/>
  <c r="EO106" i="2"/>
  <c r="EO140" i="2"/>
  <c r="EO139" i="2"/>
  <c r="EO105" i="2"/>
  <c r="EO9" i="2"/>
  <c r="EO103" i="2"/>
  <c r="EO198" i="2"/>
  <c r="EO51" i="2"/>
  <c r="EO156" i="2"/>
  <c r="EO40" i="2"/>
  <c r="EO120" i="2"/>
  <c r="EO130" i="2"/>
  <c r="EO60" i="2"/>
  <c r="EO26" i="2"/>
  <c r="EO102" i="2"/>
  <c r="EO128" i="2"/>
  <c r="EO33" i="2"/>
  <c r="EO165" i="2"/>
  <c r="EO167" i="2"/>
  <c r="EO62" i="2"/>
  <c r="EO111" i="2"/>
  <c r="EO10" i="2"/>
  <c r="EO59" i="2"/>
  <c r="EO149" i="2"/>
  <c r="EO109" i="2"/>
  <c r="EO20" i="2"/>
  <c r="EO65" i="2"/>
  <c r="EO150" i="2"/>
  <c r="EO197" i="2"/>
  <c r="EO126" i="2"/>
  <c r="EO191" i="2"/>
  <c r="EO70" i="2"/>
  <c r="EO194" i="2"/>
  <c r="EO25" i="2"/>
  <c r="EO147" i="2"/>
  <c r="EO67" i="2"/>
  <c r="EO34" i="2"/>
  <c r="EO48" i="2"/>
  <c r="EO163" i="2"/>
  <c r="EO88" i="2"/>
  <c r="EO135" i="2"/>
  <c r="EO35" i="2"/>
  <c r="EO104" i="2"/>
  <c r="EO146" i="2"/>
  <c r="EO94" i="2"/>
  <c r="EO64" i="2"/>
  <c r="EO183" i="2"/>
  <c r="EO164" i="2"/>
  <c r="EO180" i="2"/>
  <c r="EO127" i="2"/>
  <c r="EO47" i="2"/>
  <c r="EO98" i="2"/>
  <c r="EO151" i="2"/>
  <c r="EO41" i="2"/>
  <c r="EO66" i="2"/>
  <c r="EO153" i="2"/>
  <c r="EO136" i="2"/>
  <c r="EO202" i="2"/>
  <c r="EO68" i="2"/>
  <c r="EO30" i="2"/>
  <c r="EO24" i="2"/>
  <c r="EO175" i="2"/>
  <c r="EO37" i="2"/>
  <c r="EO196" i="2"/>
  <c r="EO87" i="2"/>
  <c r="EO107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8" i="2"/>
  <c r="BI46" i="2"/>
  <c r="BI194" i="2"/>
  <c r="BI48" i="2"/>
  <c r="BI182" i="2"/>
  <c r="BI28" i="2"/>
  <c r="BI41" i="2"/>
  <c r="BI156" i="2"/>
  <c r="BI105" i="2"/>
  <c r="BI173" i="2"/>
  <c r="BI152" i="2"/>
  <c r="BI146" i="2"/>
  <c r="BI50" i="2"/>
  <c r="BI85" i="2"/>
  <c r="BI24" i="2"/>
  <c r="BI192" i="2"/>
  <c r="BI3" i="2"/>
  <c r="BI10" i="2"/>
  <c r="BI34" i="2"/>
  <c r="BI59" i="2"/>
  <c r="BI116" i="2"/>
  <c r="BI96" i="2"/>
  <c r="BI114" i="2"/>
  <c r="BI130" i="2"/>
  <c r="BI43" i="2"/>
  <c r="BI29" i="2"/>
  <c r="BI185" i="2"/>
  <c r="BI42" i="2"/>
  <c r="BI129" i="2"/>
  <c r="BI4" i="2"/>
  <c r="BI13" i="2"/>
  <c r="BI122" i="2"/>
  <c r="BI69" i="2"/>
  <c r="BI25" i="2"/>
  <c r="BI143" i="2"/>
  <c r="BI170" i="2"/>
  <c r="BI109" i="2"/>
  <c r="BI9" i="2"/>
  <c r="BI151" i="2"/>
  <c r="BI175" i="2"/>
  <c r="BI60" i="2"/>
  <c r="BI7" i="2"/>
  <c r="BI136" i="2"/>
  <c r="BI66" i="2"/>
  <c r="BI198" i="2"/>
  <c r="BI168" i="2"/>
  <c r="BI95" i="2"/>
  <c r="BI196" i="2"/>
  <c r="BI38" i="2"/>
  <c r="BI23" i="2"/>
  <c r="BI99" i="2"/>
  <c r="BI148" i="2"/>
  <c r="BI70" i="2"/>
  <c r="BI62" i="2"/>
  <c r="BI51" i="2"/>
  <c r="BI153" i="2"/>
  <c r="BI98" i="2"/>
  <c r="BI57" i="2"/>
  <c r="BI139" i="2"/>
  <c r="BI134" i="2"/>
  <c r="BI172" i="2"/>
  <c r="BI183" i="2"/>
  <c r="BI91" i="2"/>
  <c r="BI178" i="2"/>
  <c r="BI169" i="2"/>
  <c r="BI61" i="2"/>
  <c r="BI92" i="2"/>
  <c r="BI27" i="2"/>
  <c r="BI123" i="2"/>
  <c r="BI72" i="2"/>
  <c r="BI78" i="2"/>
  <c r="BI20" i="2"/>
  <c r="BI5" i="2"/>
  <c r="BI82" i="2"/>
  <c r="BI184" i="2"/>
  <c r="BI12" i="2"/>
  <c r="BI115" i="2"/>
  <c r="BI16" i="2"/>
  <c r="BI64" i="2"/>
  <c r="BI119" i="2"/>
  <c r="BI127" i="2"/>
  <c r="BI90" i="2"/>
  <c r="BI157" i="2"/>
  <c r="BI79" i="2"/>
  <c r="BI197" i="2"/>
  <c r="BI58" i="2"/>
  <c r="BI30" i="2"/>
  <c r="BI201" i="2"/>
  <c r="BI104" i="2"/>
  <c r="BI68" i="2"/>
  <c r="BI177" i="2"/>
  <c r="BI73" i="2"/>
  <c r="BI165" i="2"/>
  <c r="BI171" i="2"/>
  <c r="BI40" i="2"/>
  <c r="BI199" i="2"/>
  <c r="BI101" i="2"/>
  <c r="BI200" i="2"/>
  <c r="BI103" i="2"/>
  <c r="BI167" i="2"/>
  <c r="BI160" i="2"/>
  <c r="BI100" i="2"/>
  <c r="BI77" i="2"/>
  <c r="BI142" i="2"/>
  <c r="BI8" i="2"/>
  <c r="BI112" i="2"/>
  <c r="BI138" i="2"/>
  <c r="BI125" i="2"/>
  <c r="BI195" i="2"/>
  <c r="BI97" i="2"/>
  <c r="BI35" i="2"/>
  <c r="BI141" i="2"/>
  <c r="BI186" i="2"/>
  <c r="BI190" i="2"/>
  <c r="BI53" i="2"/>
  <c r="BI39" i="2"/>
  <c r="BI54" i="2"/>
  <c r="BI102" i="2"/>
  <c r="BI76" i="2"/>
  <c r="BI149" i="2"/>
  <c r="BI71" i="2"/>
  <c r="BI6" i="2"/>
  <c r="BI188" i="2"/>
  <c r="BI191" i="2"/>
  <c r="BI94" i="2"/>
  <c r="BI22" i="2"/>
  <c r="BI15" i="2"/>
  <c r="BI33" i="2"/>
  <c r="BI162" i="2"/>
  <c r="BI154" i="2"/>
  <c r="BI37" i="2"/>
  <c r="BI126" i="2"/>
  <c r="BI63" i="2"/>
  <c r="BI202" i="2"/>
  <c r="BI83" i="2"/>
  <c r="BI56" i="2"/>
  <c r="BI17" i="2"/>
  <c r="BI128" i="2"/>
  <c r="BI44" i="2"/>
  <c r="BI161" i="2"/>
  <c r="BI87" i="2"/>
  <c r="BI84" i="2"/>
  <c r="BI158" i="2"/>
  <c r="BI26" i="2"/>
  <c r="BI137" i="2"/>
  <c r="BI106" i="2"/>
  <c r="BI189" i="2"/>
  <c r="BI89" i="2"/>
  <c r="BI180" i="2"/>
  <c r="BI55" i="2"/>
  <c r="BI67" i="2"/>
  <c r="BI135" i="2"/>
  <c r="BI131" i="2"/>
  <c r="BI118" i="2"/>
  <c r="BI155" i="2"/>
  <c r="BI166" i="2"/>
  <c r="BI75" i="2"/>
  <c r="BI31" i="2"/>
  <c r="BI179" i="2"/>
  <c r="BI164" i="2"/>
  <c r="BI144" i="2"/>
  <c r="BI21" i="2"/>
  <c r="BI187" i="2"/>
  <c r="BI14" i="2"/>
  <c r="BI52" i="2"/>
  <c r="BI150" i="2"/>
  <c r="BI159" i="2"/>
  <c r="BI147" i="2"/>
  <c r="BI176" i="2"/>
  <c r="BI193" i="2"/>
  <c r="BI121" i="2"/>
  <c r="BI110" i="2"/>
  <c r="BI45" i="2"/>
  <c r="BI113" i="2"/>
  <c r="BI163" i="2"/>
  <c r="BI132" i="2"/>
  <c r="BI86" i="2"/>
  <c r="BI133" i="2"/>
  <c r="BI174" i="2"/>
  <c r="BI124" i="2"/>
  <c r="BI111" i="2"/>
  <c r="BI140" i="2"/>
  <c r="BI108" i="2"/>
  <c r="BI117" i="2"/>
  <c r="BI18" i="2"/>
  <c r="BI74" i="2"/>
  <c r="BI93" i="2"/>
  <c r="BI181" i="2"/>
  <c r="BI49" i="2"/>
  <c r="BI32" i="2"/>
  <c r="BI36" i="2"/>
  <c r="BI11" i="2"/>
  <c r="BI203" i="2"/>
  <c r="BI81" i="2"/>
  <c r="BI65" i="2"/>
  <c r="BI145" i="2"/>
  <c r="BI19" i="2"/>
  <c r="BI80" i="2"/>
  <c r="BI107" i="2"/>
  <c r="BI12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BS158" i="2" l="1"/>
  <c r="BS159" i="2" l="1"/>
  <c r="BS160" i="2" l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C12" i="4" l="1"/>
  <c r="D12" i="4"/>
  <c r="C11" i="4"/>
  <c r="D11" i="4"/>
  <c r="C10" i="4"/>
  <c r="D10" i="4"/>
  <c r="C9" i="4"/>
  <c r="D9" i="4"/>
  <c r="C7" i="4"/>
  <c r="D7" i="4"/>
  <c r="C8" i="4"/>
  <c r="D8" i="4"/>
  <c r="D10" i="1"/>
  <c r="U11" i="6" s="1"/>
  <c r="V11" i="6" s="1"/>
  <c r="D13" i="1"/>
  <c r="B10" i="4" s="1"/>
  <c r="H10" i="4" s="1"/>
  <c r="I10" i="4" s="1"/>
  <c r="D14" i="1"/>
  <c r="B11" i="4" s="1"/>
  <c r="H11" i="4" s="1"/>
  <c r="I11" i="4" s="1"/>
  <c r="D12" i="1"/>
  <c r="B9" i="4" s="1"/>
  <c r="J9" i="4" s="1"/>
  <c r="K9" i="4" s="1"/>
  <c r="D15" i="1"/>
  <c r="B12" i="4" s="1"/>
  <c r="J12" i="4" s="1"/>
  <c r="K12" i="4" s="1"/>
  <c r="D11" i="1"/>
  <c r="B8" i="4" s="1"/>
  <c r="H8" i="4" s="1"/>
  <c r="I8" i="4" s="1"/>
  <c r="H9" i="4" l="1"/>
  <c r="I9" i="4" s="1"/>
  <c r="U14" i="6"/>
  <c r="V14" i="6" s="1"/>
  <c r="B7" i="4"/>
  <c r="H7" i="4" s="1"/>
  <c r="I7" i="4" s="1"/>
  <c r="U15" i="6"/>
  <c r="V15" i="6" s="1"/>
  <c r="E10" i="4"/>
  <c r="F10" i="4" s="1"/>
  <c r="G10" i="4" s="1"/>
  <c r="E11" i="4"/>
  <c r="F11" i="4" s="1"/>
  <c r="G11" i="4" s="1"/>
  <c r="E12" i="4"/>
  <c r="F12" i="4" s="1"/>
  <c r="G12" i="4" s="1"/>
  <c r="E8" i="4"/>
  <c r="F8" i="4" s="1"/>
  <c r="G8" i="4" s="1"/>
  <c r="E9" i="4"/>
  <c r="F9" i="4" s="1"/>
  <c r="G9" i="4" s="1"/>
  <c r="J7" i="4"/>
  <c r="K7" i="4" s="1"/>
  <c r="J10" i="4"/>
  <c r="K10" i="4" s="1"/>
  <c r="J11" i="4"/>
  <c r="K11" i="4" s="1"/>
  <c r="J8" i="4"/>
  <c r="K8" i="4" s="1"/>
  <c r="H12" i="4"/>
  <c r="I12" i="4" s="1"/>
  <c r="E7" i="4"/>
  <c r="F7" i="4" s="1"/>
  <c r="G7" i="4" s="1"/>
  <c r="U13" i="6"/>
  <c r="V13" i="6" s="1"/>
  <c r="U16" i="6"/>
  <c r="V16" i="6" s="1"/>
  <c r="U12" i="6"/>
  <c r="V12" i="6" s="1"/>
  <c r="L9" i="4" l="1"/>
  <c r="L8" i="4"/>
  <c r="L12" i="4"/>
  <c r="L10" i="4"/>
  <c r="L11" i="4"/>
  <c r="L7" i="4"/>
  <c r="C6" i="4" l="1"/>
  <c r="D6" i="4"/>
  <c r="D9" i="1"/>
  <c r="B6" i="4" s="1"/>
  <c r="U10" i="6" l="1"/>
  <c r="V10" i="6" s="1"/>
  <c r="E6" i="4"/>
  <c r="F6" i="4" s="1"/>
  <c r="J6" i="4"/>
  <c r="H6" i="4"/>
  <c r="G6" i="4" l="1"/>
  <c r="I6" i="4"/>
  <c r="K6" i="4"/>
  <c r="L6" i="4" l="1"/>
  <c r="C19" i="1"/>
  <c r="C20" i="1" s="1"/>
  <c r="C13" i="4"/>
  <c r="D16" i="1"/>
  <c r="D19" i="1" s="1"/>
  <c r="D13" i="4"/>
  <c r="E13" i="4" l="1"/>
  <c r="U17" i="6"/>
  <c r="V17" i="6" s="1"/>
  <c r="T23" i="6" s="1"/>
  <c r="T25" i="6" s="1"/>
  <c r="T26" i="6" s="1"/>
  <c r="B13" i="4"/>
  <c r="F13" i="4" l="1"/>
  <c r="G13" i="4" s="1"/>
  <c r="H13" i="4"/>
  <c r="J13" i="4"/>
  <c r="F16" i="4" l="1"/>
  <c r="K13" i="4"/>
  <c r="K16" i="4" s="1"/>
  <c r="J16" i="4"/>
  <c r="G16" i="4"/>
  <c r="I13" i="4"/>
  <c r="I16" i="4" s="1"/>
  <c r="H16" i="4"/>
  <c r="L13" i="4" l="1"/>
  <c r="L16" i="4" s="1"/>
</calcChain>
</file>

<file path=xl/sharedStrings.xml><?xml version="1.0" encoding="utf-8"?>
<sst xmlns="http://schemas.openxmlformats.org/spreadsheetml/2006/main" count="1183" uniqueCount="330">
  <si>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</si>
  <si>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</si>
  <si>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</si>
  <si>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</si>
  <si>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</si>
  <si>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</si>
  <si>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</si>
  <si>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</si>
  <si>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</si>
  <si>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</si>
  <si>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</si>
  <si>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</si>
  <si>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</si>
  <si>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</si>
  <si>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</si>
  <si>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</si>
  <si>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</si>
  <si>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</si>
  <si>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</si>
  <si>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</si>
  <si>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</si>
  <si>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</si>
  <si>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</si>
  <si>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</si>
  <si>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</si>
  <si>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</si>
  <si>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</si>
  <si>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</si>
  <si>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</si>
  <si>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</si>
  <si>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</si>
  <si>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</si>
  <si>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</si>
  <si>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</si>
  <si>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</si>
  <si>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</si>
  <si>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</si>
  <si>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</si>
  <si>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</si>
  <si>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</si>
  <si>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</si>
  <si>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</si>
  <si>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</si>
  <si>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</si>
  <si>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</si>
  <si>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</si>
  <si>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</si>
  <si>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</si>
  <si>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</si>
  <si>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</si>
  <si>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</si>
  <si>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</si>
  <si>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</si>
  <si>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</si>
  <si>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</si>
  <si>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</si>
  <si>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</si>
  <si>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</si>
  <si>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</si>
  <si>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</si>
  <si>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</si>
  <si>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</si>
  <si>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</si>
  <si>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</si>
  <si>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</si>
  <si>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</si>
  <si>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</si>
  <si>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</si>
  <si>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</si>
  <si>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</si>
  <si>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</si>
  <si>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</si>
  <si>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</si>
  <si>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</si>
  <si>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</si>
  <si>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</si>
  <si>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</si>
  <si>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</si>
  <si>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</si>
  <si>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</si>
  <si>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</si>
  <si>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</si>
  <si>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</si>
  <si>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</si>
  <si>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</si>
  <si>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</si>
  <si>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</si>
  <si>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</si>
  <si>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</si>
  <si>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</si>
  <si>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</si>
  <si>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</si>
  <si>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</si>
  <si>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</si>
  <si>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</si>
  <si>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</si>
  <si>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</si>
  <si>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</si>
  <si>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</si>
  <si>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</si>
  <si>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</si>
  <si>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</si>
  <si>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</si>
  <si>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</si>
  <si>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</si>
  <si>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</si>
  <si>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</si>
  <si>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</si>
  <si>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</si>
  <si>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</si>
  <si>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</si>
  <si>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</si>
  <si>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</si>
  <si>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</si>
  <si>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</si>
  <si>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</si>
  <si>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</si>
  <si>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</si>
  <si>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</si>
  <si>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</si>
  <si>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</si>
  <si>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</si>
  <si>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</si>
  <si>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</si>
  <si>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</si>
  <si>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</si>
  <si>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</si>
  <si>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</si>
  <si>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</si>
  <si>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</si>
  <si>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</si>
  <si>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</si>
  <si>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</si>
  <si>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</si>
  <si>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</si>
  <si>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</si>
  <si>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</si>
  <si>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</si>
  <si>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</si>
  <si>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</si>
  <si>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</si>
  <si>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</si>
  <si>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</si>
  <si>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</si>
  <si>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</si>
  <si>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</si>
  <si>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</si>
  <si>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</si>
  <si>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</si>
  <si>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</si>
  <si>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</si>
  <si>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</si>
  <si>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</si>
  <si>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</si>
  <si>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</si>
  <si>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</si>
  <si>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</si>
  <si>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</si>
  <si>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</si>
  <si>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</si>
  <si>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</si>
  <si>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</si>
  <si>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</si>
  <si>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</si>
  <si>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</si>
  <si>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</si>
  <si>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</si>
  <si>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</si>
  <si>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</si>
  <si>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</si>
  <si>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</si>
  <si>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</si>
  <si>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</si>
  <si>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</si>
  <si>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</si>
  <si>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</si>
  <si>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</si>
  <si>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</si>
  <si>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</si>
  <si>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</si>
  <si>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</si>
  <si>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</si>
  <si>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</si>
  <si>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</si>
  <si>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</si>
  <si>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</si>
  <si>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</si>
  <si>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</si>
  <si>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</si>
  <si>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</si>
  <si>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</si>
  <si>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</si>
  <si>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</si>
  <si>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</si>
  <si>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</si>
  <si>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</si>
  <si>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</si>
  <si>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</si>
  <si>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</si>
  <si>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</si>
  <si>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</si>
  <si>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</si>
  <si>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</si>
  <si>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</si>
  <si>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</si>
  <si>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</si>
  <si>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</si>
  <si>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</si>
  <si>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</si>
  <si>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</si>
  <si>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</si>
  <si>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</si>
  <si>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</si>
  <si>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</si>
  <si>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</si>
  <si>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</si>
  <si>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</si>
  <si>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</si>
  <si>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</si>
  <si>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</si>
  <si>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</si>
  <si>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</si>
  <si>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</si>
  <si>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</si>
  <si>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</si>
  <si>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</si>
  <si>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</si>
  <si>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</si>
  <si>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</si>
  <si>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</si>
  <si>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</si>
  <si>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</si>
  <si>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</si>
  <si>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</si>
  <si>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</si>
  <si>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</si>
  <si>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</si>
  <si>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</si>
  <si>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</si>
  <si>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</si>
  <si>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</si>
  <si>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</si>
  <si>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</si>
  <si>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</si>
  <si>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</si>
  <si>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</si>
  <si>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</si>
  <si>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</si>
  <si>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</si>
  <si>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</si>
  <si>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</si>
  <si>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</si>
  <si>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</si>
  <si>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</si>
  <si>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</si>
  <si>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</si>
  <si>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</si>
  <si>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</si>
  <si>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</si>
  <si>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</si>
  <si>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</si>
  <si>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</si>
  <si>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</si>
  <si>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</si>
  <si>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</si>
  <si>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</si>
  <si>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</si>
  <si>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</si>
  <si>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</si>
  <si>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</si>
  <si>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</si>
  <si>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</si>
  <si>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</si>
  <si>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</si>
  <si>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</si>
  <si>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</si>
  <si>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</si>
  <si>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</si>
  <si>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</si>
  <si>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</si>
  <si>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</si>
  <si>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</si>
  <si>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</si>
  <si>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</si>
  <si>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</si>
  <si>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</si>
  <si>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</si>
  <si>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</si>
  <si>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</si>
  <si>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</si>
  <si>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</si>
  <si>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</si>
  <si>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</si>
  <si>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</si>
  <si>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</si>
  <si>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</si>
  <si>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</si>
  <si>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</si>
  <si>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</si>
  <si>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</si>
  <si>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</si>
  <si>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</si>
  <si>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</si>
  <si>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</si>
  <si>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</si>
  <si>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</si>
  <si>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</si>
  <si>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</si>
  <si>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</si>
  <si>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</si>
  <si>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</si>
  <si>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</si>
  <si>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</si>
  <si>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</si>
  <si>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</si>
  <si>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</si>
  <si>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</si>
  <si>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</si>
  <si>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</si>
  <si>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</si>
  <si>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</si>
  <si>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</si>
  <si>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</si>
  <si>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</si>
  <si>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ONF_F2</t>
  </si>
  <si>
    <t>UK_CHX_F6</t>
  </si>
  <si>
    <t>JANSEN_CHR_F7</t>
  </si>
  <si>
    <t>JANSEN_CHP_F3</t>
  </si>
  <si>
    <t>UK_SAB_F6</t>
  </si>
  <si>
    <t>ONF_F3_1600st/ha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</si>
</sst>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68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2.8570438485924678</c:v>
                </c:pt>
                <c:pt idx="2">
                  <c:v>3.3655409320230496</c:v>
                </c:pt>
                <c:pt idx="3">
                  <c:v>3.9648711712921583</c:v>
                </c:pt>
                <c:pt idx="4">
                  <c:v>4.6713159255511032</c:v>
                </c:pt>
                <c:pt idx="5">
                  <c:v>5.5040842714494636</c:v>
                </c:pt>
                <c:pt idx="6">
                  <c:v>6.4858410348683284</c:v>
                </c:pt>
                <c:pt idx="7">
                  <c:v>7.6433303182525583</c:v>
                </c:pt>
                <c:pt idx="8">
                  <c:v>9.008111837685016</c:v>
                </c:pt>
                <c:pt idx="9">
                  <c:v>10.617430530273511</c:v>
                </c:pt>
                <c:pt idx="10">
                  <c:v>12.51524361183359</c:v>
                </c:pt>
                <c:pt idx="11">
                  <c:v>14.753433661788458</c:v>
                </c:pt>
                <c:pt idx="12">
                  <c:v>17.393241510319466</c:v>
                </c:pt>
                <c:pt idx="13">
                  <c:v>20.506958848338215</c:v>
                </c:pt>
                <c:pt idx="14">
                  <c:v>24.179927746808428</c:v>
                </c:pt>
                <c:pt idx="15">
                  <c:v>28.512902862953961</c:v>
                </c:pt>
                <c:pt idx="16">
                  <c:v>33.624842269016021</c:v>
                </c:pt>
                <c:pt idx="17">
                  <c:v>39.656204850824899</c:v>
                </c:pt>
                <c:pt idx="18">
                  <c:v>46.772846427294837</c:v>
                </c:pt>
                <c:pt idx="19">
                  <c:v>55.170623538812009</c:v>
                </c:pt>
                <c:pt idx="20">
                  <c:v>65.080833716519777</c:v>
                </c:pt>
                <c:pt idx="21">
                  <c:v>76.776644536700402</c:v>
                </c:pt>
                <c:pt idx="22">
                  <c:v>90.5806915485487</c:v>
                </c:pt>
                <c:pt idx="23">
                  <c:v>106.87405802497348</c:v>
                </c:pt>
                <c:pt idx="24">
                  <c:v>126.10688835389209</c:v>
                </c:pt>
                <c:pt idx="25">
                  <c:v>148.81093286135922</c:v>
                </c:pt>
                <c:pt idx="26">
                  <c:v>146.73924981884886</c:v>
                </c:pt>
                <c:pt idx="27">
                  <c:v>161.22694253209136</c:v>
                </c:pt>
                <c:pt idx="28">
                  <c:v>175.68381249632054</c:v>
                </c:pt>
                <c:pt idx="29">
                  <c:v>190.1127547666068</c:v>
                </c:pt>
                <c:pt idx="30">
                  <c:v>204.51618846220967</c:v>
                </c:pt>
                <c:pt idx="31">
                  <c:v>177.74673882318049</c:v>
                </c:pt>
                <c:pt idx="32">
                  <c:v>194.23052863625435</c:v>
                </c:pt>
                <c:pt idx="33">
                  <c:v>210.68179897079304</c:v>
                </c:pt>
                <c:pt idx="34">
                  <c:v>227.10344715858119</c:v>
                </c:pt>
                <c:pt idx="35">
                  <c:v>243.49791694752579</c:v>
                </c:pt>
                <c:pt idx="36">
                  <c:v>217.66446793584763</c:v>
                </c:pt>
                <c:pt idx="37">
                  <c:v>234.89407374203219</c:v>
                </c:pt>
                <c:pt idx="38">
                  <c:v>252.09484919970498</c:v>
                </c:pt>
                <c:pt idx="39">
                  <c:v>269.26903825113033</c:v>
                </c:pt>
                <c:pt idx="40">
                  <c:v>286.4185751166749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329.19511576502646</c:v>
                </c:pt>
                <c:pt idx="46">
                  <c:v>303.13762323931286</c:v>
                </c:pt>
                <c:pt idx="47">
                  <c:v>319.83616118961032</c:v>
                </c:pt>
                <c:pt idx="48">
                  <c:v>336.51541035034978</c:v>
                </c:pt>
                <c:pt idx="49">
                  <c:v>353.17646115055004</c:v>
                </c:pt>
                <c:pt idx="50">
                  <c:v>369.82029275047876</c:v>
                </c:pt>
                <c:pt idx="51">
                  <c:v>343.42580104652302</c:v>
                </c:pt>
                <c:pt idx="52">
                  <c:v>359.67361293503609</c:v>
                </c:pt>
                <c:pt idx="53">
                  <c:v>375.9053740333265</c:v>
                </c:pt>
                <c:pt idx="54">
                  <c:v>392.12187483767121</c:v>
                </c:pt>
                <c:pt idx="55">
                  <c:v>408.32383513861078</c:v>
                </c:pt>
                <c:pt idx="56">
                  <c:v>381.17737444442338</c:v>
                </c:pt>
                <c:pt idx="57">
                  <c:v>396.57883448700221</c:v>
                </c:pt>
                <c:pt idx="58">
                  <c:v>411.96734072289183</c:v>
                </c:pt>
                <c:pt idx="59">
                  <c:v>427.34344505663171</c:v>
                </c:pt>
                <c:pt idx="60">
                  <c:v>442.70765644555928</c:v>
                </c:pt>
                <c:pt idx="61">
                  <c:v>414.80069721135334</c:v>
                </c:pt>
                <c:pt idx="62">
                  <c:v>429.36572078685384</c:v>
                </c:pt>
                <c:pt idx="63">
                  <c:v>443.9201281174773</c:v>
                </c:pt>
                <c:pt idx="64">
                  <c:v>458.46431622225504</c:v>
                </c:pt>
                <c:pt idx="65">
                  <c:v>472.99865488119258</c:v>
                </c:pt>
                <c:pt idx="66">
                  <c:v>444.32426956358057</c:v>
                </c:pt>
                <c:pt idx="67">
                  <c:v>458.06044564731332</c:v>
                </c:pt>
                <c:pt idx="68">
                  <c:v>471.78782761031488</c:v>
                </c:pt>
                <c:pt idx="69">
                  <c:v>485.50670733159899</c:v>
                </c:pt>
                <c:pt idx="70">
                  <c:v>499.2173588530552</c:v>
                </c:pt>
                <c:pt idx="71">
                  <c:v>469.36597432654622</c:v>
                </c:pt>
                <c:pt idx="72">
                  <c:v>481.87605086617651</c:v>
                </c:pt>
                <c:pt idx="73">
                  <c:v>494.37922843874412</c:v>
                </c:pt>
                <c:pt idx="74">
                  <c:v>506.87570609003552</c:v>
                </c:pt>
                <c:pt idx="75">
                  <c:v>519.36567225225349</c:v>
                </c:pt>
                <c:pt idx="76">
                  <c:v>489.13678734186618</c:v>
                </c:pt>
                <c:pt idx="77">
                  <c:v>501.23295290548805</c:v>
                </c:pt>
                <c:pt idx="78">
                  <c:v>513.32294183422573</c:v>
                </c:pt>
                <c:pt idx="79">
                  <c:v>525.40692008667054</c:v>
                </c:pt>
                <c:pt idx="80">
                  <c:v>537.48504536607982</c:v>
                </c:pt>
                <c:pt idx="81">
                  <c:v>506.87570609003546</c:v>
                </c:pt>
                <c:pt idx="82">
                  <c:v>518.56006095402688</c:v>
                </c:pt>
                <c:pt idx="83">
                  <c:v>530.23886398734817</c:v>
                </c:pt>
                <c:pt idx="84">
                  <c:v>541.91225469196922</c:v>
                </c:pt>
                <c:pt idx="85">
                  <c:v>553.58036607052361</c:v>
                </c:pt>
                <c:pt idx="86">
                  <c:v>522.18510454563477</c:v>
                </c:pt>
                <c:pt idx="87">
                  <c:v>533.05706938142669</c:v>
                </c:pt>
                <c:pt idx="88">
                  <c:v>543.92437106523562</c:v>
                </c:pt>
                <c:pt idx="89">
                  <c:v>554.78711589011334</c:v>
                </c:pt>
                <c:pt idx="90">
                  <c:v>565.64540564760955</c:v>
                </c:pt>
                <c:pt idx="91">
                  <c:v>533.45964452335909</c:v>
                </c:pt>
                <c:pt idx="92">
                  <c:v>543.52196031239725</c:v>
                </c:pt>
                <c:pt idx="93">
                  <c:v>553.58036607052338</c:v>
                </c:pt>
                <c:pt idx="94">
                  <c:v>563.63494285621744</c:v>
                </c:pt>
                <c:pt idx="95">
                  <c:v>573.68576860024802</c:v>
                </c:pt>
                <c:pt idx="96">
                  <c:v>541.10736424197137</c:v>
                </c:pt>
                <c:pt idx="97">
                  <c:v>550.76440184545663</c:v>
                </c:pt>
                <c:pt idx="98">
                  <c:v>560.41789006787951</c:v>
                </c:pt>
                <c:pt idx="99">
                  <c:v>570.06789866925885</c:v>
                </c:pt>
                <c:pt idx="100">
                  <c:v>579.71449485526716</c:v>
                </c:pt>
                <c:pt idx="101">
                  <c:v>546.74107162107293</c:v>
                </c:pt>
                <c:pt idx="102">
                  <c:v>555.99381071316304</c:v>
                </c:pt>
                <c:pt idx="103">
                  <c:v>565.24332506261192</c:v>
                </c:pt>
                <c:pt idx="104">
                  <c:v>574.48967488014102</c:v>
                </c:pt>
                <c:pt idx="105">
                  <c:v>583.73291828020922</c:v>
                </c:pt>
                <c:pt idx="106">
                  <c:v>551.97128052407254</c:v>
                </c:pt>
                <c:pt idx="107">
                  <c:v>560.41789006787985</c:v>
                </c:pt>
                <c:pt idx="108">
                  <c:v>568.86183556500578</c:v>
                </c:pt>
                <c:pt idx="109">
                  <c:v>577.30316213955939</c:v>
                </c:pt>
                <c:pt idx="110">
                  <c:v>585.74191348830459</c:v>
                </c:pt>
                <c:pt idx="111">
                  <c:v>555.18935360177829</c:v>
                </c:pt>
                <c:pt idx="112">
                  <c:v>562.83071576489817</c:v>
                </c:pt>
                <c:pt idx="113">
                  <c:v>570.46990784967431</c:v>
                </c:pt>
                <c:pt idx="114">
                  <c:v>578.1069630190849</c:v>
                </c:pt>
                <c:pt idx="115">
                  <c:v>585.7419134883047</c:v>
                </c:pt>
                <c:pt idx="116">
                  <c:v>556.79824344224187</c:v>
                </c:pt>
                <c:pt idx="117">
                  <c:v>564.03704739752004</c:v>
                </c:pt>
                <c:pt idx="118">
                  <c:v>571.27390845762102</c:v>
                </c:pt>
                <c:pt idx="119">
                  <c:v>578.508854711553</c:v>
                </c:pt>
                <c:pt idx="120">
                  <c:v>585.74191348830493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124.45922680191636</c:v>
                </c:pt>
                <c:pt idx="24">
                  <c:v>145.05150046666205</c:v>
                </c:pt>
                <c:pt idx="25">
                  <c:v>165.57375879185801</c:v>
                </c:pt>
                <c:pt idx="26">
                  <c:v>186.0359113344837</c:v>
                </c:pt>
                <c:pt idx="27">
                  <c:v>206.44550326470099</c:v>
                </c:pt>
                <c:pt idx="28">
                  <c:v>178.8770701672199</c:v>
                </c:pt>
                <c:pt idx="29">
                  <c:v>200.38972394653459</c:v>
                </c:pt>
                <c:pt idx="30">
                  <c:v>221.84883849790182</c:v>
                </c:pt>
                <c:pt idx="31">
                  <c:v>243.26032139995104</c:v>
                </c:pt>
                <c:pt idx="32">
                  <c:v>264.62895421811407</c:v>
                </c:pt>
                <c:pt idx="33">
                  <c:v>285.95868273742298</c:v>
                </c:pt>
                <c:pt idx="34">
                  <c:v>242.58739286352048</c:v>
                </c:pt>
                <c:pt idx="35">
                  <c:v>264.04989736803674</c:v>
                </c:pt>
                <c:pt idx="36">
                  <c:v>285.47306022064532</c:v>
                </c:pt>
                <c:pt idx="37">
                  <c:v>306.860247871995</c:v>
                </c:pt>
                <c:pt idx="38">
                  <c:v>328.21431914917827</c:v>
                </c:pt>
                <c:pt idx="39">
                  <c:v>349.5377305435054</c:v>
                </c:pt>
                <c:pt idx="40">
                  <c:v>370.83261443628663</c:v>
                </c:pt>
                <c:pt idx="41">
                  <c:v>392.10083840438301</c:v>
                </c:pt>
                <c:pt idx="42">
                  <c:v>320.07706003496543</c:v>
                </c:pt>
                <c:pt idx="43">
                  <c:v>340.16115673745094</c:v>
                </c:pt>
                <c:pt idx="44">
                  <c:v>360.2191776827687</c:v>
                </c:pt>
                <c:pt idx="45">
                  <c:v>380.25277835910487</c:v>
                </c:pt>
                <c:pt idx="46">
                  <c:v>400.2634256424567</c:v>
                </c:pt>
                <c:pt idx="47">
                  <c:v>420.25242783490597</c:v>
                </c:pt>
                <c:pt idx="48">
                  <c:v>440.22095868894326</c:v>
                </c:pt>
                <c:pt idx="49">
                  <c:v>460.17007684546002</c:v>
                </c:pt>
                <c:pt idx="50">
                  <c:v>480.10074172574264</c:v>
                </c:pt>
                <c:pt idx="51">
                  <c:v>408.86708705663085</c:v>
                </c:pt>
                <c:pt idx="52">
                  <c:v>426.81319907682013</c:v>
                </c:pt>
                <c:pt idx="53">
                  <c:v>444.74308871435665</c:v>
                </c:pt>
                <c:pt idx="54">
                  <c:v>462.65750170877988</c:v>
                </c:pt>
                <c:pt idx="55">
                  <c:v>480.55712136582889</c:v>
                </c:pt>
                <c:pt idx="56">
                  <c:v>498.44257596300025</c:v>
                </c:pt>
                <c:pt idx="57">
                  <c:v>516.31444503713794</c:v>
                </c:pt>
                <c:pt idx="58">
                  <c:v>534.17326475645041</c:v>
                </c:pt>
                <c:pt idx="59">
                  <c:v>552.01953253702732</c:v>
                </c:pt>
                <c:pt idx="60">
                  <c:v>569.85371103158184</c:v>
                </c:pt>
                <c:pt idx="61">
                  <c:v>496.55887909600943</c:v>
                </c:pt>
                <c:pt idx="62">
                  <c:v>511.6255347374472</c:v>
                </c:pt>
                <c:pt idx="63">
                  <c:v>526.68282208192829</c:v>
                </c:pt>
                <c:pt idx="64">
                  <c:v>541.73104657451711</c:v>
                </c:pt>
                <c:pt idx="65">
                  <c:v>556.77049531447858</c:v>
                </c:pt>
                <c:pt idx="66">
                  <c:v>571.80143863323156</c:v>
                </c:pt>
                <c:pt idx="67">
                  <c:v>586.82413149782394</c:v>
                </c:pt>
                <c:pt idx="68">
                  <c:v>601.83881476328258</c:v>
                </c:pt>
                <c:pt idx="69">
                  <c:v>616.84571629355526</c:v>
                </c:pt>
                <c:pt idx="70">
                  <c:v>631.84505196775149</c:v>
                </c:pt>
                <c:pt idx="71">
                  <c:v>558.52582336493231</c:v>
                </c:pt>
                <c:pt idx="72">
                  <c:v>570.88695865906334</c:v>
                </c:pt>
                <c:pt idx="73">
                  <c:v>583.24250397763637</c:v>
                </c:pt>
                <c:pt idx="74">
                  <c:v>595.59259439382743</c:v>
                </c:pt>
                <c:pt idx="75">
                  <c:v>607.93735892409688</c:v>
                </c:pt>
                <c:pt idx="76">
                  <c:v>620.27692091982669</c:v>
                </c:pt>
                <c:pt idx="77">
                  <c:v>632.61139842618638</c:v>
                </c:pt>
                <c:pt idx="78">
                  <c:v>644.94090451156796</c:v>
                </c:pt>
                <c:pt idx="79">
                  <c:v>657.26554757053043</c:v>
                </c:pt>
                <c:pt idx="80">
                  <c:v>669.58543160285092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2.7395285113567613</c:v>
                </c:pt>
                <c:pt idx="2">
                  <c:v>3.3601677890423978</c:v>
                </c:pt>
                <c:pt idx="3">
                  <c:v>4.1219472266714714</c:v>
                </c:pt>
                <c:pt idx="4">
                  <c:v>5.057078277104849</c:v>
                </c:pt>
                <c:pt idx="5">
                  <c:v>6.2051482845516652</c:v>
                </c:pt>
                <c:pt idx="6">
                  <c:v>7.614814656030771</c:v>
                </c:pt>
                <c:pt idx="7">
                  <c:v>9.3458892740713804</c:v>
                </c:pt>
                <c:pt idx="8">
                  <c:v>11.47190327416781</c:v>
                </c:pt>
                <c:pt idx="9">
                  <c:v>14.083263173266099</c:v>
                </c:pt>
                <c:pt idx="10">
                  <c:v>17.291135038244661</c:v>
                </c:pt>
                <c:pt idx="11">
                  <c:v>21.232225050943082</c:v>
                </c:pt>
                <c:pt idx="12">
                  <c:v>26.074663845725343</c:v>
                </c:pt>
                <c:pt idx="13">
                  <c:v>32.025250076804035</c:v>
                </c:pt>
                <c:pt idx="14">
                  <c:v>39.338367923957748</c:v>
                </c:pt>
                <c:pt idx="15">
                  <c:v>48.326966266550187</c:v>
                </c:pt>
                <c:pt idx="16">
                  <c:v>59.376077252630203</c:v>
                </c:pt>
                <c:pt idx="17">
                  <c:v>72.95946291558171</c:v>
                </c:pt>
                <c:pt idx="18">
                  <c:v>89.66011522056148</c:v>
                </c:pt>
                <c:pt idx="19">
                  <c:v>110.19550346946771</c:v>
                </c:pt>
                <c:pt idx="20">
                  <c:v>135.44867077218274</c:v>
                </c:pt>
                <c:pt idx="21">
                  <c:v>96.446835612119642</c:v>
                </c:pt>
                <c:pt idx="22">
                  <c:v>107.76449501518044</c:v>
                </c:pt>
                <c:pt idx="23">
                  <c:v>119.05287806218496</c:v>
                </c:pt>
                <c:pt idx="24">
                  <c:v>130.31515592254621</c:v>
                </c:pt>
                <c:pt idx="25">
                  <c:v>141.55390545051856</c:v>
                </c:pt>
                <c:pt idx="26">
                  <c:v>124.4422715561264</c:v>
                </c:pt>
                <c:pt idx="27">
                  <c:v>135.44867077218274</c:v>
                </c:pt>
                <c:pt idx="28">
                  <c:v>146.43353271796315</c:v>
                </c:pt>
                <c:pt idx="29">
                  <c:v>157.39870247339442</c:v>
                </c:pt>
                <c:pt idx="30">
                  <c:v>168.34574659970932</c:v>
                </c:pt>
                <c:pt idx="31">
                  <c:v>149.35943432337433</c:v>
                </c:pt>
                <c:pt idx="32">
                  <c:v>159.58951541202774</c:v>
                </c:pt>
                <c:pt idx="33">
                  <c:v>169.80405753154631</c:v>
                </c:pt>
                <c:pt idx="34">
                  <c:v>180.0041281478268</c:v>
                </c:pt>
                <c:pt idx="35">
                  <c:v>190.19066370027167</c:v>
                </c:pt>
                <c:pt idx="36">
                  <c:v>170.53310214648332</c:v>
                </c:pt>
                <c:pt idx="37">
                  <c:v>180.0041281478268</c:v>
                </c:pt>
                <c:pt idx="38">
                  <c:v>189.4634846798111</c:v>
                </c:pt>
                <c:pt idx="39">
                  <c:v>198.911837132518</c:v>
                </c:pt>
                <c:pt idx="40">
                  <c:v>208.34978244075822</c:v>
                </c:pt>
                <c:pt idx="41">
                  <c:v>188.97866252857997</c:v>
                </c:pt>
                <c:pt idx="42">
                  <c:v>197.45893605819876</c:v>
                </c:pt>
                <c:pt idx="43">
                  <c:v>205.93075783265544</c:v>
                </c:pt>
                <c:pt idx="44">
                  <c:v>214.3945250013644</c:v>
                </c:pt>
                <c:pt idx="45">
                  <c:v>222.85060075554998</c:v>
                </c:pt>
                <c:pt idx="46">
                  <c:v>204.23705003754878</c:v>
                </c:pt>
                <c:pt idx="47">
                  <c:v>212.21887632373463</c:v>
                </c:pt>
                <c:pt idx="48">
                  <c:v>220.19378499862137</c:v>
                </c:pt>
                <c:pt idx="49">
                  <c:v>228.16206225141846</c:v>
                </c:pt>
                <c:pt idx="50">
                  <c:v>236.12397262360059</c:v>
                </c:pt>
                <c:pt idx="51">
                  <c:v>218.26109325373406</c:v>
                </c:pt>
                <c:pt idx="52">
                  <c:v>225.74811687122531</c:v>
                </c:pt>
                <c:pt idx="53">
                  <c:v>233.22945328448384</c:v>
                </c:pt>
                <c:pt idx="54">
                  <c:v>240.70531089310836</c:v>
                </c:pt>
                <c:pt idx="55">
                  <c:v>248.17588407773692</c:v>
                </c:pt>
                <c:pt idx="56">
                  <c:v>230.33411312840326</c:v>
                </c:pt>
                <c:pt idx="57">
                  <c:v>236.60631352423798</c:v>
                </c:pt>
                <c:pt idx="58">
                  <c:v>242.87472308772553</c:v>
                </c:pt>
                <c:pt idx="59">
                  <c:v>249.13945361026489</c:v>
                </c:pt>
                <c:pt idx="60">
                  <c:v>255.40061079374721</c:v>
                </c:pt>
                <c:pt idx="61">
                  <c:v>239.74098502440231</c:v>
                </c:pt>
                <c:pt idx="62">
                  <c:v>245.76658779902257</c:v>
                </c:pt>
                <c:pt idx="63">
                  <c:v>251.78883490429266</c:v>
                </c:pt>
                <c:pt idx="64">
                  <c:v>257.80781804825421</c:v>
                </c:pt>
                <c:pt idx="65">
                  <c:v>263.82362430075239</c:v>
                </c:pt>
                <c:pt idx="66">
                  <c:v>248.89856916975501</c:v>
                </c:pt>
                <c:pt idx="67">
                  <c:v>254.43758435569455</c:v>
                </c:pt>
                <c:pt idx="68">
                  <c:v>259.97386986565402</c:v>
                </c:pt>
                <c:pt idx="69">
                  <c:v>265.50749212536306</c:v>
                </c:pt>
                <c:pt idx="70">
                  <c:v>271.03851456134942</c:v>
                </c:pt>
                <c:pt idx="71">
                  <c:v>256.36355503466297</c:v>
                </c:pt>
                <c:pt idx="72">
                  <c:v>260.93642844508491</c:v>
                </c:pt>
                <c:pt idx="73">
                  <c:v>265.50749212536306</c:v>
                </c:pt>
                <c:pt idx="74">
                  <c:v>270.07678168542827</c:v>
                </c:pt>
                <c:pt idx="75">
                  <c:v>274.64433142982591</c:v>
                </c:pt>
                <c:pt idx="76">
                  <c:v>262.13951392097641</c:v>
                </c:pt>
                <c:pt idx="77">
                  <c:v>266.46959408660371</c:v>
                </c:pt>
                <c:pt idx="78">
                  <c:v>270.79808855395521</c:v>
                </c:pt>
                <c:pt idx="79">
                  <c:v>275.12502629249087</c:v>
                </c:pt>
                <c:pt idx="80">
                  <c:v>279.45043528446814</c:v>
                </c:pt>
                <c:pt idx="81">
                  <c:v>267.6721114637474</c:v>
                </c:pt>
                <c:pt idx="82">
                  <c:v>271.51935218223554</c:v>
                </c:pt>
                <c:pt idx="83">
                  <c:v>275.36536664429372</c:v>
                </c:pt>
                <c:pt idx="84">
                  <c:v>279.2101744269815</c:v>
                </c:pt>
                <c:pt idx="85">
                  <c:v>283.05379452318999</c:v>
                </c:pt>
                <c:pt idx="86">
                  <c:v>272.2405727016648</c:v>
                </c:pt>
                <c:pt idx="87">
                  <c:v>275.8460332123957</c:v>
                </c:pt>
                <c:pt idx="88">
                  <c:v>279.45043528446791</c:v>
                </c:pt>
                <c:pt idx="89">
                  <c:v>283.05379452318994</c:v>
                </c:pt>
                <c:pt idx="90">
                  <c:v>286.65612610337257</c:v>
                </c:pt>
                <c:pt idx="91">
                  <c:v>276.80730993793668</c:v>
                </c:pt>
                <c:pt idx="92">
                  <c:v>280.1711900671994</c:v>
                </c:pt>
                <c:pt idx="93">
                  <c:v>283.53416445003472</c:v>
                </c:pt>
                <c:pt idx="94">
                  <c:v>286.89624536695209</c:v>
                </c:pt>
                <c:pt idx="95">
                  <c:v>290.25744478659226</c:v>
                </c:pt>
                <c:pt idx="96">
                  <c:v>280.65167014301926</c:v>
                </c:pt>
                <c:pt idx="97">
                  <c:v>284.25468516355772</c:v>
                </c:pt>
                <c:pt idx="98">
                  <c:v>287.85667749117118</c:v>
                </c:pt>
                <c:pt idx="99">
                  <c:v>291.45766175336968</c:v>
                </c:pt>
                <c:pt idx="100">
                  <c:v>295.05765218605126</c:v>
                </c:pt>
                <c:pt idx="101">
                  <c:v>2.1466615206600508E-12</c:v>
                </c:pt>
                <c:pt idx="102">
                  <c:v>2.1466615206600508E-12</c:v>
                </c:pt>
                <c:pt idx="103">
                  <c:v>2.1466615206600508E-12</c:v>
                </c:pt>
                <c:pt idx="104">
                  <c:v>2.1466615206600508E-12</c:v>
                </c:pt>
                <c:pt idx="105">
                  <c:v>2.1466615206600508E-12</c:v>
                </c:pt>
                <c:pt idx="106">
                  <c:v>2.1466615206600508E-12</c:v>
                </c:pt>
                <c:pt idx="107">
                  <c:v>2.1466615206600508E-12</c:v>
                </c:pt>
                <c:pt idx="108">
                  <c:v>2.1466615206600508E-12</c:v>
                </c:pt>
                <c:pt idx="109">
                  <c:v>2.1466615206600508E-12</c:v>
                </c:pt>
                <c:pt idx="110">
                  <c:v>2.1466615206600508E-12</c:v>
                </c:pt>
                <c:pt idx="111">
                  <c:v>2.1466615206600508E-12</c:v>
                </c:pt>
                <c:pt idx="112">
                  <c:v>2.1466615206600508E-12</c:v>
                </c:pt>
                <c:pt idx="113">
                  <c:v>2.1466615206600508E-12</c:v>
                </c:pt>
                <c:pt idx="114">
                  <c:v>2.1466615206600508E-12</c:v>
                </c:pt>
                <c:pt idx="115">
                  <c:v>2.1466615206600508E-12</c:v>
                </c:pt>
                <c:pt idx="116">
                  <c:v>2.1466615206600508E-12</c:v>
                </c:pt>
                <c:pt idx="117">
                  <c:v>2.1466615206600508E-12</c:v>
                </c:pt>
                <c:pt idx="118">
                  <c:v>2.1466615206600508E-12</c:v>
                </c:pt>
                <c:pt idx="119">
                  <c:v>2.1466615206600508E-12</c:v>
                </c:pt>
                <c:pt idx="120">
                  <c:v>2.1466615206600508E-12</c:v>
                </c:pt>
                <c:pt idx="121">
                  <c:v>2.1466615206600508E-12</c:v>
                </c:pt>
                <c:pt idx="122">
                  <c:v>2.1466615206600508E-12</c:v>
                </c:pt>
                <c:pt idx="123">
                  <c:v>2.1466615206600508E-12</c:v>
                </c:pt>
                <c:pt idx="124">
                  <c:v>2.1466615206600508E-12</c:v>
                </c:pt>
                <c:pt idx="125">
                  <c:v>2.1466615206600508E-12</c:v>
                </c:pt>
                <c:pt idx="126">
                  <c:v>2.1466615206600508E-12</c:v>
                </c:pt>
                <c:pt idx="127">
                  <c:v>2.1466615206600508E-12</c:v>
                </c:pt>
                <c:pt idx="128">
                  <c:v>2.1466615206600508E-12</c:v>
                </c:pt>
                <c:pt idx="129">
                  <c:v>2.1466615206600508E-12</c:v>
                </c:pt>
                <c:pt idx="130">
                  <c:v>2.1466615206600508E-12</c:v>
                </c:pt>
                <c:pt idx="131">
                  <c:v>2.1466615206600508E-12</c:v>
                </c:pt>
                <c:pt idx="132">
                  <c:v>2.1466615206600508E-12</c:v>
                </c:pt>
                <c:pt idx="133">
                  <c:v>2.1466615206600508E-12</c:v>
                </c:pt>
                <c:pt idx="134">
                  <c:v>2.1466615206600508E-12</c:v>
                </c:pt>
                <c:pt idx="135">
                  <c:v>2.1466615206600508E-12</c:v>
                </c:pt>
                <c:pt idx="136">
                  <c:v>2.1466615206600508E-12</c:v>
                </c:pt>
                <c:pt idx="137">
                  <c:v>2.1466615206600508E-12</c:v>
                </c:pt>
                <c:pt idx="138">
                  <c:v>2.1466615206600508E-12</c:v>
                </c:pt>
                <c:pt idx="139">
                  <c:v>2.1466615206600508E-12</c:v>
                </c:pt>
                <c:pt idx="140">
                  <c:v>2.1466615206600508E-12</c:v>
                </c:pt>
                <c:pt idx="141">
                  <c:v>2.1466615206600508E-12</c:v>
                </c:pt>
                <c:pt idx="142">
                  <c:v>2.1466615206600508E-12</c:v>
                </c:pt>
                <c:pt idx="143">
                  <c:v>2.1466615206600508E-12</c:v>
                </c:pt>
                <c:pt idx="144">
                  <c:v>2.1466615206600508E-12</c:v>
                </c:pt>
                <c:pt idx="145">
                  <c:v>2.1466615206600508E-12</c:v>
                </c:pt>
                <c:pt idx="146">
                  <c:v>2.1466615206600508E-12</c:v>
                </c:pt>
                <c:pt idx="147">
                  <c:v>2.1466615206600508E-12</c:v>
                </c:pt>
                <c:pt idx="148">
                  <c:v>2.1466615206600508E-12</c:v>
                </c:pt>
                <c:pt idx="149">
                  <c:v>2.1466615206600508E-12</c:v>
                </c:pt>
                <c:pt idx="150">
                  <c:v>2.1466615206600508E-12</c:v>
                </c:pt>
                <c:pt idx="151">
                  <c:v>2.1466615206600508E-12</c:v>
                </c:pt>
                <c:pt idx="152">
                  <c:v>2.1466615206600508E-12</c:v>
                </c:pt>
                <c:pt idx="153">
                  <c:v>2.1466615206600508E-12</c:v>
                </c:pt>
                <c:pt idx="154">
                  <c:v>2.1466615206600508E-12</c:v>
                </c:pt>
                <c:pt idx="155">
                  <c:v>2.1466615206600508E-12</c:v>
                </c:pt>
                <c:pt idx="156">
                  <c:v>2.1466615206600508E-12</c:v>
                </c:pt>
                <c:pt idx="157">
                  <c:v>2.1466615206600508E-12</c:v>
                </c:pt>
                <c:pt idx="158">
                  <c:v>2.1466615206600508E-12</c:v>
                </c:pt>
                <c:pt idx="159">
                  <c:v>2.1466615206600508E-12</c:v>
                </c:pt>
                <c:pt idx="160">
                  <c:v>2.1466615206600508E-12</c:v>
                </c:pt>
                <c:pt idx="161">
                  <c:v>2.1466615206600508E-12</c:v>
                </c:pt>
                <c:pt idx="162">
                  <c:v>2.1466615206600508E-12</c:v>
                </c:pt>
                <c:pt idx="163">
                  <c:v>2.1466615206600508E-12</c:v>
                </c:pt>
                <c:pt idx="164">
                  <c:v>2.1466615206600508E-12</c:v>
                </c:pt>
                <c:pt idx="165">
                  <c:v>2.1466615206600508E-12</c:v>
                </c:pt>
                <c:pt idx="166">
                  <c:v>2.1466615206600508E-12</c:v>
                </c:pt>
                <c:pt idx="167">
                  <c:v>2.1466615206600508E-12</c:v>
                </c:pt>
                <c:pt idx="168">
                  <c:v>2.1466615206600508E-12</c:v>
                </c:pt>
                <c:pt idx="169">
                  <c:v>2.1466615206600508E-12</c:v>
                </c:pt>
                <c:pt idx="170">
                  <c:v>2.1466615206600508E-12</c:v>
                </c:pt>
                <c:pt idx="171">
                  <c:v>2.1466615206600508E-12</c:v>
                </c:pt>
                <c:pt idx="172">
                  <c:v>2.1466615206600508E-12</c:v>
                </c:pt>
                <c:pt idx="173">
                  <c:v>2.1466615206600508E-12</c:v>
                </c:pt>
                <c:pt idx="174">
                  <c:v>2.1466615206600508E-12</c:v>
                </c:pt>
                <c:pt idx="175">
                  <c:v>2.1466615206600508E-12</c:v>
                </c:pt>
                <c:pt idx="176">
                  <c:v>2.1466615206600508E-12</c:v>
                </c:pt>
                <c:pt idx="177">
                  <c:v>2.1466615206600508E-12</c:v>
                </c:pt>
                <c:pt idx="178">
                  <c:v>2.1466615206600508E-12</c:v>
                </c:pt>
                <c:pt idx="179">
                  <c:v>2.1466615206600508E-12</c:v>
                </c:pt>
                <c:pt idx="180">
                  <c:v>2.1466615206600508E-12</c:v>
                </c:pt>
                <c:pt idx="181">
                  <c:v>2.1466615206600508E-12</c:v>
                </c:pt>
                <c:pt idx="182">
                  <c:v>2.1466615206600508E-12</c:v>
                </c:pt>
                <c:pt idx="183">
                  <c:v>2.1466615206600508E-12</c:v>
                </c:pt>
                <c:pt idx="184">
                  <c:v>2.1466615206600508E-12</c:v>
                </c:pt>
                <c:pt idx="185">
                  <c:v>2.1466615206600508E-12</c:v>
                </c:pt>
                <c:pt idx="186">
                  <c:v>2.1466615206600508E-12</c:v>
                </c:pt>
                <c:pt idx="187">
                  <c:v>2.1466615206600508E-12</c:v>
                </c:pt>
                <c:pt idx="188">
                  <c:v>2.1466615206600508E-12</c:v>
                </c:pt>
                <c:pt idx="189">
                  <c:v>2.1466615206600508E-12</c:v>
                </c:pt>
                <c:pt idx="190">
                  <c:v>2.1466615206600508E-12</c:v>
                </c:pt>
                <c:pt idx="191">
                  <c:v>2.1466615206600508E-12</c:v>
                </c:pt>
                <c:pt idx="192">
                  <c:v>2.1466615206600508E-12</c:v>
                </c:pt>
                <c:pt idx="193">
                  <c:v>2.1466615206600508E-12</c:v>
                </c:pt>
                <c:pt idx="194">
                  <c:v>2.1466615206600508E-12</c:v>
                </c:pt>
                <c:pt idx="195">
                  <c:v>2.1466615206600508E-12</c:v>
                </c:pt>
                <c:pt idx="196">
                  <c:v>2.1466615206600508E-12</c:v>
                </c:pt>
                <c:pt idx="197">
                  <c:v>2.1466615206600508E-12</c:v>
                </c:pt>
                <c:pt idx="198">
                  <c:v>2.1466615206600508E-12</c:v>
                </c:pt>
                <c:pt idx="199">
                  <c:v>2.1466615206600508E-12</c:v>
                </c:pt>
                <c:pt idx="200">
                  <c:v>2.1466615206600508E-12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2.713993017085917</c:v>
                </c:pt>
                <c:pt idx="2">
                  <c:v>3.297780094167829</c:v>
                </c:pt>
                <c:pt idx="3">
                  <c:v>4.0076148495630122</c:v>
                </c:pt>
                <c:pt idx="4">
                  <c:v>4.8708091687241364</c:v>
                </c:pt>
                <c:pt idx="5">
                  <c:v>5.9206124221209437</c:v>
                </c:pt>
                <c:pt idx="6">
                  <c:v>7.1975062064258246</c:v>
                </c:pt>
                <c:pt idx="7">
                  <c:v>8.7507822174987044</c:v>
                </c:pt>
                <c:pt idx="8">
                  <c:v>10.640465330220749</c:v>
                </c:pt>
                <c:pt idx="9">
                  <c:v>12.939657601942194</c:v>
                </c:pt>
                <c:pt idx="10">
                  <c:v>15.737395562368858</c:v>
                </c:pt>
                <c:pt idx="11">
                  <c:v>19.142133466046261</c:v>
                </c:pt>
                <c:pt idx="12">
                  <c:v>23.285989973678308</c:v>
                </c:pt>
                <c:pt idx="13">
                  <c:v>28.329925983783568</c:v>
                </c:pt>
                <c:pt idx="14">
                  <c:v>34.470058263700928</c:v>
                </c:pt>
                <c:pt idx="15">
                  <c:v>41.945358602794364</c:v>
                </c:pt>
                <c:pt idx="16">
                  <c:v>51.047043231153054</c:v>
                </c:pt>
                <c:pt idx="17">
                  <c:v>62.130024412894237</c:v>
                </c:pt>
                <c:pt idx="18">
                  <c:v>75.626878119916697</c:v>
                </c:pt>
                <c:pt idx="19">
                  <c:v>92.064881799910609</c:v>
                </c:pt>
                <c:pt idx="20">
                  <c:v>112.08679847851977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8.0726688341261168E-13</c:v>
                </c:pt>
                <c:pt idx="82">
                  <c:v>8.0726688341261168E-13</c:v>
                </c:pt>
                <c:pt idx="83">
                  <c:v>8.0726688341261168E-13</c:v>
                </c:pt>
                <c:pt idx="84">
                  <c:v>8.0726688341261168E-13</c:v>
                </c:pt>
                <c:pt idx="85">
                  <c:v>8.0726688341261168E-13</c:v>
                </c:pt>
                <c:pt idx="86">
                  <c:v>8.0726688341261168E-13</c:v>
                </c:pt>
                <c:pt idx="87">
                  <c:v>8.0726688341261168E-13</c:v>
                </c:pt>
                <c:pt idx="88">
                  <c:v>8.0726688341261168E-13</c:v>
                </c:pt>
                <c:pt idx="89">
                  <c:v>8.0726688341261168E-13</c:v>
                </c:pt>
                <c:pt idx="90">
                  <c:v>8.0726688341261168E-13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2.8046705301677695</c:v>
                </c:pt>
                <c:pt idx="2">
                  <c:v>3.1927833913387604</c:v>
                </c:pt>
                <c:pt idx="3">
                  <c:v>3.6347940169818869</c:v>
                </c:pt>
                <c:pt idx="4">
                  <c:v>4.138212245997984</c:v>
                </c:pt>
                <c:pt idx="5">
                  <c:v>4.7115975670429551</c:v>
                </c:pt>
                <c:pt idx="6">
                  <c:v>5.3647062538758172</c:v>
                </c:pt>
                <c:pt idx="7">
                  <c:v>6.1086591808372646</c:v>
                </c:pt>
                <c:pt idx="8">
                  <c:v>6.9561332322567706</c:v>
                </c:pt>
                <c:pt idx="9">
                  <c:v>7.9215796310621043</c:v>
                </c:pt>
                <c:pt idx="10">
                  <c:v>9.0214729815678627</c:v>
                </c:pt>
                <c:pt idx="11">
                  <c:v>10.27459535760328</c:v>
                </c:pt>
                <c:pt idx="12">
                  <c:v>11.702360379232074</c:v>
                </c:pt>
                <c:pt idx="13">
                  <c:v>13.329182920083669</c:v>
                </c:pt>
                <c:pt idx="14">
                  <c:v>15.182900885051957</c:v>
                </c:pt>
                <c:pt idx="15">
                  <c:v>17.295256408866681</c:v>
                </c:pt>
                <c:pt idx="16">
                  <c:v>19.702444865842441</c:v>
                </c:pt>
                <c:pt idx="17">
                  <c:v>22.4457412682785</c:v>
                </c:pt>
                <c:pt idx="18">
                  <c:v>25.572214986441086</c:v>
                </c:pt>
                <c:pt idx="19">
                  <c:v>29.135545270706046</c:v>
                </c:pt>
                <c:pt idx="20">
                  <c:v>33.196951823568313</c:v>
                </c:pt>
                <c:pt idx="21">
                  <c:v>37.826256687013839</c:v>
                </c:pt>
                <c:pt idx="22">
                  <c:v>43.103096014812643</c:v>
                </c:pt>
                <c:pt idx="23">
                  <c:v>49.118302930308708</c:v>
                </c:pt>
                <c:pt idx="24">
                  <c:v>55.975485674724347</c:v>
                </c:pt>
                <c:pt idx="25">
                  <c:v>63.792828681944599</c:v>
                </c:pt>
                <c:pt idx="26">
                  <c:v>56.061641236741394</c:v>
                </c:pt>
                <c:pt idx="27">
                  <c:v>60.758664951449532</c:v>
                </c:pt>
                <c:pt idx="28">
                  <c:v>65.446238534745476</c:v>
                </c:pt>
                <c:pt idx="29">
                  <c:v>70.12513653700411</c:v>
                </c:pt>
                <c:pt idx="30">
                  <c:v>74.796021309276838</c:v>
                </c:pt>
                <c:pt idx="31">
                  <c:v>69.024963200598023</c:v>
                </c:pt>
                <c:pt idx="32">
                  <c:v>74.246901998535463</c:v>
                </c:pt>
                <c:pt idx="33">
                  <c:v>79.459465416986305</c:v>
                </c:pt>
                <c:pt idx="34">
                  <c:v>84.663356999575399</c:v>
                </c:pt>
                <c:pt idx="35">
                  <c:v>89.859186449778818</c:v>
                </c:pt>
                <c:pt idx="36">
                  <c:v>83.020921016204383</c:v>
                </c:pt>
                <c:pt idx="37">
                  <c:v>88.492613413798736</c:v>
                </c:pt>
                <c:pt idx="38">
                  <c:v>93.95581470162206</c:v>
                </c:pt>
                <c:pt idx="39">
                  <c:v>99.411089547125641</c:v>
                </c:pt>
                <c:pt idx="40">
                  <c:v>104.85893539971271</c:v>
                </c:pt>
                <c:pt idx="41">
                  <c:v>97.775308598973098</c:v>
                </c:pt>
                <c:pt idx="42">
                  <c:v>102.95300570862183</c:v>
                </c:pt>
                <c:pt idx="43">
                  <c:v>108.12426266746674</c:v>
                </c:pt>
                <c:pt idx="44">
                  <c:v>113.28943174536323</c:v>
                </c:pt>
                <c:pt idx="45">
                  <c:v>118.4488303778091</c:v>
                </c:pt>
                <c:pt idx="46">
                  <c:v>111.65896352261181</c:v>
                </c:pt>
                <c:pt idx="47">
                  <c:v>117.09163673234582</c:v>
                </c:pt>
                <c:pt idx="48">
                  <c:v>122.51815347270004</c:v>
                </c:pt>
                <c:pt idx="49">
                  <c:v>127.93882555090117</c:v>
                </c:pt>
                <c:pt idx="50">
                  <c:v>133.35393612722473</c:v>
                </c:pt>
                <c:pt idx="51">
                  <c:v>125.22920177249996</c:v>
                </c:pt>
                <c:pt idx="52">
                  <c:v>130.64705934220805</c:v>
                </c:pt>
                <c:pt idx="53">
                  <c:v>136.05948743402288</c:v>
                </c:pt>
                <c:pt idx="54">
                  <c:v>141.46673300785451</c:v>
                </c:pt>
                <c:pt idx="55">
                  <c:v>146.86902255756758</c:v>
                </c:pt>
                <c:pt idx="56">
                  <c:v>138.4933752865501</c:v>
                </c:pt>
                <c:pt idx="57">
                  <c:v>143.62823149736116</c:v>
                </c:pt>
                <c:pt idx="58">
                  <c:v>148.75869211239265</c:v>
                </c:pt>
                <c:pt idx="59">
                  <c:v>153.88493047498628</c:v>
                </c:pt>
                <c:pt idx="60">
                  <c:v>159.00710740925433</c:v>
                </c:pt>
                <c:pt idx="61">
                  <c:v>150.10810479136106</c:v>
                </c:pt>
                <c:pt idx="62">
                  <c:v>154.69396130079127</c:v>
                </c:pt>
                <c:pt idx="63">
                  <c:v>159.27658604648744</c:v>
                </c:pt>
                <c:pt idx="64">
                  <c:v>163.85608536141791</c:v>
                </c:pt>
                <c:pt idx="65">
                  <c:v>168.43255913514398</c:v>
                </c:pt>
                <c:pt idx="66">
                  <c:v>159.81551090350086</c:v>
                </c:pt>
                <c:pt idx="67">
                  <c:v>164.66391547709154</c:v>
                </c:pt>
                <c:pt idx="68">
                  <c:v>169.50894708984382</c:v>
                </c:pt>
                <c:pt idx="69">
                  <c:v>174.35071597703742</c:v>
                </c:pt>
                <c:pt idx="70">
                  <c:v>179.18932573756373</c:v>
                </c:pt>
                <c:pt idx="71">
                  <c:v>170.85420562822495</c:v>
                </c:pt>
                <c:pt idx="72">
                  <c:v>175.96393197512032</c:v>
                </c:pt>
                <c:pt idx="73">
                  <c:v>181.07017531419433</c:v>
                </c:pt>
                <c:pt idx="74">
                  <c:v>186.17304793890639</c:v>
                </c:pt>
                <c:pt idx="75">
                  <c:v>191.27265547124125</c:v>
                </c:pt>
                <c:pt idx="76">
                  <c:v>182.41335890660068</c:v>
                </c:pt>
                <c:pt idx="77">
                  <c:v>186.97846357505659</c:v>
                </c:pt>
                <c:pt idx="78">
                  <c:v>191.54096733406013</c:v>
                </c:pt>
                <c:pt idx="79">
                  <c:v>196.1009410197469</c:v>
                </c:pt>
                <c:pt idx="80">
                  <c:v>200.65845189771687</c:v>
                </c:pt>
                <c:pt idx="81">
                  <c:v>192.61412738977916</c:v>
                </c:pt>
                <c:pt idx="82">
                  <c:v>196.63724533165635</c:v>
                </c:pt>
                <c:pt idx="83">
                  <c:v>200.65845189771684</c:v>
                </c:pt>
                <c:pt idx="84">
                  <c:v>204.6777908882267</c:v>
                </c:pt>
                <c:pt idx="85">
                  <c:v>208.6953042388391</c:v>
                </c:pt>
                <c:pt idx="86">
                  <c:v>200.9264654591816</c:v>
                </c:pt>
                <c:pt idx="87">
                  <c:v>205.2135639219039</c:v>
                </c:pt>
                <c:pt idx="88">
                  <c:v>209.49859139809257</c:v>
                </c:pt>
                <c:pt idx="89">
                  <c:v>213.78159631913351</c:v>
                </c:pt>
                <c:pt idx="90">
                  <c:v>218.06262501321623</c:v>
                </c:pt>
                <c:pt idx="91">
                  <c:v>209.76633796921715</c:v>
                </c:pt>
                <c:pt idx="92">
                  <c:v>213.51396687937299</c:v>
                </c:pt>
                <c:pt idx="93">
                  <c:v>217.26008059869164</c:v>
                </c:pt>
                <c:pt idx="94">
                  <c:v>221.00470900086501</c:v>
                </c:pt>
                <c:pt idx="95">
                  <c:v>224.747880862334</c:v>
                </c:pt>
                <c:pt idx="96">
                  <c:v>216.72501311831573</c:v>
                </c:pt>
                <c:pt idx="97">
                  <c:v>220.73728418197564</c:v>
                </c:pt>
                <c:pt idx="98">
                  <c:v>224.74788086233397</c:v>
                </c:pt>
                <c:pt idx="99">
                  <c:v>228.75683732102837</c:v>
                </c:pt>
                <c:pt idx="100">
                  <c:v>232.76418642204786</c:v>
                </c:pt>
                <c:pt idx="101">
                  <c:v>224.74788086233397</c:v>
                </c:pt>
                <c:pt idx="102">
                  <c:v>228.75683732102837</c:v>
                </c:pt>
                <c:pt idx="103">
                  <c:v>232.76418642204783</c:v>
                </c:pt>
                <c:pt idx="104">
                  <c:v>236.76995980303874</c:v>
                </c:pt>
                <c:pt idx="105">
                  <c:v>240.7741879415245</c:v>
                </c:pt>
                <c:pt idx="106">
                  <c:v>231.4285800062448</c:v>
                </c:pt>
                <c:pt idx="107">
                  <c:v>235.4348751848735</c:v>
                </c:pt>
                <c:pt idx="108">
                  <c:v>239.4396150868331</c:v>
                </c:pt>
                <c:pt idx="109">
                  <c:v>243.44282945071109</c:v>
                </c:pt>
                <c:pt idx="110">
                  <c:v>247.44454695521941</c:v>
                </c:pt>
                <c:pt idx="111">
                  <c:v>238.10487273662932</c:v>
                </c:pt>
                <c:pt idx="112">
                  <c:v>242.10859237550062</c:v>
                </c:pt>
                <c:pt idx="113">
                  <c:v>246.11080570974036</c:v>
                </c:pt>
                <c:pt idx="114">
                  <c:v>250.11154074210015</c:v>
                </c:pt>
                <c:pt idx="115">
                  <c:v>254.11082450457027</c:v>
                </c:pt>
                <c:pt idx="116">
                  <c:v>244.77690021648286</c:v>
                </c:pt>
                <c:pt idx="117">
                  <c:v>248.77812496567788</c:v>
                </c:pt>
                <c:pt idx="118">
                  <c:v>252.77788953910442</c:v>
                </c:pt>
                <c:pt idx="119">
                  <c:v>256.77622034886826</c:v>
                </c:pt>
                <c:pt idx="120">
                  <c:v>260.77314291579108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8.8464909557520901</c:v>
                </c:pt>
                <c:pt idx="2">
                  <c:v>17.303572811012511</c:v>
                </c:pt>
                <c:pt idx="3">
                  <c:v>25.634895073928181</c:v>
                </c:pt>
                <c:pt idx="4">
                  <c:v>33.888696198019623</c:v>
                </c:pt>
                <c:pt idx="5">
                  <c:v>42.086839431783375</c:v>
                </c:pt>
                <c:pt idx="6">
                  <c:v>50.241796484978039</c:v>
                </c:pt>
                <c:pt idx="7">
                  <c:v>58.361607386659266</c:v>
                </c:pt>
                <c:pt idx="8">
                  <c:v>66.451872334484463</c:v>
                </c:pt>
                <c:pt idx="9">
                  <c:v>74.51670754497205</c:v>
                </c:pt>
                <c:pt idx="10">
                  <c:v>82.559260857996719</c:v>
                </c:pt>
                <c:pt idx="11">
                  <c:v>90.582014114042082</c:v>
                </c:pt>
                <c:pt idx="12">
                  <c:v>98.586972028011871</c:v>
                </c:pt>
                <c:pt idx="13">
                  <c:v>106.5757861427755</c:v>
                </c:pt>
                <c:pt idx="14">
                  <c:v>114.54983948410518</c:v>
                </c:pt>
                <c:pt idx="15">
                  <c:v>122.51030630712535</c:v>
                </c:pt>
                <c:pt idx="16">
                  <c:v>130.45819544187259</c:v>
                </c:pt>
                <c:pt idx="17">
                  <c:v>138.39438248722183</c:v>
                </c:pt>
                <c:pt idx="18">
                  <c:v>146.31963421121341</c:v>
                </c:pt>
                <c:pt idx="19">
                  <c:v>154.23462737363312</c:v>
                </c:pt>
                <c:pt idx="20">
                  <c:v>162.13996347289819</c:v>
                </c:pt>
                <c:pt idx="21">
                  <c:v>170.03618045975017</c:v>
                </c:pt>
                <c:pt idx="22">
                  <c:v>177.92376215655057</c:v>
                </c:pt>
                <c:pt idx="23">
                  <c:v>185.80314591556689</c:v>
                </c:pt>
                <c:pt idx="24">
                  <c:v>193.67472890780064</c:v>
                </c:pt>
                <c:pt idx="25">
                  <c:v>201.53887333414332</c:v>
                </c:pt>
                <c:pt idx="26">
                  <c:v>209.39591077927696</c:v>
                </c:pt>
                <c:pt idx="27">
                  <c:v>217.2461458769034</c:v>
                </c:pt>
                <c:pt idx="28">
                  <c:v>225.08985941671213</c:v>
                </c:pt>
                <c:pt idx="29">
                  <c:v>232.92731099502291</c:v>
                </c:pt>
                <c:pt idx="30">
                  <c:v>240.7587412895509</c:v>
                </c:pt>
                <c:pt idx="31">
                  <c:v>248.58437402234924</c:v>
                </c:pt>
                <c:pt idx="32">
                  <c:v>256.40441766235483</c:v>
                </c:pt>
                <c:pt idx="33">
                  <c:v>264.21906690913573</c:v>
                </c:pt>
                <c:pt idx="34">
                  <c:v>272.02850399173889</c:v>
                </c:pt>
                <c:pt idx="35">
                  <c:v>279.83289981043765</c:v>
                </c:pt>
                <c:pt idx="36">
                  <c:v>287.63241494432572</c:v>
                </c:pt>
                <c:pt idx="37">
                  <c:v>295.42720054381022</c:v>
                </c:pt>
                <c:pt idx="38">
                  <c:v>303.21739912390404</c:v>
                </c:pt>
                <c:pt idx="39">
                  <c:v>311.00314527166626</c:v>
                </c:pt>
                <c:pt idx="40">
                  <c:v>318.78456627904137</c:v>
                </c:pt>
                <c:pt idx="41">
                  <c:v>326.56178271063499</c:v>
                </c:pt>
                <c:pt idx="42">
                  <c:v>334.33490891453494</c:v>
                </c:pt>
                <c:pt idx="43">
                  <c:v>342.10405348311491</c:v>
                </c:pt>
                <c:pt idx="44">
                  <c:v>349.86931966976226</c:v>
                </c:pt>
                <c:pt idx="45">
                  <c:v>357.63080576665556</c:v>
                </c:pt>
                <c:pt idx="46">
                  <c:v>365.388605448014</c:v>
                </c:pt>
                <c:pt idx="47">
                  <c:v>373.14280808265738</c:v>
                </c:pt>
                <c:pt idx="48">
                  <c:v>380.89349901921491</c:v>
                </c:pt>
                <c:pt idx="49">
                  <c:v>388.64075984689515</c:v>
                </c:pt>
                <c:pt idx="50">
                  <c:v>396.38466863436787</c:v>
                </c:pt>
                <c:pt idx="51">
                  <c:v>404.12530014899545</c:v>
                </c:pt>
                <c:pt idx="52">
                  <c:v>243.00679329612822</c:v>
                </c:pt>
                <c:pt idx="53">
                  <c:v>256.09037952376985</c:v>
                </c:pt>
                <c:pt idx="54">
                  <c:v>269.15884737867697</c:v>
                </c:pt>
                <c:pt idx="55">
                  <c:v>282.21303454018255</c:v>
                </c:pt>
                <c:pt idx="56">
                  <c:v>295.25369482966408</c:v>
                </c:pt>
                <c:pt idx="57">
                  <c:v>308.28151001738462</c:v>
                </c:pt>
                <c:pt idx="58">
                  <c:v>321.29709952785942</c:v>
                </c:pt>
                <c:pt idx="59">
                  <c:v>334.30102848950258</c:v>
                </c:pt>
                <c:pt idx="60">
                  <c:v>347.2938144657457</c:v>
                </c:pt>
                <c:pt idx="61">
                  <c:v>360.27593312585913</c:v>
                </c:pt>
                <c:pt idx="62">
                  <c:v>270.79703667962025</c:v>
                </c:pt>
                <c:pt idx="63">
                  <c:v>282.84435609647596</c:v>
                </c:pt>
                <c:pt idx="64">
                  <c:v>294.88018287968566</c:v>
                </c:pt>
                <c:pt idx="65">
                  <c:v>306.90505238979614</c:v>
                </c:pt>
                <c:pt idx="66">
                  <c:v>318.91945459246426</c:v>
                </c:pt>
                <c:pt idx="67">
                  <c:v>330.92383950930258</c:v>
                </c:pt>
                <c:pt idx="68">
                  <c:v>342.91862183607765</c:v>
                </c:pt>
                <c:pt idx="69">
                  <c:v>354.90418488072902</c:v>
                </c:pt>
                <c:pt idx="70">
                  <c:v>366.88088394144347</c:v>
                </c:pt>
                <c:pt idx="71">
                  <c:v>378.84904922045786</c:v>
                </c:pt>
                <c:pt idx="72">
                  <c:v>390.80898835034759</c:v>
                </c:pt>
                <c:pt idx="73">
                  <c:v>402.76098859486609</c:v>
                </c:pt>
                <c:pt idx="74">
                  <c:v>310.77912179652327</c:v>
                </c:pt>
                <c:pt idx="75">
                  <c:v>321.90958893090192</c:v>
                </c:pt>
                <c:pt idx="76">
                  <c:v>333.03154610648761</c:v>
                </c:pt>
                <c:pt idx="77">
                  <c:v>344.14531769432386</c:v>
                </c:pt>
                <c:pt idx="78">
                  <c:v>355.25120539665227</c:v>
                </c:pt>
                <c:pt idx="79">
                  <c:v>366.34949050546987</c:v>
                </c:pt>
                <c:pt idx="80">
                  <c:v>377.44043587301621</c:v>
                </c:pt>
                <c:pt idx="81">
                  <c:v>388.52428763849611</c:v>
                </c:pt>
                <c:pt idx="82">
                  <c:v>399.60127674742472</c:v>
                </c:pt>
                <c:pt idx="83">
                  <c:v>410.67162029368404</c:v>
                </c:pt>
                <c:pt idx="84">
                  <c:v>421.73552270929196</c:v>
                </c:pt>
                <c:pt idx="85">
                  <c:v>432.79317682279242</c:v>
                </c:pt>
                <c:pt idx="86">
                  <c:v>347.55507847487706</c:v>
                </c:pt>
                <c:pt idx="87">
                  <c:v>357.73505677049843</c:v>
                </c:pt>
                <c:pt idx="88">
                  <c:v>367.90869587276711</c:v>
                </c:pt>
                <c:pt idx="89">
                  <c:v>378.07619586602806</c:v>
                </c:pt>
                <c:pt idx="90">
                  <c:v>388.23774519032082</c:v>
                </c:pt>
                <c:pt idx="91">
                  <c:v>398.39352161264304</c:v>
                </c:pt>
                <c:pt idx="92">
                  <c:v>408.54369309398299</c:v>
                </c:pt>
                <c:pt idx="93">
                  <c:v>418.68841856567104</c:v>
                </c:pt>
                <c:pt idx="94">
                  <c:v>428.82784862654739</c:v>
                </c:pt>
                <c:pt idx="95">
                  <c:v>438.96212617074298</c:v>
                </c:pt>
                <c:pt idx="96">
                  <c:v>449.09138695445449</c:v>
                </c:pt>
                <c:pt idx="97">
                  <c:v>459.21576010891323</c:v>
                </c:pt>
                <c:pt idx="98">
                  <c:v>378.209162331713</c:v>
                </c:pt>
                <c:pt idx="99">
                  <c:v>387.36480059909928</c:v>
                </c:pt>
                <c:pt idx="100">
                  <c:v>396.51574057777526</c:v>
                </c:pt>
                <c:pt idx="101">
                  <c:v>405.6621060387227</c:v>
                </c:pt>
                <c:pt idx="102">
                  <c:v>414.80401471367298</c:v>
                </c:pt>
                <c:pt idx="103">
                  <c:v>423.94157871927513</c:v>
                </c:pt>
                <c:pt idx="104">
                  <c:v>433.0749049427771</c:v>
                </c:pt>
                <c:pt idx="105">
                  <c:v>442.20409539346821</c:v>
                </c:pt>
                <c:pt idx="106">
                  <c:v>451.32924752357991</c:v>
                </c:pt>
                <c:pt idx="107">
                  <c:v>460.45045452187622</c:v>
                </c:pt>
                <c:pt idx="108">
                  <c:v>469.567805582765</c:v>
                </c:pt>
                <c:pt idx="109">
                  <c:v>478.6813861534161</c:v>
                </c:pt>
                <c:pt idx="110">
                  <c:v>395.20068110200162</c:v>
                </c:pt>
                <c:pt idx="111">
                  <c:v>403.39834364064762</c:v>
                </c:pt>
                <c:pt idx="112">
                  <c:v>411.59240379298285</c:v>
                </c:pt>
                <c:pt idx="113">
                  <c:v>419.78294343103568</c:v>
                </c:pt>
                <c:pt idx="114">
                  <c:v>427.97004096956312</c:v>
                </c:pt>
                <c:pt idx="115">
                  <c:v>436.15377157683184</c:v>
                </c:pt>
                <c:pt idx="116">
                  <c:v>444.33420736875161</c:v>
                </c:pt>
                <c:pt idx="117">
                  <c:v>452.51141758795944</c:v>
                </c:pt>
                <c:pt idx="118">
                  <c:v>460.68546876928417</c:v>
                </c:pt>
                <c:pt idx="119">
                  <c:v>468.85642489285124</c:v>
                </c:pt>
                <c:pt idx="120">
                  <c:v>477.02434752595531</c:v>
                </c:pt>
                <c:pt idx="121">
                  <c:v>485.18929595470814</c:v>
                </c:pt>
                <c:pt idx="122">
                  <c:v>254.46571105530847</c:v>
                </c:pt>
                <c:pt idx="123">
                  <c:v>260.23198096229737</c:v>
                </c:pt>
                <c:pt idx="124">
                  <c:v>265.99536493740356</c:v>
                </c:pt>
                <c:pt idx="125">
                  <c:v>271.75593442925316</c:v>
                </c:pt>
                <c:pt idx="126">
                  <c:v>277.5137576056257</c:v>
                </c:pt>
                <c:pt idx="127">
                  <c:v>283.26889957059507</c:v>
                </c:pt>
                <c:pt idx="128">
                  <c:v>289.02142256308201</c:v>
                </c:pt>
                <c:pt idx="129">
                  <c:v>294.77138613875337</c:v>
                </c:pt>
                <c:pt idx="130">
                  <c:v>300.51884733697273</c:v>
                </c:pt>
                <c:pt idx="131">
                  <c:v>306.26386083429691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2" zoomScale="80" zoomScaleNormal="80" workbookViewId="0">
      <selection activeCell="B13" activeCellId="3" sqref="B14 B9 B10 B13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15.6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14</v>
      </c>
      <c r="C9" s="32">
        <v>0.30769230769230776</v>
      </c>
      <c r="D9" s="33">
        <f t="shared" ref="D9:D18" si="0">C9*$C$5</f>
        <v>4.8000000000000007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6</v>
      </c>
      <c r="C10" s="32">
        <v>0.10256410256410257</v>
      </c>
      <c r="D10" s="33">
        <f t="shared" si="0"/>
        <v>1.6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35</v>
      </c>
      <c r="C11" s="32">
        <v>0.29230769230769232</v>
      </c>
      <c r="D11" s="33">
        <f t="shared" si="0"/>
        <v>4.5600000000000005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13</v>
      </c>
      <c r="C12" s="32">
        <v>2.5641025641025644E-2</v>
      </c>
      <c r="D12" s="33">
        <f t="shared" si="0"/>
        <v>0.4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21</v>
      </c>
      <c r="C13" s="32">
        <v>2.5641025641025644E-2</v>
      </c>
      <c r="D13" s="33">
        <f t="shared" si="0"/>
        <v>0.4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 t="s">
        <v>1</v>
      </c>
      <c r="C14" s="32">
        <v>2.5641025641025644E-2</v>
      </c>
      <c r="D14" s="33">
        <f t="shared" si="0"/>
        <v>0.4</v>
      </c>
      <c r="E14" s="34">
        <v>120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 t="s">
        <v>164</v>
      </c>
      <c r="C15" s="32">
        <v>0.22051282051282051</v>
      </c>
      <c r="D15" s="33">
        <f t="shared" si="0"/>
        <v>3.44</v>
      </c>
      <c r="E15" s="34">
        <v>131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1.0000000000000002</v>
      </c>
      <c r="D19" s="38">
        <f>SUM(D9:D18)</f>
        <v>15.600000000000001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sessile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42</v>
      </c>
      <c r="B36" s="60">
        <v>171.96</v>
      </c>
      <c r="C36" s="60">
        <v>1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50</v>
      </c>
      <c r="B37" s="60">
        <v>208.33</v>
      </c>
      <c r="C37" s="60">
        <v>2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58</v>
      </c>
      <c r="B38" s="60">
        <v>253.7</v>
      </c>
      <c r="C38" s="60">
        <v>3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66</v>
      </c>
      <c r="B39" s="60">
        <v>286.77</v>
      </c>
      <c r="C39" s="60">
        <v>4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74</v>
      </c>
      <c r="B40" s="60">
        <v>310.95999999999998</v>
      </c>
      <c r="C40" s="60">
        <v>5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84</v>
      </c>
      <c r="B41" s="60">
        <v>355.09</v>
      </c>
      <c r="C41" s="60">
        <v>6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94</v>
      </c>
      <c r="B42" s="60">
        <v>380.13</v>
      </c>
      <c r="C42" s="60">
        <v>7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104</v>
      </c>
      <c r="B43" s="60">
        <v>402.2</v>
      </c>
      <c r="C43" s="60">
        <v>8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114</v>
      </c>
      <c r="B44" s="60">
        <v>424.56</v>
      </c>
      <c r="C44" s="60">
        <v>9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124</v>
      </c>
      <c r="B45" s="60">
        <v>451.86</v>
      </c>
      <c r="C45" s="60">
        <v>10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134</v>
      </c>
      <c r="B46" s="60">
        <v>484.28</v>
      </c>
      <c r="C46" s="60">
        <v>11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144</v>
      </c>
      <c r="B47" s="60">
        <v>514.94000000000005</v>
      </c>
      <c r="C47" s="60">
        <v>12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154</v>
      </c>
      <c r="B48" s="60">
        <v>546.49</v>
      </c>
      <c r="C48" s="60">
        <v>13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164</v>
      </c>
      <c r="B49" s="60">
        <v>580.32000000000005</v>
      </c>
      <c r="C49" s="60">
        <v>14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174</v>
      </c>
      <c r="B50" s="50">
        <v>610.52</v>
      </c>
      <c r="C50" s="50">
        <v>15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177</v>
      </c>
      <c r="B51" s="50">
        <v>388.94</v>
      </c>
      <c r="C51" s="50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180</v>
      </c>
      <c r="B52" s="50">
        <v>271.56</v>
      </c>
      <c r="C52" s="50">
        <v>17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>
        <v>183</v>
      </c>
      <c r="B53" s="50">
        <v>191.47</v>
      </c>
      <c r="C53" s="50">
        <v>18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Charme</v>
      </c>
      <c r="C58" s="23" t="s">
        <v>325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25</v>
      </c>
      <c r="B62" s="60">
        <v>70</v>
      </c>
      <c r="C62" s="60">
        <v>1</v>
      </c>
      <c r="D62" s="60">
        <v>8</v>
      </c>
      <c r="E62" s="51">
        <v>0</v>
      </c>
      <c r="F62" s="51">
        <v>0.25</v>
      </c>
      <c r="G62" s="51">
        <v>0.25</v>
      </c>
      <c r="H62" s="51">
        <v>0.5</v>
      </c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30</v>
      </c>
      <c r="B63" s="60">
        <v>97</v>
      </c>
      <c r="C63" s="60">
        <v>2</v>
      </c>
      <c r="D63" s="60">
        <v>21</v>
      </c>
      <c r="E63" s="51">
        <v>0</v>
      </c>
      <c r="F63" s="51">
        <v>0.25</v>
      </c>
      <c r="G63" s="51">
        <v>0.25</v>
      </c>
      <c r="H63" s="51">
        <v>0.5</v>
      </c>
      <c r="I63" s="49">
        <f>IF(A63&lt;&gt;0,(B63-(B62-D62))/(A63-A62),"")</f>
        <v>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35</v>
      </c>
      <c r="B64" s="60">
        <v>116</v>
      </c>
      <c r="C64" s="60">
        <v>3</v>
      </c>
      <c r="D64" s="60">
        <v>21</v>
      </c>
      <c r="E64" s="51">
        <v>0</v>
      </c>
      <c r="F64" s="51">
        <v>0.25</v>
      </c>
      <c r="G64" s="51">
        <v>0.25</v>
      </c>
      <c r="H64" s="51">
        <v>0.5</v>
      </c>
      <c r="I64" s="49">
        <f>IF(A64&lt;&gt;0,(B64-(B63-D63))/(A64-A63),"")</f>
        <v>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40</v>
      </c>
      <c r="B65" s="60">
        <v>137</v>
      </c>
      <c r="C65" s="60">
        <v>4</v>
      </c>
      <c r="D65" s="60">
        <v>21</v>
      </c>
      <c r="E65" s="51">
        <v>0</v>
      </c>
      <c r="F65" s="51">
        <v>0.25</v>
      </c>
      <c r="G65" s="51">
        <v>0.25</v>
      </c>
      <c r="H65" s="51">
        <v>0.5</v>
      </c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45</v>
      </c>
      <c r="B66" s="60">
        <v>158</v>
      </c>
      <c r="C66" s="60">
        <v>5</v>
      </c>
      <c r="D66" s="60">
        <v>21</v>
      </c>
      <c r="E66" s="51">
        <v>0</v>
      </c>
      <c r="F66" s="51">
        <v>0.25</v>
      </c>
      <c r="G66" s="51">
        <v>0.25</v>
      </c>
      <c r="H66" s="51">
        <v>0.5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50</v>
      </c>
      <c r="B67" s="60">
        <v>178</v>
      </c>
      <c r="C67" s="60">
        <v>6</v>
      </c>
      <c r="D67" s="60">
        <v>21</v>
      </c>
      <c r="E67" s="51">
        <v>0</v>
      </c>
      <c r="F67" s="51">
        <v>0.25</v>
      </c>
      <c r="G67" s="51">
        <v>0.25</v>
      </c>
      <c r="H67" s="51">
        <v>0.5</v>
      </c>
      <c r="I67" s="49">
        <f t="shared" si="2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55</v>
      </c>
      <c r="B68" s="60">
        <v>197</v>
      </c>
      <c r="C68" s="60">
        <v>7</v>
      </c>
      <c r="D68" s="60">
        <v>21</v>
      </c>
      <c r="E68" s="51">
        <v>0</v>
      </c>
      <c r="F68" s="51">
        <v>0.25</v>
      </c>
      <c r="G68" s="51">
        <v>0.25</v>
      </c>
      <c r="H68" s="51">
        <v>0.5</v>
      </c>
      <c r="I68" s="49">
        <f t="shared" si="2"/>
        <v>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60</v>
      </c>
      <c r="B69" s="50">
        <v>214</v>
      </c>
      <c r="C69" s="50">
        <v>8</v>
      </c>
      <c r="D69" s="50">
        <v>21</v>
      </c>
      <c r="E69" s="51">
        <v>0</v>
      </c>
      <c r="F69" s="51">
        <v>0.25</v>
      </c>
      <c r="G69" s="51">
        <v>0.25</v>
      </c>
      <c r="H69" s="51">
        <v>0.5</v>
      </c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65</v>
      </c>
      <c r="B70" s="50">
        <v>229</v>
      </c>
      <c r="C70" s="50">
        <v>9</v>
      </c>
      <c r="D70" s="50">
        <v>21</v>
      </c>
      <c r="E70" s="51">
        <v>0</v>
      </c>
      <c r="F70" s="51">
        <v>0.25</v>
      </c>
      <c r="G70" s="51">
        <v>0.25</v>
      </c>
      <c r="H70" s="51">
        <v>0.5</v>
      </c>
      <c r="I70" s="49">
        <f t="shared" si="2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70</v>
      </c>
      <c r="B71" s="50">
        <v>242</v>
      </c>
      <c r="C71" s="50">
        <v>10</v>
      </c>
      <c r="D71" s="50">
        <v>21</v>
      </c>
      <c r="E71" s="51">
        <v>0.25</v>
      </c>
      <c r="F71" s="51">
        <v>0.25</v>
      </c>
      <c r="G71" s="51">
        <v>0.25</v>
      </c>
      <c r="H71" s="51">
        <v>0.25</v>
      </c>
      <c r="I71" s="49">
        <f t="shared" si="2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75</v>
      </c>
      <c r="B72" s="50">
        <v>252</v>
      </c>
      <c r="C72" s="50">
        <v>11</v>
      </c>
      <c r="D72" s="50">
        <v>21</v>
      </c>
      <c r="E72" s="51">
        <v>0.25</v>
      </c>
      <c r="F72" s="51">
        <v>0.25</v>
      </c>
      <c r="G72" s="51">
        <v>0.25</v>
      </c>
      <c r="H72" s="51">
        <v>0.25</v>
      </c>
      <c r="I72" s="49">
        <f t="shared" si="2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80</v>
      </c>
      <c r="B73" s="50">
        <v>261</v>
      </c>
      <c r="C73" s="50">
        <v>12</v>
      </c>
      <c r="D73" s="50">
        <v>21</v>
      </c>
      <c r="E73" s="51">
        <v>0.25</v>
      </c>
      <c r="F73" s="51">
        <v>0.25</v>
      </c>
      <c r="G73" s="51">
        <v>0.25</v>
      </c>
      <c r="H73" s="51">
        <v>0.25</v>
      </c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85</v>
      </c>
      <c r="B74" s="50">
        <v>269</v>
      </c>
      <c r="C74" s="50">
        <v>13</v>
      </c>
      <c r="D74" s="50">
        <v>21</v>
      </c>
      <c r="E74" s="51">
        <v>0.25</v>
      </c>
      <c r="F74" s="51">
        <v>0.25</v>
      </c>
      <c r="G74" s="51">
        <v>0.25</v>
      </c>
      <c r="H74" s="51">
        <v>0.25</v>
      </c>
      <c r="I74" s="49">
        <f t="shared" si="2"/>
        <v>5.8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90</v>
      </c>
      <c r="B75" s="50">
        <v>275</v>
      </c>
      <c r="C75" s="50">
        <v>14</v>
      </c>
      <c r="D75" s="50">
        <v>21</v>
      </c>
      <c r="E75" s="51">
        <v>0.25</v>
      </c>
      <c r="F75" s="51">
        <v>0.25</v>
      </c>
      <c r="G75" s="51">
        <v>0.25</v>
      </c>
      <c r="H75" s="51">
        <v>0.25</v>
      </c>
      <c r="I75" s="49">
        <f t="shared" si="2"/>
        <v>5.4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>
        <v>95</v>
      </c>
      <c r="B76" s="50">
        <v>279</v>
      </c>
      <c r="C76" s="50">
        <v>15</v>
      </c>
      <c r="D76" s="50">
        <v>21</v>
      </c>
      <c r="E76" s="51">
        <v>0.25</v>
      </c>
      <c r="F76" s="51">
        <v>0.25</v>
      </c>
      <c r="G76" s="51">
        <v>0.25</v>
      </c>
      <c r="H76" s="51">
        <v>0.25</v>
      </c>
      <c r="I76" s="49">
        <f t="shared" si="2"/>
        <v>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>
        <v>100</v>
      </c>
      <c r="B77" s="50">
        <v>282</v>
      </c>
      <c r="C77" s="50">
        <v>16</v>
      </c>
      <c r="D77" s="50">
        <v>21</v>
      </c>
      <c r="E77" s="51">
        <v>0.25</v>
      </c>
      <c r="F77" s="51">
        <v>0.25</v>
      </c>
      <c r="G77" s="51">
        <v>0.25</v>
      </c>
      <c r="H77" s="51">
        <v>0.25</v>
      </c>
      <c r="I77" s="49">
        <f t="shared" si="2"/>
        <v>4.8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>
        <v>105</v>
      </c>
      <c r="B78" s="50">
        <v>284</v>
      </c>
      <c r="C78" s="50">
        <v>17</v>
      </c>
      <c r="D78" s="50">
        <v>20</v>
      </c>
      <c r="E78" s="51">
        <v>0.25</v>
      </c>
      <c r="F78" s="51">
        <v>0.25</v>
      </c>
      <c r="G78" s="51">
        <v>0.25</v>
      </c>
      <c r="H78" s="51">
        <v>0.25</v>
      </c>
      <c r="I78" s="49">
        <f t="shared" si="2"/>
        <v>4.5999999999999996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>
        <v>110</v>
      </c>
      <c r="B79" s="50">
        <v>285</v>
      </c>
      <c r="C79" s="50">
        <v>18</v>
      </c>
      <c r="D79" s="50">
        <v>19</v>
      </c>
      <c r="E79" s="51">
        <v>0.25</v>
      </c>
      <c r="F79" s="51">
        <v>0.25</v>
      </c>
      <c r="G79" s="51">
        <v>0.25</v>
      </c>
      <c r="H79" s="51">
        <v>0.25</v>
      </c>
      <c r="I79" s="49">
        <f t="shared" si="2"/>
        <v>4.2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>
        <v>115</v>
      </c>
      <c r="B80" s="50">
        <v>285</v>
      </c>
      <c r="C80" s="50">
        <v>19</v>
      </c>
      <c r="D80" s="50">
        <v>18</v>
      </c>
      <c r="E80" s="51">
        <v>0.25</v>
      </c>
      <c r="F80" s="51">
        <v>0.25</v>
      </c>
      <c r="G80" s="51">
        <v>0.25</v>
      </c>
      <c r="H80" s="51">
        <v>0.25</v>
      </c>
      <c r="I80" s="49">
        <f t="shared" si="2"/>
        <v>3.8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>
        <v>120</v>
      </c>
      <c r="B81" s="50">
        <v>285</v>
      </c>
      <c r="C81" s="50">
        <v>20</v>
      </c>
      <c r="D81" s="50">
        <v>285</v>
      </c>
      <c r="E81" s="51">
        <v>0.25</v>
      </c>
      <c r="F81" s="51">
        <v>0.25</v>
      </c>
      <c r="G81" s="51">
        <v>0.25</v>
      </c>
      <c r="H81" s="51">
        <v>0.25</v>
      </c>
      <c r="I81" s="49">
        <f t="shared" si="2"/>
        <v>3.6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Pin laricio</v>
      </c>
      <c r="C84" s="23" t="s">
        <v>324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22</v>
      </c>
      <c r="B88" s="60">
        <v>129.56</v>
      </c>
      <c r="C88" s="60">
        <v>1</v>
      </c>
      <c r="D88" s="60">
        <v>52.620000000000005</v>
      </c>
      <c r="E88" s="51">
        <v>0.25</v>
      </c>
      <c r="F88" s="51">
        <v>0.37</v>
      </c>
      <c r="G88" s="51">
        <v>0.38</v>
      </c>
      <c r="H88" s="87">
        <v>0</v>
      </c>
      <c r="I88" s="53">
        <f>IFERROR(B88/A88,"")</f>
        <v>5.8890909090909096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27</v>
      </c>
      <c r="B89" s="60">
        <v>155.85</v>
      </c>
      <c r="C89" s="60">
        <v>2</v>
      </c>
      <c r="D89" s="60">
        <v>37.929999999999993</v>
      </c>
      <c r="E89" s="51">
        <v>0.25</v>
      </c>
      <c r="F89" s="51">
        <v>0.37</v>
      </c>
      <c r="G89" s="51">
        <v>0.38</v>
      </c>
      <c r="H89" s="87">
        <v>0</v>
      </c>
      <c r="I89" s="53">
        <f t="shared" ref="I89:I107" si="3">IF(A89&lt;&gt;0,(B89-(B88-D88))/(A89-A88),"")</f>
        <v>15.782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33</v>
      </c>
      <c r="B90" s="60">
        <v>217.65</v>
      </c>
      <c r="C90" s="60">
        <v>3</v>
      </c>
      <c r="D90" s="60">
        <v>50.460000000000008</v>
      </c>
      <c r="E90" s="87">
        <v>0.25</v>
      </c>
      <c r="F90" s="87">
        <v>0.37</v>
      </c>
      <c r="G90" s="87">
        <v>0.38</v>
      </c>
      <c r="H90" s="87">
        <v>0</v>
      </c>
      <c r="I90" s="53">
        <f t="shared" si="3"/>
        <v>16.621666666666666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41</v>
      </c>
      <c r="B91" s="60">
        <v>300.74</v>
      </c>
      <c r="C91" s="60">
        <v>4</v>
      </c>
      <c r="D91" s="60">
        <v>72.16</v>
      </c>
      <c r="E91" s="87">
        <v>0.6</v>
      </c>
      <c r="F91" s="87">
        <v>0.2</v>
      </c>
      <c r="G91" s="87">
        <v>0.2</v>
      </c>
      <c r="H91" s="87">
        <v>0</v>
      </c>
      <c r="I91" s="53">
        <f t="shared" si="3"/>
        <v>16.693750000000001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50</v>
      </c>
      <c r="B92" s="60">
        <v>370.01</v>
      </c>
      <c r="C92" s="60">
        <v>5</v>
      </c>
      <c r="D92" s="60">
        <v>70.20999999999998</v>
      </c>
      <c r="E92" s="87">
        <v>0.6</v>
      </c>
      <c r="F92" s="87">
        <v>0.2</v>
      </c>
      <c r="G92" s="87">
        <v>0.2</v>
      </c>
      <c r="H92" s="87">
        <v>0</v>
      </c>
      <c r="I92" s="53">
        <f t="shared" si="3"/>
        <v>15.714444444444442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60</v>
      </c>
      <c r="B93" s="60">
        <v>440.94</v>
      </c>
      <c r="C93" s="60">
        <v>6</v>
      </c>
      <c r="D93" s="60">
        <v>69.839999999999975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14.113999999999999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70</v>
      </c>
      <c r="B94" s="60">
        <v>490.07</v>
      </c>
      <c r="C94" s="60">
        <v>7</v>
      </c>
      <c r="D94" s="60">
        <v>67.88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11.896999999999997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80</v>
      </c>
      <c r="B95" s="60">
        <v>520.03</v>
      </c>
      <c r="C95" s="60">
        <v>8</v>
      </c>
      <c r="D95" s="60">
        <v>520.03</v>
      </c>
      <c r="E95" s="87">
        <v>0.6</v>
      </c>
      <c r="F95" s="87">
        <v>0.2</v>
      </c>
      <c r="G95" s="87">
        <v>0.2</v>
      </c>
      <c r="H95" s="87">
        <v>0</v>
      </c>
      <c r="I95" s="53">
        <f t="shared" si="3"/>
        <v>9.7839999999999971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Chêne rouge d'Amérique</v>
      </c>
      <c r="C110" s="23" t="s">
        <v>326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20</v>
      </c>
      <c r="B114" s="60">
        <v>69.230769230769226</v>
      </c>
      <c r="C114" s="50">
        <v>1</v>
      </c>
      <c r="D114" s="60">
        <v>26.282051282051281</v>
      </c>
      <c r="E114" s="51">
        <v>0</v>
      </c>
      <c r="F114" s="51">
        <v>0.5</v>
      </c>
      <c r="G114" s="51">
        <v>0</v>
      </c>
      <c r="H114" s="51">
        <v>0.5</v>
      </c>
      <c r="I114" s="53">
        <f>IFERROR(B114/A114,"")</f>
        <v>3.4615384615384612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25</v>
      </c>
      <c r="B115" s="60">
        <v>72.435897435897431</v>
      </c>
      <c r="C115" s="50">
        <v>2</v>
      </c>
      <c r="D115" s="60">
        <v>14.743589743589743</v>
      </c>
      <c r="E115" s="51">
        <v>0</v>
      </c>
      <c r="F115" s="51">
        <v>0.5</v>
      </c>
      <c r="G115" s="51">
        <v>0</v>
      </c>
      <c r="H115" s="51">
        <v>0.5</v>
      </c>
      <c r="I115" s="53">
        <f t="shared" ref="I115:I133" si="4">IF(A115&lt;&gt;0,(B115-(B114-D114))/(A115-A114),"")</f>
        <v>5.8974358974358978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30</v>
      </c>
      <c r="B116" s="60">
        <v>86.538461538461533</v>
      </c>
      <c r="C116" s="50">
        <v>3</v>
      </c>
      <c r="D116" s="60">
        <v>15.384615384615383</v>
      </c>
      <c r="E116" s="51">
        <v>0</v>
      </c>
      <c r="F116" s="51">
        <v>0.5</v>
      </c>
      <c r="G116" s="51">
        <v>0</v>
      </c>
      <c r="H116" s="51">
        <v>0.5</v>
      </c>
      <c r="I116" s="53">
        <f t="shared" si="4"/>
        <v>5.7692307692307692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35</v>
      </c>
      <c r="B117" s="60">
        <v>98.07692307692308</v>
      </c>
      <c r="C117" s="50">
        <v>4</v>
      </c>
      <c r="D117" s="60">
        <v>15.384615384615383</v>
      </c>
      <c r="E117" s="51">
        <v>0</v>
      </c>
      <c r="F117" s="51">
        <v>0.5</v>
      </c>
      <c r="G117" s="51">
        <v>0</v>
      </c>
      <c r="H117" s="51">
        <v>0.5</v>
      </c>
      <c r="I117" s="53">
        <f t="shared" si="4"/>
        <v>5.3846153846153868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40</v>
      </c>
      <c r="B118" s="60">
        <v>107.69230769230768</v>
      </c>
      <c r="C118" s="50">
        <v>5</v>
      </c>
      <c r="D118" s="60">
        <v>14.743589743589743</v>
      </c>
      <c r="E118" s="51">
        <v>0</v>
      </c>
      <c r="F118" s="51">
        <v>0.5</v>
      </c>
      <c r="G118" s="51">
        <v>0</v>
      </c>
      <c r="H118" s="51">
        <v>0.5</v>
      </c>
      <c r="I118" s="53">
        <f t="shared" si="4"/>
        <v>4.9999999999999973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45</v>
      </c>
      <c r="B119" s="60">
        <v>115.38461538461539</v>
      </c>
      <c r="C119" s="50">
        <v>6</v>
      </c>
      <c r="D119" s="60">
        <v>14.102564102564102</v>
      </c>
      <c r="E119" s="51">
        <v>0</v>
      </c>
      <c r="F119" s="51">
        <v>0.5</v>
      </c>
      <c r="G119" s="51">
        <v>0</v>
      </c>
      <c r="H119" s="51">
        <v>0.5</v>
      </c>
      <c r="I119" s="53">
        <f t="shared" si="4"/>
        <v>4.487179487179489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50</v>
      </c>
      <c r="B120" s="60">
        <v>122.43589743589743</v>
      </c>
      <c r="C120" s="60">
        <v>7</v>
      </c>
      <c r="D120" s="60">
        <v>13.461538461538462</v>
      </c>
      <c r="E120" s="87">
        <v>0</v>
      </c>
      <c r="F120" s="87">
        <v>0.5</v>
      </c>
      <c r="G120" s="87">
        <v>0</v>
      </c>
      <c r="H120" s="87">
        <v>0.5</v>
      </c>
      <c r="I120" s="53">
        <f t="shared" si="4"/>
        <v>4.2307692307692291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55</v>
      </c>
      <c r="B121" s="60">
        <v>128.84615384615384</v>
      </c>
      <c r="C121" s="60">
        <v>8</v>
      </c>
      <c r="D121" s="60">
        <v>12.820512820512819</v>
      </c>
      <c r="E121" s="87">
        <v>0.1</v>
      </c>
      <c r="F121" s="87">
        <v>0.5</v>
      </c>
      <c r="G121" s="87">
        <v>0</v>
      </c>
      <c r="H121" s="87">
        <v>0.4</v>
      </c>
      <c r="I121" s="53">
        <f t="shared" si="4"/>
        <v>3.9743589743589753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60</v>
      </c>
      <c r="B122" s="60">
        <v>132.69230769230768</v>
      </c>
      <c r="C122" s="60">
        <v>9</v>
      </c>
      <c r="D122" s="60">
        <v>11.538461538461538</v>
      </c>
      <c r="E122" s="87">
        <v>0.1</v>
      </c>
      <c r="F122" s="87">
        <v>0.5</v>
      </c>
      <c r="G122" s="87">
        <v>0</v>
      </c>
      <c r="H122" s="87">
        <v>0.4</v>
      </c>
      <c r="I122" s="53">
        <f t="shared" si="4"/>
        <v>3.3333333333333313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65</v>
      </c>
      <c r="B123" s="60">
        <v>137.17948717948718</v>
      </c>
      <c r="C123" s="60">
        <v>10</v>
      </c>
      <c r="D123" s="60">
        <v>10.897435897435898</v>
      </c>
      <c r="E123" s="87">
        <v>0.1</v>
      </c>
      <c r="F123" s="87">
        <v>0.5</v>
      </c>
      <c r="G123" s="87">
        <v>0</v>
      </c>
      <c r="H123" s="87">
        <v>0.4</v>
      </c>
      <c r="I123" s="53">
        <f t="shared" si="4"/>
        <v>3.2051282051282071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70</v>
      </c>
      <c r="B124" s="60">
        <v>141.02564102564102</v>
      </c>
      <c r="C124" s="60">
        <v>11</v>
      </c>
      <c r="D124" s="60">
        <v>10.256410256410255</v>
      </c>
      <c r="E124" s="87">
        <v>0.1</v>
      </c>
      <c r="F124" s="87">
        <v>0.5</v>
      </c>
      <c r="G124" s="87">
        <v>0</v>
      </c>
      <c r="H124" s="87">
        <v>0.4</v>
      </c>
      <c r="I124" s="53">
        <f t="shared" si="4"/>
        <v>2.9487179487179476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75</v>
      </c>
      <c r="B125" s="60">
        <v>142.94871794871796</v>
      </c>
      <c r="C125" s="60">
        <v>12</v>
      </c>
      <c r="D125" s="60">
        <v>8.9743589743589745</v>
      </c>
      <c r="E125" s="87">
        <v>0.1</v>
      </c>
      <c r="F125" s="87">
        <v>0.5</v>
      </c>
      <c r="G125" s="87">
        <v>0</v>
      </c>
      <c r="H125" s="87">
        <v>0.4</v>
      </c>
      <c r="I125" s="53">
        <f t="shared" si="4"/>
        <v>2.4358974358974366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80</v>
      </c>
      <c r="B126" s="60">
        <v>145.51282051282053</v>
      </c>
      <c r="C126" s="60">
        <v>13</v>
      </c>
      <c r="D126" s="60">
        <v>8.3333333333333339</v>
      </c>
      <c r="E126" s="65">
        <v>0.1</v>
      </c>
      <c r="F126" s="65">
        <v>0.5</v>
      </c>
      <c r="G126" s="65">
        <v>0</v>
      </c>
      <c r="H126" s="65">
        <v>0.4</v>
      </c>
      <c r="I126" s="53">
        <f t="shared" si="4"/>
        <v>2.3076923076923093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85</v>
      </c>
      <c r="B127" s="60">
        <v>147.43589743589743</v>
      </c>
      <c r="C127" s="60">
        <v>14</v>
      </c>
      <c r="D127" s="60">
        <v>7.6923076923076916</v>
      </c>
      <c r="E127" s="65">
        <v>0.1</v>
      </c>
      <c r="F127" s="65">
        <v>0.5</v>
      </c>
      <c r="G127" s="65">
        <v>0</v>
      </c>
      <c r="H127" s="65">
        <v>0.4</v>
      </c>
      <c r="I127" s="53">
        <f t="shared" si="4"/>
        <v>2.0512820512820498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>
        <v>90</v>
      </c>
      <c r="B128" s="50">
        <v>149.35897435897434</v>
      </c>
      <c r="C128" s="50">
        <v>15</v>
      </c>
      <c r="D128" s="50">
        <v>7.0512820512820511</v>
      </c>
      <c r="E128" s="54">
        <v>0.1</v>
      </c>
      <c r="F128" s="54">
        <v>0.5</v>
      </c>
      <c r="G128" s="54">
        <v>0</v>
      </c>
      <c r="H128" s="54">
        <v>0.4</v>
      </c>
      <c r="I128" s="53">
        <f t="shared" si="4"/>
        <v>1.9230769230769169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>
        <v>95</v>
      </c>
      <c r="B129" s="50">
        <v>151.28205128205127</v>
      </c>
      <c r="C129" s="50">
        <v>16</v>
      </c>
      <c r="D129" s="50">
        <v>7.0512820512820511</v>
      </c>
      <c r="E129" s="54">
        <v>0.1</v>
      </c>
      <c r="F129" s="54">
        <v>0.5</v>
      </c>
      <c r="G129" s="54">
        <v>0</v>
      </c>
      <c r="H129" s="54">
        <v>0.4</v>
      </c>
      <c r="I129" s="53">
        <f t="shared" si="4"/>
        <v>1.7948717948717956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>
        <v>100</v>
      </c>
      <c r="B130" s="50">
        <v>153.84615384615384</v>
      </c>
      <c r="C130" s="50">
        <v>17</v>
      </c>
      <c r="D130" s="50">
        <v>153.84615384615384</v>
      </c>
      <c r="E130" s="54">
        <v>0.2</v>
      </c>
      <c r="F130" s="54">
        <v>0.4</v>
      </c>
      <c r="G130" s="54">
        <v>0</v>
      </c>
      <c r="H130" s="54">
        <v>0.4</v>
      </c>
      <c r="I130" s="53">
        <f t="shared" si="4"/>
        <v>1.9230769230769227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Erable champêtre</v>
      </c>
      <c r="C136" s="23" t="s">
        <v>328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20</v>
      </c>
      <c r="B140" s="60">
        <v>57</v>
      </c>
      <c r="C140" s="50">
        <v>2</v>
      </c>
      <c r="D140" s="60">
        <v>21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2.85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25</v>
      </c>
      <c r="B141" s="60">
        <v>86</v>
      </c>
      <c r="C141" s="50">
        <v>3</v>
      </c>
      <c r="D141" s="60">
        <v>21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10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30</v>
      </c>
      <c r="B142" s="60">
        <v>114</v>
      </c>
      <c r="C142" s="50">
        <v>4</v>
      </c>
      <c r="D142" s="60">
        <v>21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9.8000000000000007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35</v>
      </c>
      <c r="B143" s="60">
        <v>136</v>
      </c>
      <c r="C143" s="50">
        <v>5</v>
      </c>
      <c r="D143" s="60">
        <v>21</v>
      </c>
      <c r="E143" s="51">
        <v>0</v>
      </c>
      <c r="F143" s="51">
        <v>0.25</v>
      </c>
      <c r="G143" s="51">
        <v>0.25</v>
      </c>
      <c r="H143" s="51">
        <v>0.5</v>
      </c>
      <c r="I143" s="57">
        <f t="shared" si="5"/>
        <v>8.6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40</v>
      </c>
      <c r="B144" s="60">
        <v>153</v>
      </c>
      <c r="C144" s="50">
        <v>6</v>
      </c>
      <c r="D144" s="60">
        <v>21</v>
      </c>
      <c r="E144" s="51">
        <v>0</v>
      </c>
      <c r="F144" s="51">
        <v>0.25</v>
      </c>
      <c r="G144" s="51">
        <v>0.25</v>
      </c>
      <c r="H144" s="51">
        <v>0.5</v>
      </c>
      <c r="I144" s="57">
        <f t="shared" si="5"/>
        <v>7.6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45</v>
      </c>
      <c r="B145" s="60">
        <v>164</v>
      </c>
      <c r="C145" s="50">
        <v>7</v>
      </c>
      <c r="D145" s="60">
        <v>18</v>
      </c>
      <c r="E145" s="51">
        <v>0</v>
      </c>
      <c r="F145" s="51">
        <v>0.25</v>
      </c>
      <c r="G145" s="51">
        <v>0.25</v>
      </c>
      <c r="H145" s="51">
        <v>0.5</v>
      </c>
      <c r="I145" s="57">
        <f t="shared" si="5"/>
        <v>6.4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50</v>
      </c>
      <c r="B146" s="60">
        <v>174</v>
      </c>
      <c r="C146" s="50">
        <v>8</v>
      </c>
      <c r="D146" s="60">
        <v>13</v>
      </c>
      <c r="E146" s="51">
        <v>0.25</v>
      </c>
      <c r="F146" s="51">
        <v>0.25</v>
      </c>
      <c r="G146" s="51">
        <v>0.25</v>
      </c>
      <c r="H146" s="51">
        <v>0.25</v>
      </c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55</v>
      </c>
      <c r="B147" s="60">
        <v>185</v>
      </c>
      <c r="C147" s="50">
        <v>9</v>
      </c>
      <c r="D147" s="60">
        <v>11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4.8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60</v>
      </c>
      <c r="B148" s="60">
        <v>194</v>
      </c>
      <c r="C148" s="50">
        <v>10</v>
      </c>
      <c r="D148" s="60">
        <v>9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65</v>
      </c>
      <c r="B149" s="60">
        <v>202</v>
      </c>
      <c r="C149" s="50">
        <v>11</v>
      </c>
      <c r="D149" s="60">
        <v>8</v>
      </c>
      <c r="E149" s="51">
        <v>0.25</v>
      </c>
      <c r="F149" s="51">
        <v>0.25</v>
      </c>
      <c r="G149" s="51">
        <v>0.25</v>
      </c>
      <c r="H149" s="51">
        <v>0.25</v>
      </c>
      <c r="I149" s="57">
        <f t="shared" si="5"/>
        <v>3.4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70</v>
      </c>
      <c r="B150" s="60">
        <v>209</v>
      </c>
      <c r="C150" s="50">
        <v>12</v>
      </c>
      <c r="D150" s="60">
        <v>8</v>
      </c>
      <c r="E150" s="51">
        <v>0.25</v>
      </c>
      <c r="F150" s="51">
        <v>0.25</v>
      </c>
      <c r="G150" s="51">
        <v>0.25</v>
      </c>
      <c r="H150" s="51">
        <v>0.25</v>
      </c>
      <c r="I150" s="57">
        <f t="shared" si="5"/>
        <v>3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75</v>
      </c>
      <c r="B151" s="60">
        <v>214</v>
      </c>
      <c r="C151" s="50">
        <v>13</v>
      </c>
      <c r="D151" s="60">
        <v>7</v>
      </c>
      <c r="E151" s="51">
        <v>0.25</v>
      </c>
      <c r="F151" s="51">
        <v>0.25</v>
      </c>
      <c r="G151" s="51">
        <v>0.25</v>
      </c>
      <c r="H151" s="51">
        <v>0.25</v>
      </c>
      <c r="I151" s="57">
        <f t="shared" si="5"/>
        <v>2.6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80</v>
      </c>
      <c r="B152" s="60">
        <v>219</v>
      </c>
      <c r="C152" s="50">
        <v>14</v>
      </c>
      <c r="D152" s="60">
        <v>219</v>
      </c>
      <c r="E152" s="54">
        <v>0.25</v>
      </c>
      <c r="F152" s="54">
        <v>0.25</v>
      </c>
      <c r="G152" s="54">
        <v>0.25</v>
      </c>
      <c r="H152" s="54">
        <v>0.25</v>
      </c>
      <c r="I152" s="57">
        <f t="shared" si="5"/>
        <v>2.4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>Alisier torminal</v>
      </c>
      <c r="C162" s="23" t="s">
        <v>327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>
        <v>25</v>
      </c>
      <c r="B166" s="60">
        <v>28.846153846153847</v>
      </c>
      <c r="C166" s="60">
        <v>1</v>
      </c>
      <c r="D166" s="60">
        <v>5.7692307692307692</v>
      </c>
      <c r="E166" s="51">
        <v>0</v>
      </c>
      <c r="F166" s="51">
        <v>0.25</v>
      </c>
      <c r="G166" s="51">
        <v>0.25</v>
      </c>
      <c r="H166" s="51">
        <v>0.5</v>
      </c>
      <c r="I166" s="49">
        <f>IFERROR(B166/A166,"")</f>
        <v>1.153846153846154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>
        <v>30</v>
      </c>
      <c r="B167" s="60">
        <v>33.974358974358978</v>
      </c>
      <c r="C167" s="60">
        <v>2</v>
      </c>
      <c r="D167" s="60">
        <v>5.1282051282051277</v>
      </c>
      <c r="E167" s="51">
        <v>0</v>
      </c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2.1794871794871802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>
        <v>35</v>
      </c>
      <c r="B168" s="60">
        <v>41.025641025641022</v>
      </c>
      <c r="C168" s="60">
        <v>3</v>
      </c>
      <c r="D168" s="60">
        <v>5.7692307692307692</v>
      </c>
      <c r="E168" s="51">
        <v>0</v>
      </c>
      <c r="F168" s="51">
        <v>0.25</v>
      </c>
      <c r="G168" s="51">
        <v>0.25</v>
      </c>
      <c r="H168" s="51">
        <v>0.5</v>
      </c>
      <c r="I168" s="49">
        <f t="shared" si="6"/>
        <v>2.4358974358974343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>
        <v>40</v>
      </c>
      <c r="B169" s="60">
        <v>48.076923076923073</v>
      </c>
      <c r="C169" s="60">
        <v>4</v>
      </c>
      <c r="D169" s="60">
        <v>5.7692307692307692</v>
      </c>
      <c r="E169" s="51">
        <v>0</v>
      </c>
      <c r="F169" s="51">
        <v>0.25</v>
      </c>
      <c r="G169" s="51">
        <v>0.25</v>
      </c>
      <c r="H169" s="51">
        <v>0.5</v>
      </c>
      <c r="I169" s="49">
        <f t="shared" si="6"/>
        <v>2.5641025641025634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>
        <v>45</v>
      </c>
      <c r="B170" s="60">
        <v>54.487179487179482</v>
      </c>
      <c r="C170" s="60">
        <v>5</v>
      </c>
      <c r="D170" s="60">
        <v>5.7692307692307692</v>
      </c>
      <c r="E170" s="51">
        <v>0</v>
      </c>
      <c r="F170" s="51">
        <v>0.25</v>
      </c>
      <c r="G170" s="51">
        <v>0.25</v>
      </c>
      <c r="H170" s="51">
        <v>0.5</v>
      </c>
      <c r="I170" s="49">
        <f t="shared" si="6"/>
        <v>2.4358974358974352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>
        <v>50</v>
      </c>
      <c r="B171" s="60">
        <v>61.538461538461533</v>
      </c>
      <c r="C171" s="60">
        <v>6</v>
      </c>
      <c r="D171" s="60">
        <v>6.4102564102564097</v>
      </c>
      <c r="E171" s="51">
        <v>0</v>
      </c>
      <c r="F171" s="51">
        <v>0.25</v>
      </c>
      <c r="G171" s="51">
        <v>0.25</v>
      </c>
      <c r="H171" s="51">
        <v>0.5</v>
      </c>
      <c r="I171" s="49">
        <f t="shared" si="6"/>
        <v>2.5641025641025634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>
        <v>55</v>
      </c>
      <c r="B172" s="60">
        <v>67.948717948717942</v>
      </c>
      <c r="C172" s="60">
        <v>7</v>
      </c>
      <c r="D172" s="60">
        <v>6.4102564102564097</v>
      </c>
      <c r="E172" s="51">
        <v>0</v>
      </c>
      <c r="F172" s="51">
        <v>0.25</v>
      </c>
      <c r="G172" s="51">
        <v>0.25</v>
      </c>
      <c r="H172" s="51">
        <v>0.5</v>
      </c>
      <c r="I172" s="49">
        <f t="shared" si="6"/>
        <v>2.5641025641025634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>
        <v>60</v>
      </c>
      <c r="B173" s="50">
        <v>73.717948717948715</v>
      </c>
      <c r="C173" s="50">
        <v>8</v>
      </c>
      <c r="D173" s="50">
        <v>6.4102564102564097</v>
      </c>
      <c r="E173" s="51">
        <v>0</v>
      </c>
      <c r="F173" s="51">
        <v>0.25</v>
      </c>
      <c r="G173" s="51">
        <v>0.25</v>
      </c>
      <c r="H173" s="51">
        <v>0.5</v>
      </c>
      <c r="I173" s="49">
        <f t="shared" si="6"/>
        <v>2.4358974358974366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>
        <v>65</v>
      </c>
      <c r="B174" s="50">
        <v>78.205128205128204</v>
      </c>
      <c r="C174" s="50">
        <v>9</v>
      </c>
      <c r="D174" s="50">
        <v>6.4102564102564097</v>
      </c>
      <c r="E174" s="51">
        <v>0</v>
      </c>
      <c r="F174" s="51">
        <v>0.25</v>
      </c>
      <c r="G174" s="51">
        <v>0.25</v>
      </c>
      <c r="H174" s="51">
        <v>0.5</v>
      </c>
      <c r="I174" s="49">
        <f t="shared" si="6"/>
        <v>2.1794871794871797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>
        <v>70</v>
      </c>
      <c r="B175" s="50">
        <v>83.333333333333329</v>
      </c>
      <c r="C175" s="50">
        <v>10</v>
      </c>
      <c r="D175" s="50">
        <v>6.4102564102564097</v>
      </c>
      <c r="E175" s="51">
        <v>0</v>
      </c>
      <c r="F175" s="51">
        <v>0.25</v>
      </c>
      <c r="G175" s="51">
        <v>0.25</v>
      </c>
      <c r="H175" s="51">
        <v>0.5</v>
      </c>
      <c r="I175" s="49">
        <f t="shared" si="6"/>
        <v>2.3076923076923066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>
        <v>75</v>
      </c>
      <c r="B176" s="50">
        <v>89.102564102564102</v>
      </c>
      <c r="C176" s="50">
        <v>11</v>
      </c>
      <c r="D176" s="50">
        <v>6.4102564102564097</v>
      </c>
      <c r="E176" s="51">
        <v>0</v>
      </c>
      <c r="F176" s="51">
        <v>0.25</v>
      </c>
      <c r="G176" s="51">
        <v>0.25</v>
      </c>
      <c r="H176" s="51">
        <v>0.5</v>
      </c>
      <c r="I176" s="49">
        <f t="shared" si="6"/>
        <v>2.4358974358974366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>
        <v>80</v>
      </c>
      <c r="B177" s="50">
        <v>93.589743589743591</v>
      </c>
      <c r="C177" s="50">
        <v>12</v>
      </c>
      <c r="D177" s="50">
        <v>5.7692307692307692</v>
      </c>
      <c r="E177" s="51">
        <v>0</v>
      </c>
      <c r="F177" s="51">
        <v>0.25</v>
      </c>
      <c r="G177" s="51">
        <v>0.25</v>
      </c>
      <c r="H177" s="51">
        <v>0.5</v>
      </c>
      <c r="I177" s="49">
        <f t="shared" si="6"/>
        <v>2.1794871794871797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>
        <v>85</v>
      </c>
      <c r="B178" s="50">
        <v>97.435897435897431</v>
      </c>
      <c r="C178" s="50">
        <v>13</v>
      </c>
      <c r="D178" s="50">
        <v>5.7692307692307692</v>
      </c>
      <c r="E178" s="51">
        <v>0</v>
      </c>
      <c r="F178" s="51">
        <v>0.25</v>
      </c>
      <c r="G178" s="51">
        <v>0.25</v>
      </c>
      <c r="H178" s="51">
        <v>0.5</v>
      </c>
      <c r="I178" s="49">
        <f t="shared" si="6"/>
        <v>1.9230769230769227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>
        <v>90</v>
      </c>
      <c r="B179" s="50">
        <v>101.92307692307692</v>
      </c>
      <c r="C179" s="50">
        <v>14</v>
      </c>
      <c r="D179" s="50">
        <v>5.7692307692307692</v>
      </c>
      <c r="E179" s="51">
        <v>0</v>
      </c>
      <c r="F179" s="51">
        <v>0.25</v>
      </c>
      <c r="G179" s="51">
        <v>0.25</v>
      </c>
      <c r="H179" s="51">
        <v>0.5</v>
      </c>
      <c r="I179" s="49">
        <f t="shared" si="6"/>
        <v>2.0512820512820524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>
        <v>95</v>
      </c>
      <c r="B180" s="50">
        <v>105.12820512820512</v>
      </c>
      <c r="C180" s="50">
        <v>15</v>
      </c>
      <c r="D180" s="50">
        <v>5.7692307692307692</v>
      </c>
      <c r="E180" s="51">
        <v>0</v>
      </c>
      <c r="F180" s="51">
        <v>0.25</v>
      </c>
      <c r="G180" s="51">
        <v>0.25</v>
      </c>
      <c r="H180" s="51">
        <v>0.5</v>
      </c>
      <c r="I180" s="49">
        <f t="shared" si="6"/>
        <v>1.7948717948717956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>
        <v>100</v>
      </c>
      <c r="B181" s="50">
        <v>108.97435897435898</v>
      </c>
      <c r="C181" s="50">
        <v>16</v>
      </c>
      <c r="D181" s="50">
        <v>5.7692307692307692</v>
      </c>
      <c r="E181" s="51">
        <v>0</v>
      </c>
      <c r="F181" s="51">
        <v>0.25</v>
      </c>
      <c r="G181" s="51">
        <v>0.25</v>
      </c>
      <c r="H181" s="51">
        <v>0.5</v>
      </c>
      <c r="I181" s="49">
        <f t="shared" si="6"/>
        <v>1.9230769230769256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>
        <v>105</v>
      </c>
      <c r="B182" s="50">
        <v>112.82051282051282</v>
      </c>
      <c r="C182" s="50">
        <v>17</v>
      </c>
      <c r="D182" s="50">
        <v>6.4102564102564097</v>
      </c>
      <c r="E182" s="51">
        <v>0</v>
      </c>
      <c r="F182" s="51">
        <v>0.25</v>
      </c>
      <c r="G182" s="51">
        <v>0.25</v>
      </c>
      <c r="H182" s="51">
        <v>0.5</v>
      </c>
      <c r="I182" s="49">
        <f t="shared" si="6"/>
        <v>1.9230769230769227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>
        <v>110</v>
      </c>
      <c r="B183" s="50">
        <v>116.02564102564102</v>
      </c>
      <c r="C183" s="50">
        <v>18</v>
      </c>
      <c r="D183" s="50">
        <v>6.4102564102564097</v>
      </c>
      <c r="E183" s="51">
        <v>0</v>
      </c>
      <c r="F183" s="51">
        <v>0.25</v>
      </c>
      <c r="G183" s="51">
        <v>0.25</v>
      </c>
      <c r="H183" s="51">
        <v>0.5</v>
      </c>
      <c r="I183" s="49">
        <f t="shared" si="6"/>
        <v>1.9230769230769227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>
        <v>115</v>
      </c>
      <c r="B184" s="50">
        <v>119.23076923076923</v>
      </c>
      <c r="C184" s="50">
        <v>19</v>
      </c>
      <c r="D184" s="50">
        <v>6.4102564102564097</v>
      </c>
      <c r="E184" s="51">
        <v>0</v>
      </c>
      <c r="F184" s="51">
        <v>0.25</v>
      </c>
      <c r="G184" s="51">
        <v>0.25</v>
      </c>
      <c r="H184" s="51">
        <v>0.5</v>
      </c>
      <c r="I184" s="49">
        <f t="shared" si="6"/>
        <v>1.9230769230769227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>
        <v>120</v>
      </c>
      <c r="B185" s="50">
        <v>122.43589743589743</v>
      </c>
      <c r="C185" s="50">
        <v>20</v>
      </c>
      <c r="D185" s="50">
        <v>122.43589743589743</v>
      </c>
      <c r="E185" s="51">
        <v>0.25</v>
      </c>
      <c r="F185" s="51">
        <v>0.25</v>
      </c>
      <c r="G185" s="51">
        <v>0.25</v>
      </c>
      <c r="H185" s="51">
        <v>0.25</v>
      </c>
      <c r="I185" s="49">
        <f t="shared" si="6"/>
        <v>1.9230769230769227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>Cèdre de l'Atlas</v>
      </c>
      <c r="C188" s="23" t="s">
        <v>329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>
        <v>51</v>
      </c>
      <c r="B192" s="60">
        <v>396.35</v>
      </c>
      <c r="C192" s="60">
        <v>1</v>
      </c>
      <c r="D192" s="60">
        <v>173.97000000000003</v>
      </c>
      <c r="E192" s="51">
        <v>0.25</v>
      </c>
      <c r="F192" s="51">
        <v>0.37</v>
      </c>
      <c r="G192" s="51">
        <v>0.38</v>
      </c>
      <c r="H192" s="51">
        <v>0</v>
      </c>
      <c r="I192" s="49">
        <f>IFERROR(B192/A192,"")</f>
        <v>7.7715686274509812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>
        <v>61</v>
      </c>
      <c r="B193" s="60">
        <v>352.37</v>
      </c>
      <c r="C193" s="60">
        <v>2</v>
      </c>
      <c r="D193" s="60">
        <v>101.36000000000001</v>
      </c>
      <c r="E193" s="51">
        <v>0.6</v>
      </c>
      <c r="F193" s="51">
        <v>0.2</v>
      </c>
      <c r="G193" s="51">
        <v>0.2</v>
      </c>
      <c r="H193" s="51">
        <v>0</v>
      </c>
      <c r="I193" s="49">
        <f t="shared" ref="I193:I211" si="7">IF(A193&lt;&gt;0,(B193-(B192-D192))/(A193-A192),"")</f>
        <v>12.999000000000001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>
        <v>73</v>
      </c>
      <c r="B194" s="60">
        <v>394.98</v>
      </c>
      <c r="C194" s="60">
        <v>3</v>
      </c>
      <c r="D194" s="60">
        <v>103.23000000000002</v>
      </c>
      <c r="E194" s="51">
        <v>0.6</v>
      </c>
      <c r="F194" s="51">
        <v>0.2</v>
      </c>
      <c r="G194" s="51">
        <v>0.2</v>
      </c>
      <c r="H194" s="51">
        <v>0</v>
      </c>
      <c r="I194" s="49">
        <f t="shared" si="7"/>
        <v>11.997500000000002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>
        <v>85</v>
      </c>
      <c r="B195" s="60">
        <v>425.16</v>
      </c>
      <c r="C195" s="60">
        <v>4</v>
      </c>
      <c r="D195" s="60">
        <v>95.720000000000027</v>
      </c>
      <c r="E195" s="51">
        <v>0.6</v>
      </c>
      <c r="F195" s="51">
        <v>0.2</v>
      </c>
      <c r="G195" s="51">
        <v>0.2</v>
      </c>
      <c r="H195" s="51">
        <v>0</v>
      </c>
      <c r="I195" s="49">
        <f t="shared" si="7"/>
        <v>11.117500000000001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>
        <v>97</v>
      </c>
      <c r="B196" s="60">
        <v>451.75</v>
      </c>
      <c r="C196" s="60">
        <v>5</v>
      </c>
      <c r="D196" s="60">
        <v>90.589999999999975</v>
      </c>
      <c r="E196" s="51">
        <v>0.6</v>
      </c>
      <c r="F196" s="51">
        <v>0.2</v>
      </c>
      <c r="G196" s="51">
        <v>0.2</v>
      </c>
      <c r="H196" s="51">
        <v>0</v>
      </c>
      <c r="I196" s="49">
        <f t="shared" si="7"/>
        <v>10.192500000000001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>
        <v>109</v>
      </c>
      <c r="B197" s="60">
        <v>471.36</v>
      </c>
      <c r="C197" s="60">
        <v>6</v>
      </c>
      <c r="D197" s="60">
        <v>92.199999999999989</v>
      </c>
      <c r="E197" s="51">
        <v>0.6</v>
      </c>
      <c r="F197" s="51">
        <v>0.2</v>
      </c>
      <c r="G197" s="51">
        <v>0.2</v>
      </c>
      <c r="H197" s="51">
        <v>0</v>
      </c>
      <c r="I197" s="49">
        <f t="shared" si="7"/>
        <v>9.1833333333333318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>
        <v>121</v>
      </c>
      <c r="B198" s="60">
        <v>477.92</v>
      </c>
      <c r="C198" s="60">
        <v>7</v>
      </c>
      <c r="D198" s="60">
        <v>236.89000000000001</v>
      </c>
      <c r="E198" s="51">
        <v>0.6</v>
      </c>
      <c r="F198" s="51">
        <v>0.2</v>
      </c>
      <c r="G198" s="51">
        <v>0.2</v>
      </c>
      <c r="H198" s="51">
        <v>0</v>
      </c>
      <c r="I198" s="49">
        <f t="shared" si="7"/>
        <v>8.2299999999999986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>
        <v>131</v>
      </c>
      <c r="B199" s="50">
        <v>298.36</v>
      </c>
      <c r="C199" s="50">
        <v>8</v>
      </c>
      <c r="D199" s="50">
        <v>298.36</v>
      </c>
      <c r="E199" s="51">
        <v>0.6</v>
      </c>
      <c r="F199" s="51">
        <v>0.2</v>
      </c>
      <c r="G199" s="51">
        <v>0.2</v>
      </c>
      <c r="H199" s="51">
        <v>0</v>
      </c>
      <c r="I199" s="49">
        <f t="shared" si="7"/>
        <v>5.7330000000000014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Charme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rouge d'Amérique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champêtre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Alisier torminal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Cèdre de l'Atlas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681.47578137804555</v>
      </c>
      <c r="T3" s="59">
        <f>IF('Données projet'!E9&gt;30,$R$33-$H$33,LOOKUP('Données projet'!$E$9,$A$3:$A$203,R3:R203)-LOOKUP('Données projet'!$E$9,$A$3:$A$203,$H$3:$H$203))</f>
        <v>300.88511065995885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423.80243030843661</v>
      </c>
      <c r="AO3" s="59">
        <f>IF('Données projet'!E10&gt;30,$AM$33-$H$33,LOOKUP('Données projet'!$E$10,$A$3:$A$203,AM3:AM203)-LOOKUP('Données projet'!$E$10,$A$3:$A$203,$H$3:$H$203))</f>
        <v>260.29028006191834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373.61861223558259</v>
      </c>
      <c r="BJ3" s="59">
        <f>IF('Données projet'!E11&gt;30,$BH$33-$H$33,LOOKUP('Données projet'!$E$11,$A$3:$A$203,BH3:BH203)-LOOKUP('Données projet'!$E$11,$A$3:$A$203,$H$3:$H$203))</f>
        <v>277.62293009761049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251.30277097589737</v>
      </c>
      <c r="CE3" s="59">
        <f>IF('Données projet'!E12&gt;30,$CC$33-$H$33,LOOKUP('Données projet'!$E$12,$A$3:$A$203,CC3:CC203)-LOOKUP('Données projet'!$E$12,$A$3:$A$203,$H$3:$H$203))</f>
        <v>224.11983819941796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287.28439432670405</v>
      </c>
      <c r="CZ3" s="59">
        <f>IF('Données projet'!E13&gt;30,$CX$33-$H$33,LOOKUP('Données projet'!$E$13,$A$3:$A$203,CX3:CX203)-LOOKUP('Données projet'!$E$13,$A$3:$A$203,$H$3:$H$203))</f>
        <v>276.01618888357268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206.5245935130306</v>
      </c>
      <c r="DU3" s="59">
        <f>IF('Données projet'!E14&gt;30,$DS$33-$H$33,LOOKUP('Données projet'!$E$14,$A$3:$A$203,DS3:DS203)-LOOKUP('Données projet'!$E$14,$A$3:$A$203,$H$3:$H$203))</f>
        <v>130.57011290898546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374.38106339726073</v>
      </c>
      <c r="EP3" s="59">
        <f>IF('Données projet'!E15&gt;30,$EN$33-$H$33,LOOKUP('Données projet'!$E$15,$A$3:$A$203,EN3:EN203)-LOOKUP('Données projet'!$E$15,$A$3:$A$203,$H$3:$H$203))</f>
        <v>296.53283288925957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9">
        <f t="shared" si="0"/>
        <v>176.81743605229576</v>
      </c>
      <c r="S4" s="59">
        <f ca="1">AVERAGE(OFFSET($R$3,0,0,'Données projet'!$E$9+1,1))-AVERAGE(OFFSET($H$3,0,0,'Données projet'!$E$9+1,1))</f>
        <v>681.47578137804555</v>
      </c>
      <c r="T4" s="59">
        <f>$T$3</f>
        <v>300.88511065995885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1.1852335095914694</v>
      </c>
      <c r="AJ4" s="13">
        <f>AI4*VLOOKUP('Données projet'!$B$10,Paramètres!$A$1:$I$89,3,0)*VLOOKUP('Données projet'!$B$10,Paramètres!$A$1:$I$89,5,0)</f>
        <v>1.1278682077272424</v>
      </c>
      <c r="AK4" s="13">
        <f>EXP(-1.0587+0.8836*LN(AJ4)+0.284)</f>
        <v>0.51253974361771537</v>
      </c>
      <c r="AL4" s="20">
        <f t="shared" ref="AL4:AL67" si="4">(AJ4+AK4)*0.475*44/12</f>
        <v>2.8570438485924678</v>
      </c>
      <c r="AM4" s="59">
        <f t="shared" ref="AM4:AM67" si="5">AL4+(AD4+AE4)*44/12</f>
        <v>170.66947780151631</v>
      </c>
      <c r="AN4" s="59">
        <f ca="1">AVERAGE(OFFSET($AM$3,0,0,'Données projet'!$E$10+1,1))-AVERAGE(OFFSET($H$3,0,0,'Données projet'!$E$10+1,1))</f>
        <v>423.80243030843661</v>
      </c>
      <c r="AO4" s="59">
        <f>$AO$3</f>
        <v>260.29028006191834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5.8890909090909096</v>
      </c>
      <c r="BD4" s="12">
        <f>IF('Données projet'!$A$88&gt;35,BD3+BC4-BL3,IF(A4&lt;'Données projet'!$A$88,$BA$205^A4,IF(A4='Données projet'!$A$88,'Données projet'!$B$88,BD3+BC4-BL3)))</f>
        <v>1.2474449991725556</v>
      </c>
      <c r="BE4" s="13">
        <f>BD4*VLOOKUP('Données projet'!$B$11,Paramètres!$A$1:$I$89,3,0)*VLOOKUP('Données projet'!$B$11,Paramètres!$A$1:$I$89,5,0)</f>
        <v>0.74597210950518822</v>
      </c>
      <c r="BF4" s="13">
        <f>EXP(-1.0587+0.8836*LN(BE4)+0.284)</f>
        <v>0.35570481632934337</v>
      </c>
      <c r="BG4" s="20">
        <f t="shared" ref="BG4:BG67" si="7">(BE4+BF4)*0.475*44/12</f>
        <v>1.9187539791618089</v>
      </c>
      <c r="BH4" s="59">
        <f t="shared" ref="BH4:BH67" si="8">BG4+(AY4+AZ4)*44/12</f>
        <v>169.73118793208565</v>
      </c>
      <c r="BI4" s="59">
        <f ca="1">AVERAGE(OFFSET($BH$3,0,0,'Données projet'!$E$11+1,1))-AVERAGE(OFFSET($H$3,0,0,'Données projet'!$E$11+1,1))</f>
        <v>373.61861223558259</v>
      </c>
      <c r="BJ4" s="59">
        <f>$BJ$3</f>
        <v>277.62293009761049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3.4615384615384612</v>
      </c>
      <c r="BY4" s="12">
        <f>IF('Données projet'!$A$114&gt;35,BY3+BX4-CG3,IF(A4&lt;'Données projet'!$A$114,$BV$205^A4,IF(A4='Données projet'!$A$114,'Données projet'!$B$114,BY3+BX4-CG3)))</f>
        <v>1.2359900023548769</v>
      </c>
      <c r="BZ4" s="13">
        <f>BY4*VLOOKUP('Données projet'!$B$12,Paramètres!$A$1:$I$89,3,0)*VLOOKUP('Données projet'!$B$12,Paramètres!$A$1:$I$89,5,0)</f>
        <v>1.0797608660572204</v>
      </c>
      <c r="CA4" s="13">
        <f>EXP(-1.0587+0.8836*LN(BZ4)+0.284)</f>
        <v>0.49317416438685319</v>
      </c>
      <c r="CB4" s="20">
        <f t="shared" ref="CB4:CB67" si="10">(BZ4+CA4)*0.475*44/12</f>
        <v>2.7395285113567613</v>
      </c>
      <c r="CC4" s="59">
        <f t="shared" ref="CC4:CC67" si="11">CB4+(BT4+BU4)*44/12</f>
        <v>170.55196246428059</v>
      </c>
      <c r="CD4" s="59">
        <f ca="1">AVERAGE(OFFSET($CC$3,0,0,'Données projet'!$E$12+1,1))-AVERAGE(OFFSET($H$3,0,0,'Données projet'!$E$12+1,1))</f>
        <v>251.30277097589737</v>
      </c>
      <c r="CE4" s="59">
        <f>$CE$3</f>
        <v>224.11983819941796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2.85</v>
      </c>
      <c r="CT4" s="12">
        <f>IF('Données projet'!$A$140&gt;35,CT3+CS4-DB3,IF(A4&lt;'Données projet'!$A$140,$CQ$205^A4,IF(A4='Données projet'!$A$140,'Données projet'!$B$140,CT3+CS4-DB3)))</f>
        <v>1.2240347367580502</v>
      </c>
      <c r="CU4" s="17">
        <f>CT4*VLOOKUP('Données projet'!$B$13,Paramètres!$A$1:$I$89,3,0)*VLOOKUP('Données projet'!$B$13,Paramètres!$A$1:$I$89,5,0)</f>
        <v>1.0693167460318327</v>
      </c>
      <c r="CV4" s="13">
        <f>EXP(-1.0587+0.8836*LN(CU4)+0.284)</f>
        <v>0.48895675660122978</v>
      </c>
      <c r="CW4" s="20">
        <f t="shared" ref="CW4:CW67" si="13">(CU4+CV4)*0.475*44/12</f>
        <v>2.713993017085917</v>
      </c>
      <c r="CX4" s="59">
        <f t="shared" ref="CX4:CX67" si="14">CW4+(CO4+CP4)*44/12</f>
        <v>170.52642697000977</v>
      </c>
      <c r="CY4" s="59">
        <f ca="1">AVERAGE(OFFSET($CX$3,0,0,'Données projet'!$E$13+1,1))-AVERAGE(OFFSET($H$3,0,0,'Données projet'!$E$13+1,1))</f>
        <v>287.28439432670405</v>
      </c>
      <c r="CZ4" s="59">
        <f>$CZ$3</f>
        <v>276.01618888357268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1.153846153846154</v>
      </c>
      <c r="DO4" s="12">
        <f>IF('Données projet'!$A$166&gt;35,DO3+DN4-DW3,IF(A4&lt;'Données projet'!$A$166,$DL$205^A4,IF(A4='Données projet'!$A$166,'Données projet'!$B$166,DO3+DN4-DW3)))</f>
        <v>1.1439407123438055</v>
      </c>
      <c r="DP4" s="17">
        <f>DO4*VLOOKUP('Données projet'!$B$14,Paramètres!$A$1:$I$89,3,0)*VLOOKUP('Données projet'!$B$14,Paramètres!$A$1:$I$89,5,0)</f>
        <v>1.1064194569789285</v>
      </c>
      <c r="DQ4" s="13">
        <f>EXP(-1.0587+0.8836*LN(DP4)+0.284)</f>
        <v>0.50391768952888172</v>
      </c>
      <c r="DR4" s="20">
        <f t="shared" ref="DR4:DR67" si="16">(DP4+DQ4)*0.475*44/12</f>
        <v>2.8046705301677695</v>
      </c>
      <c r="DS4" s="59">
        <f t="shared" ref="DS4:DS67" si="17">DR4+(DJ4+DK4)*44/12</f>
        <v>170.61710448309162</v>
      </c>
      <c r="DT4" s="59">
        <f ca="1">AVERAGE(OFFSET($DS$3,0,0,'Données projet'!$E$14+1,1))-AVERAGE(OFFSET($H$3,0,0,'Données projet'!$E$14+1,1))</f>
        <v>206.5245935130306</v>
      </c>
      <c r="DU4" s="59">
        <f>$DU$3</f>
        <v>130.57011290898546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7.7715686274509812</v>
      </c>
      <c r="EJ4" s="12">
        <f>IF('Données projet'!$A$192&gt;35,EJ3+EI4-ER3,IF(A4&lt;'Données projet'!$A$192,$EG$205^A4,IF(A4='Données projet'!$A$192,'Données projet'!$B$192,EJ3+EI4-ER3)))</f>
        <v>7.7715686274509812</v>
      </c>
      <c r="EK4" s="17">
        <f>EJ4*VLOOKUP('Données projet'!$B$15,Paramètres!$A$1:$I$89,3,0)*VLOOKUP('Données projet'!$B$15,Paramètres!$A$1:$I$89,5,0)</f>
        <v>3.637094117647059</v>
      </c>
      <c r="EL4" s="13">
        <f>EXP(-1.0587+0.8836*LN(EK4)+0.284)</f>
        <v>1.4422308330239975</v>
      </c>
      <c r="EM4" s="20">
        <f t="shared" ref="EM4:EM67" si="19">(EK4+EL4)*0.475*44/12</f>
        <v>8.8464909557520901</v>
      </c>
      <c r="EN4" s="59">
        <f t="shared" ref="EN4:EN67" si="20">EM4+(EE4+EF4)*44/12</f>
        <v>176.65892490867594</v>
      </c>
      <c r="EO4" s="59">
        <f ca="1">AVERAGE(OFFSET($EN$3,0,0,'Données projet'!$E$15+1,1))-AVERAGE(OFFSET($H$3,0,0,'Données projet'!$E$15+1,1))</f>
        <v>374.38106339726073</v>
      </c>
      <c r="EP4" s="59">
        <f>$EP$3</f>
        <v>296.53283288925957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9">
        <f t="shared" si="0"/>
        <v>188.2115054666001</v>
      </c>
      <c r="S5" s="59">
        <f ca="1">AVERAGE(OFFSET($R$3,0,0,'Données projet'!$E$9+1,1))-AVERAGE(OFFSET($H$3,0,0,'Données projet'!$E$9+1,1))</f>
        <v>681.47578137804555</v>
      </c>
      <c r="T5" s="59">
        <f t="shared" ref="T5:T68" si="34">$T$3</f>
        <v>300.88511065995885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1.4047784722585119</v>
      </c>
      <c r="AJ5" s="13">
        <f>AI5*VLOOKUP('Données projet'!$B$10,Paramètres!$A$1:$I$89,3,0)*VLOOKUP('Données projet'!$B$10,Paramètres!$A$1:$I$89,5,0)</f>
        <v>1.3367871942012</v>
      </c>
      <c r="AK5" s="13">
        <f t="shared" ref="AK5:AK68" si="35">EXP(-1.0587+0.8836*LN(AJ5)+0.284)</f>
        <v>0.59558080504648392</v>
      </c>
      <c r="AL5" s="20">
        <f t="shared" si="4"/>
        <v>3.3655409320230496</v>
      </c>
      <c r="AM5" s="59">
        <f t="shared" si="5"/>
        <v>173.96282221952387</v>
      </c>
      <c r="AN5" s="59">
        <f ca="1">AVERAGE(OFFSET($AM$3,0,0,'Données projet'!$E$10+1,1))-AVERAGE(OFFSET($H$3,0,0,'Données projet'!$E$10+1,1))</f>
        <v>423.80243030843661</v>
      </c>
      <c r="AO5" s="59">
        <f t="shared" ref="AO5:AO68" si="36">$AO$3</f>
        <v>260.29028006191834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5.8890909090909096</v>
      </c>
      <c r="BD5" s="12">
        <f>IF('Données projet'!$A$88&gt;35,BD4+BC5-BL4,IF(A5&lt;'Données projet'!$A$88,$BA$205^A5,IF(A5='Données projet'!$A$88,'Données projet'!$B$88,BD4+BC5-BL4)))</f>
        <v>1.5561190259606172</v>
      </c>
      <c r="BE5" s="13">
        <f>BD5*VLOOKUP('Données projet'!$B$11,Paramètres!$A$1:$I$89,3,0)*VLOOKUP('Données projet'!$B$11,Paramètres!$A$1:$I$89,5,0)</f>
        <v>0.93055917752444917</v>
      </c>
      <c r="BF5" s="13">
        <f t="shared" ref="BF5:BF68" si="37">EXP(-1.0587+0.8836*LN(BE5)+0.284)</f>
        <v>0.43244836584356472</v>
      </c>
      <c r="BG5" s="20">
        <f t="shared" si="7"/>
        <v>2.3739048046992908</v>
      </c>
      <c r="BH5" s="59">
        <f t="shared" si="8"/>
        <v>172.97118609220013</v>
      </c>
      <c r="BI5" s="59">
        <f ca="1">AVERAGE(OFFSET($BH$3,0,0,'Données projet'!$E$11+1,1))-AVERAGE(OFFSET($H$3,0,0,'Données projet'!$E$11+1,1))</f>
        <v>373.61861223558259</v>
      </c>
      <c r="BJ5" s="59">
        <f t="shared" ref="BJ5:BJ68" si="38">$BJ$3</f>
        <v>277.62293009761049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3.4615384615384612</v>
      </c>
      <c r="BY5" s="12">
        <f>IF('Données projet'!$A$114&gt;35,BY4+BX5-CG4,IF(A5&lt;'Données projet'!$A$114,$BV$205^A5,IF(A5='Données projet'!$A$114,'Données projet'!$B$114,BY4+BX5-CG4)))</f>
        <v>1.5276712859212085</v>
      </c>
      <c r="BZ5" s="13">
        <f>BY5*VLOOKUP('Données projet'!$B$12,Paramètres!$A$1:$I$89,3,0)*VLOOKUP('Données projet'!$B$12,Paramètres!$A$1:$I$89,5,0)</f>
        <v>1.334573635380768</v>
      </c>
      <c r="CA5" s="13">
        <f t="shared" ref="CA5:CA68" si="39">EXP(-1.0587+0.8836*LN(BZ5)+0.284)</f>
        <v>0.59470930569620684</v>
      </c>
      <c r="CB5" s="20">
        <f t="shared" si="10"/>
        <v>3.3601677890423978</v>
      </c>
      <c r="CC5" s="59">
        <f t="shared" si="11"/>
        <v>173.95744907654324</v>
      </c>
      <c r="CD5" s="59">
        <f ca="1">AVERAGE(OFFSET($CC$3,0,0,'Données projet'!$E$12+1,1))-AVERAGE(OFFSET($H$3,0,0,'Données projet'!$E$12+1,1))</f>
        <v>251.30277097589737</v>
      </c>
      <c r="CE5" s="59">
        <f t="shared" ref="CE5:CE68" si="40">$CE$3</f>
        <v>224.11983819941796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2.85</v>
      </c>
      <c r="CT5" s="12">
        <f>IF('Données projet'!$A$140&gt;35,CT4+CS5-DB4,IF(A5&lt;'Données projet'!$A$140,$CQ$205^A5,IF(A5='Données projet'!$A$140,'Données projet'!$B$140,CT4+CS5-DB4)))</f>
        <v>1.4982610367903493</v>
      </c>
      <c r="CU5" s="17">
        <f>CT5*VLOOKUP('Données projet'!$B$13,Paramètres!$A$1:$I$89,3,0)*VLOOKUP('Données projet'!$B$13,Paramètres!$A$1:$I$89,5,0)</f>
        <v>1.3088808417400493</v>
      </c>
      <c r="CV5" s="13">
        <f t="shared" ref="CV5:CV68" si="41">EXP(-1.0587+0.8836*LN(CU5)+0.284)</f>
        <v>0.58458141328454194</v>
      </c>
      <c r="CW5" s="20">
        <f t="shared" si="13"/>
        <v>3.297780094167829</v>
      </c>
      <c r="CX5" s="59">
        <f t="shared" si="14"/>
        <v>173.89506138166865</v>
      </c>
      <c r="CY5" s="59">
        <f ca="1">AVERAGE(OFFSET($CX$3,0,0,'Données projet'!$E$13+1,1))-AVERAGE(OFFSET($H$3,0,0,'Données projet'!$E$13+1,1))</f>
        <v>287.28439432670405</v>
      </c>
      <c r="CZ5" s="59">
        <f t="shared" ref="CZ5:CZ68" si="42">$CZ$3</f>
        <v>276.01618888357268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1.153846153846154</v>
      </c>
      <c r="DO5" s="12">
        <f>IF('Données projet'!$A$166&gt;35,DO4+DN5-DW4,IF(A5&lt;'Données projet'!$A$166,$DL$205^A5,IF(A5='Données projet'!$A$166,'Données projet'!$B$166,DO4+DN5-DW4)))</f>
        <v>1.3086003533576531</v>
      </c>
      <c r="DP5" s="17">
        <f>DO5*VLOOKUP('Données projet'!$B$14,Paramètres!$A$1:$I$89,3,0)*VLOOKUP('Données projet'!$B$14,Paramètres!$A$1:$I$89,5,0)</f>
        <v>1.2656782617675222</v>
      </c>
      <c r="DQ5" s="13">
        <f t="shared" ref="DQ5:DQ68" si="43">EXP(-1.0587+0.8836*LN(DP5)+0.284)</f>
        <v>0.56749880502985206</v>
      </c>
      <c r="DR5" s="20">
        <f t="shared" si="16"/>
        <v>3.1927833913387604</v>
      </c>
      <c r="DS5" s="59">
        <f t="shared" si="17"/>
        <v>173.7900646788396</v>
      </c>
      <c r="DT5" s="59">
        <f ca="1">AVERAGE(OFFSET($DS$3,0,0,'Données projet'!$E$14+1,1))-AVERAGE(OFFSET($H$3,0,0,'Données projet'!$E$14+1,1))</f>
        <v>206.5245935130306</v>
      </c>
      <c r="DU5" s="59">
        <f t="shared" ref="DU5:DU68" si="44">$DU$3</f>
        <v>130.57011290898546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7.7715686274509812</v>
      </c>
      <c r="EJ5" s="12">
        <f>IF('Données projet'!$A$192&gt;35,EJ4+EI5-ER4,IF(A5&lt;'Données projet'!$A$192,$EG$205^A5,IF(A5='Données projet'!$A$192,'Données projet'!$B$192,EJ4+EI5-ER4)))</f>
        <v>15.543137254901962</v>
      </c>
      <c r="EK5" s="17">
        <f>EJ5*VLOOKUP('Données projet'!$B$15,Paramètres!$A$1:$I$89,3,0)*VLOOKUP('Données projet'!$B$15,Paramètres!$A$1:$I$89,5,0)</f>
        <v>7.2741882352941181</v>
      </c>
      <c r="EL5" s="13">
        <f t="shared" ref="EL5:EL68" si="45">EXP(-1.0587+0.8836*LN(EK5)+0.284)</f>
        <v>2.6608774935168951</v>
      </c>
      <c r="EM5" s="20">
        <f t="shared" si="19"/>
        <v>17.303572811012511</v>
      </c>
      <c r="EN5" s="59">
        <f t="shared" si="20"/>
        <v>187.90085409851335</v>
      </c>
      <c r="EO5" s="59">
        <f ca="1">AVERAGE(OFFSET($EN$3,0,0,'Données projet'!$E$15+1,1))-AVERAGE(OFFSET($H$3,0,0,'Données projet'!$E$15+1,1))</f>
        <v>374.38106339726073</v>
      </c>
      <c r="EP5" s="59">
        <f t="shared" ref="EP5:EP68" si="46">$EP$3</f>
        <v>296.53283288925957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9">
        <f t="shared" si="0"/>
        <v>199.4506497492805</v>
      </c>
      <c r="S6" s="59">
        <f ca="1">AVERAGE(OFFSET($R$3,0,0,'Données projet'!$E$9+1,1))-AVERAGE(OFFSET($H$3,0,0,'Données projet'!$E$9+1,1))</f>
        <v>681.47578137804555</v>
      </c>
      <c r="T6" s="59">
        <f t="shared" si="34"/>
        <v>300.88511065995885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1.6649905188734988</v>
      </c>
      <c r="AJ6" s="13">
        <f>AI6*VLOOKUP('Données projet'!$B$10,Paramètres!$A$1:$I$89,3,0)*VLOOKUP('Données projet'!$B$10,Paramètres!$A$1:$I$89,5,0)</f>
        <v>1.5844049777600215</v>
      </c>
      <c r="AK6" s="13">
        <f t="shared" si="35"/>
        <v>0.69207607752734202</v>
      </c>
      <c r="AL6" s="20">
        <f t="shared" si="4"/>
        <v>3.9648711712921583</v>
      </c>
      <c r="AM6" s="59">
        <f t="shared" si="5"/>
        <v>177.31989174117703</v>
      </c>
      <c r="AN6" s="59">
        <f ca="1">AVERAGE(OFFSET($AM$3,0,0,'Données projet'!$E$10+1,1))-AVERAGE(OFFSET($H$3,0,0,'Données projet'!$E$10+1,1))</f>
        <v>423.80243030843661</v>
      </c>
      <c r="AO6" s="59">
        <f t="shared" si="36"/>
        <v>260.29028006191834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5.8890909090909096</v>
      </c>
      <c r="BD6" s="12">
        <f>IF('Données projet'!$A$88&gt;35,BD5+BC6-BL5,IF(A6&lt;'Données projet'!$A$88,$BA$205^A6,IF(A6='Données projet'!$A$88,'Données projet'!$B$88,BD5+BC6-BL5)))</f>
        <v>1.9411728970518403</v>
      </c>
      <c r="BE6" s="13">
        <f>BD6*VLOOKUP('Données projet'!$B$11,Paramètres!$A$1:$I$89,3,0)*VLOOKUP('Données projet'!$B$11,Paramètres!$A$1:$I$89,5,0)</f>
        <v>1.1608213924370006</v>
      </c>
      <c r="BF6" s="13">
        <f t="shared" si="37"/>
        <v>0.52574938695127893</v>
      </c>
      <c r="BG6" s="20">
        <f t="shared" si="7"/>
        <v>2.9374441074345867</v>
      </c>
      <c r="BH6" s="59">
        <f t="shared" si="8"/>
        <v>176.29246467731946</v>
      </c>
      <c r="BI6" s="59">
        <f ca="1">AVERAGE(OFFSET($BH$3,0,0,'Données projet'!$E$11+1,1))-AVERAGE(OFFSET($H$3,0,0,'Données projet'!$E$11+1,1))</f>
        <v>373.61861223558259</v>
      </c>
      <c r="BJ6" s="59">
        <f t="shared" si="38"/>
        <v>277.62293009761049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3.4615384615384612</v>
      </c>
      <c r="BY6" s="12">
        <f>IF('Données projet'!$A$114&gt;35,BY5+BX6-CG5,IF(A6&lt;'Données projet'!$A$114,$BV$205^A6,IF(A6='Données projet'!$A$114,'Données projet'!$B$114,BY5+BX6-CG5)))</f>
        <v>1.8881864362832324</v>
      </c>
      <c r="BZ6" s="13">
        <f>BY6*VLOOKUP('Données projet'!$B$12,Paramètres!$A$1:$I$89,3,0)*VLOOKUP('Données projet'!$B$12,Paramètres!$A$1:$I$89,5,0)</f>
        <v>1.6495196707370321</v>
      </c>
      <c r="CA6" s="13">
        <f t="shared" si="39"/>
        <v>0.71714859338055892</v>
      </c>
      <c r="CB6" s="20">
        <f t="shared" si="10"/>
        <v>4.1219472266714714</v>
      </c>
      <c r="CC6" s="59">
        <f t="shared" si="11"/>
        <v>177.47696779655635</v>
      </c>
      <c r="CD6" s="59">
        <f ca="1">AVERAGE(OFFSET($CC$3,0,0,'Données projet'!$E$12+1,1))-AVERAGE(OFFSET($H$3,0,0,'Données projet'!$E$12+1,1))</f>
        <v>251.30277097589737</v>
      </c>
      <c r="CE6" s="59">
        <f t="shared" si="40"/>
        <v>224.11983819941796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2.85</v>
      </c>
      <c r="CT6" s="12">
        <f>IF('Données projet'!$A$140&gt;35,CT5+CS6-DB5,IF(A6&lt;'Données projet'!$A$140,$CQ$205^A6,IF(A6='Données projet'!$A$140,'Données projet'!$B$140,CT5+CS6-DB5)))</f>
        <v>1.8339235537625185</v>
      </c>
      <c r="CU6" s="17">
        <f>CT6*VLOOKUP('Données projet'!$B$13,Paramètres!$A$1:$I$89,3,0)*VLOOKUP('Données projet'!$B$13,Paramètres!$A$1:$I$89,5,0)</f>
        <v>1.6021156165669364</v>
      </c>
      <c r="CV6" s="13">
        <f t="shared" si="41"/>
        <v>0.69890726356493671</v>
      </c>
      <c r="CW6" s="20">
        <f t="shared" si="13"/>
        <v>4.0076148495630122</v>
      </c>
      <c r="CX6" s="59">
        <f t="shared" si="14"/>
        <v>177.36263541944788</v>
      </c>
      <c r="CY6" s="59">
        <f ca="1">AVERAGE(OFFSET($CX$3,0,0,'Données projet'!$E$13+1,1))-AVERAGE(OFFSET($H$3,0,0,'Données projet'!$E$13+1,1))</f>
        <v>287.28439432670405</v>
      </c>
      <c r="CZ6" s="59">
        <f t="shared" si="42"/>
        <v>276.01618888357268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1.153846153846154</v>
      </c>
      <c r="DO6" s="12">
        <f>IF('Données projet'!$A$166&gt;35,DO5+DN6-DW5,IF(A6&lt;'Données projet'!$A$166,$DL$205^A6,IF(A6='Données projet'!$A$166,'Données projet'!$B$166,DO5+DN6-DW5)))</f>
        <v>1.4969612203933091</v>
      </c>
      <c r="DP6" s="17">
        <f>DO6*VLOOKUP('Données projet'!$B$14,Paramètres!$A$1:$I$89,3,0)*VLOOKUP('Données projet'!$B$14,Paramètres!$A$1:$I$89,5,0)</f>
        <v>1.4478608923644087</v>
      </c>
      <c r="DQ6" s="13">
        <f t="shared" si="43"/>
        <v>0.63910217958691373</v>
      </c>
      <c r="DR6" s="20">
        <f t="shared" si="16"/>
        <v>3.6347940169818869</v>
      </c>
      <c r="DS6" s="59">
        <f t="shared" si="17"/>
        <v>176.98981458686677</v>
      </c>
      <c r="DT6" s="59">
        <f ca="1">AVERAGE(OFFSET($DS$3,0,0,'Données projet'!$E$14+1,1))-AVERAGE(OFFSET($H$3,0,0,'Données projet'!$E$14+1,1))</f>
        <v>206.5245935130306</v>
      </c>
      <c r="DU6" s="59">
        <f t="shared" si="44"/>
        <v>130.57011290898546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7.7715686274509812</v>
      </c>
      <c r="EJ6" s="12">
        <f>IF('Données projet'!$A$192&gt;35,EJ5+EI6-ER5,IF(A6&lt;'Données projet'!$A$192,$EG$205^A6,IF(A6='Données projet'!$A$192,'Données projet'!$B$192,EJ5+EI6-ER5)))</f>
        <v>23.314705882352943</v>
      </c>
      <c r="EK6" s="17">
        <f>EJ6*VLOOKUP('Données projet'!$B$15,Paramètres!$A$1:$I$89,3,0)*VLOOKUP('Données projet'!$B$15,Paramètres!$A$1:$I$89,5,0)</f>
        <v>10.911282352941177</v>
      </c>
      <c r="EL6" s="13">
        <f t="shared" si="45"/>
        <v>3.8073176895056275</v>
      </c>
      <c r="EM6" s="20">
        <f t="shared" si="19"/>
        <v>25.634895073928181</v>
      </c>
      <c r="EN6" s="59">
        <f t="shared" si="20"/>
        <v>198.98991564381308</v>
      </c>
      <c r="EO6" s="59">
        <f ca="1">AVERAGE(OFFSET($EN$3,0,0,'Données projet'!$E$15+1,1))-AVERAGE(OFFSET($H$3,0,0,'Données projet'!$E$15+1,1))</f>
        <v>374.38106339726073</v>
      </c>
      <c r="EP6" s="59">
        <f t="shared" si="46"/>
        <v>296.53283288925957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9">
        <f t="shared" si="0"/>
        <v>210.58436682213227</v>
      </c>
      <c r="S7" s="59">
        <f ca="1">AVERAGE(OFFSET($R$3,0,0,'Données projet'!$E$9+1,1))-AVERAGE(OFFSET($H$3,0,0,'Données projet'!$E$9+1,1))</f>
        <v>681.47578137804555</v>
      </c>
      <c r="T7" s="59">
        <f t="shared" si="34"/>
        <v>300.88511065995885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1.9734025561209587</v>
      </c>
      <c r="AJ7" s="13">
        <f>AI7*VLOOKUP('Données projet'!$B$10,Paramètres!$A$1:$I$89,3,0)*VLOOKUP('Données projet'!$B$10,Paramètres!$A$1:$I$89,5,0)</f>
        <v>1.8778898724047044</v>
      </c>
      <c r="AK7" s="13">
        <f t="shared" si="35"/>
        <v>0.80420539585430195</v>
      </c>
      <c r="AL7" s="20">
        <f t="shared" si="4"/>
        <v>4.6713159255511032</v>
      </c>
      <c r="AM7" s="59">
        <f t="shared" si="5"/>
        <v>180.75743798972806</v>
      </c>
      <c r="AN7" s="59">
        <f ca="1">AVERAGE(OFFSET($AM$3,0,0,'Données projet'!$E$10+1,1))-AVERAGE(OFFSET($H$3,0,0,'Données projet'!$E$10+1,1))</f>
        <v>423.80243030843661</v>
      </c>
      <c r="AO7" s="59">
        <f t="shared" si="36"/>
        <v>260.29028006191834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5.8890909090909096</v>
      </c>
      <c r="BD7" s="12">
        <f>IF('Données projet'!$A$88&gt;35,BD6+BC7-BL6,IF(A7&lt;'Données projet'!$A$88,$BA$205^A7,IF(A7='Données projet'!$A$88,'Données projet'!$B$88,BD6+BC7-BL6)))</f>
        <v>2.4215064229566203</v>
      </c>
      <c r="BE7" s="13">
        <f>BD7*VLOOKUP('Données projet'!$B$11,Paramètres!$A$1:$I$89,3,0)*VLOOKUP('Données projet'!$B$11,Paramètres!$A$1:$I$89,5,0)</f>
        <v>1.4480608409280591</v>
      </c>
      <c r="BF7" s="13">
        <f t="shared" si="37"/>
        <v>0.63918016510585218</v>
      </c>
      <c r="BG7" s="20">
        <f t="shared" si="7"/>
        <v>3.6352780855090621</v>
      </c>
      <c r="BH7" s="59">
        <f t="shared" si="8"/>
        <v>179.72140014968602</v>
      </c>
      <c r="BI7" s="59">
        <f ca="1">AVERAGE(OFFSET($BH$3,0,0,'Données projet'!$E$11+1,1))-AVERAGE(OFFSET($H$3,0,0,'Données projet'!$E$11+1,1))</f>
        <v>373.61861223558259</v>
      </c>
      <c r="BJ7" s="59">
        <f t="shared" si="38"/>
        <v>277.62293009761049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3.4615384615384612</v>
      </c>
      <c r="BY7" s="12">
        <f>IF('Données projet'!$A$114&gt;35,BY6+BX7-CG6,IF(A7&lt;'Données projet'!$A$114,$BV$205^A7,IF(A7='Données projet'!$A$114,'Données projet'!$B$114,BY6+BX7-CG6)))</f>
        <v>2.3337795578281586</v>
      </c>
      <c r="BZ7" s="13">
        <f>BY7*VLOOKUP('Données projet'!$B$12,Paramètres!$A$1:$I$89,3,0)*VLOOKUP('Données projet'!$B$12,Paramètres!$A$1:$I$89,5,0)</f>
        <v>2.0387898217186797</v>
      </c>
      <c r="CA7" s="13">
        <f t="shared" si="39"/>
        <v>0.86479579193003808</v>
      </c>
      <c r="CB7" s="20">
        <f t="shared" si="10"/>
        <v>5.057078277104849</v>
      </c>
      <c r="CC7" s="59">
        <f t="shared" si="11"/>
        <v>181.14320034128178</v>
      </c>
      <c r="CD7" s="59">
        <f ca="1">AVERAGE(OFFSET($CC$3,0,0,'Données projet'!$E$12+1,1))-AVERAGE(OFFSET($H$3,0,0,'Données projet'!$E$12+1,1))</f>
        <v>251.30277097589737</v>
      </c>
      <c r="CE7" s="59">
        <f t="shared" si="40"/>
        <v>224.11983819941796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2.85</v>
      </c>
      <c r="CT7" s="12">
        <f>IF('Données projet'!$A$140&gt;35,CT6+CS7-DB6,IF(A7&lt;'Données projet'!$A$140,$CQ$205^A7,IF(A7='Données projet'!$A$140,'Données projet'!$B$140,CT6+CS7-DB6)))</f>
        <v>2.2447861343640922</v>
      </c>
      <c r="CU7" s="17">
        <f>CT7*VLOOKUP('Données projet'!$B$13,Paramètres!$A$1:$I$89,3,0)*VLOOKUP('Données projet'!$B$13,Paramètres!$A$1:$I$89,5,0)</f>
        <v>1.9610451669804712</v>
      </c>
      <c r="CV7" s="13">
        <f t="shared" si="41"/>
        <v>0.83559167630611453</v>
      </c>
      <c r="CW7" s="20">
        <f t="shared" si="13"/>
        <v>4.8708091687241364</v>
      </c>
      <c r="CX7" s="59">
        <f t="shared" si="14"/>
        <v>180.95693123290107</v>
      </c>
      <c r="CY7" s="59">
        <f ca="1">AVERAGE(OFFSET($CX$3,0,0,'Données projet'!$E$13+1,1))-AVERAGE(OFFSET($H$3,0,0,'Données projet'!$E$13+1,1))</f>
        <v>287.28439432670405</v>
      </c>
      <c r="CZ7" s="59">
        <f t="shared" si="42"/>
        <v>276.01618888357268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1.153846153846154</v>
      </c>
      <c r="DO7" s="12">
        <f>IF('Données projet'!$A$166&gt;35,DO6+DN7-DW6,IF(A7&lt;'Données projet'!$A$166,$DL$205^A7,IF(A7='Données projet'!$A$166,'Données projet'!$B$166,DO6+DN7-DW6)))</f>
        <v>1.7124348848077746</v>
      </c>
      <c r="DP7" s="17">
        <f>DO7*VLOOKUP('Données projet'!$B$14,Paramètres!$A$1:$I$89,3,0)*VLOOKUP('Données projet'!$B$14,Paramètres!$A$1:$I$89,5,0)</f>
        <v>1.6562670205860797</v>
      </c>
      <c r="DQ7" s="13">
        <f t="shared" si="43"/>
        <v>0.71974001060893522</v>
      </c>
      <c r="DR7" s="20">
        <f t="shared" si="16"/>
        <v>4.138212245997984</v>
      </c>
      <c r="DS7" s="59">
        <f t="shared" si="17"/>
        <v>180.22433431017492</v>
      </c>
      <c r="DT7" s="59">
        <f ca="1">AVERAGE(OFFSET($DS$3,0,0,'Données projet'!$E$14+1,1))-AVERAGE(OFFSET($H$3,0,0,'Données projet'!$E$14+1,1))</f>
        <v>206.5245935130306</v>
      </c>
      <c r="DU7" s="59">
        <f t="shared" si="44"/>
        <v>130.57011290898546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7.7715686274509812</v>
      </c>
      <c r="EJ7" s="12">
        <f>IF('Données projet'!$A$192&gt;35,EJ6+EI7-ER6,IF(A7&lt;'Données projet'!$A$192,$EG$205^A7,IF(A7='Données projet'!$A$192,'Données projet'!$B$192,EJ6+EI7-ER6)))</f>
        <v>31.086274509803925</v>
      </c>
      <c r="EK7" s="17">
        <f>EJ7*VLOOKUP('Données projet'!$B$15,Paramètres!$A$1:$I$89,3,0)*VLOOKUP('Données projet'!$B$15,Paramètres!$A$1:$I$89,5,0)</f>
        <v>14.548376470588236</v>
      </c>
      <c r="EL7" s="13">
        <f t="shared" si="45"/>
        <v>4.9092481407148947</v>
      </c>
      <c r="EM7" s="20">
        <f t="shared" si="19"/>
        <v>33.888696198019623</v>
      </c>
      <c r="EN7" s="59">
        <f t="shared" si="20"/>
        <v>209.97481826219658</v>
      </c>
      <c r="EO7" s="59">
        <f ca="1">AVERAGE(OFFSET($EN$3,0,0,'Données projet'!$E$15+1,1))-AVERAGE(OFFSET($H$3,0,0,'Données projet'!$E$15+1,1))</f>
        <v>374.38106339726073</v>
      </c>
      <c r="EP7" s="59">
        <f t="shared" si="46"/>
        <v>296.53283288925957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9">
        <f t="shared" si="0"/>
        <v>221.6353397329257</v>
      </c>
      <c r="S8" s="59">
        <f ca="1">AVERAGE(OFFSET($R$3,0,0,'Données projet'!$E$9+1,1))-AVERAGE(OFFSET($H$3,0,0,'Données projet'!$E$9+1,1))</f>
        <v>681.47578137804555</v>
      </c>
      <c r="T8" s="59">
        <f t="shared" si="34"/>
        <v>300.88511065995885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2.3389428374280206</v>
      </c>
      <c r="AJ8" s="13">
        <f>AI8*VLOOKUP('Données projet'!$B$10,Paramètres!$A$1:$I$89,3,0)*VLOOKUP('Données projet'!$B$10,Paramètres!$A$1:$I$89,5,0)</f>
        <v>2.2257380040965042</v>
      </c>
      <c r="AK8" s="13">
        <f t="shared" si="35"/>
        <v>0.93450176898452786</v>
      </c>
      <c r="AL8" s="20">
        <f t="shared" si="4"/>
        <v>5.5040842714494636</v>
      </c>
      <c r="AM8" s="59">
        <f t="shared" si="5"/>
        <v>184.29513214789682</v>
      </c>
      <c r="AN8" s="59">
        <f ca="1">AVERAGE(OFFSET($AM$3,0,0,'Données projet'!$E$10+1,1))-AVERAGE(OFFSET($H$3,0,0,'Données projet'!$E$10+1,1))</f>
        <v>423.80243030843661</v>
      </c>
      <c r="AO8" s="59">
        <f t="shared" si="36"/>
        <v>260.29028006191834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5.8890909090909096</v>
      </c>
      <c r="BD8" s="12">
        <f>IF('Données projet'!$A$88&gt;35,BD7+BC8-BL7,IF(A8&lt;'Données projet'!$A$88,$BA$205^A8,IF(A8='Données projet'!$A$88,'Données projet'!$B$88,BD7+BC8-BL7)))</f>
        <v>3.0206960777814591</v>
      </c>
      <c r="BE8" s="13">
        <f>BD8*VLOOKUP('Données projet'!$B$11,Paramètres!$A$1:$I$89,3,0)*VLOOKUP('Données projet'!$B$11,Paramètres!$A$1:$I$89,5,0)</f>
        <v>1.8063762545133126</v>
      </c>
      <c r="BF8" s="13">
        <f t="shared" si="37"/>
        <v>0.77708370871120902</v>
      </c>
      <c r="BG8" s="20">
        <f t="shared" si="7"/>
        <v>4.4995261026160422</v>
      </c>
      <c r="BH8" s="59">
        <f t="shared" si="8"/>
        <v>183.2905739790634</v>
      </c>
      <c r="BI8" s="59">
        <f ca="1">AVERAGE(OFFSET($BH$3,0,0,'Données projet'!$E$11+1,1))-AVERAGE(OFFSET($H$3,0,0,'Données projet'!$E$11+1,1))</f>
        <v>373.61861223558259</v>
      </c>
      <c r="BJ8" s="59">
        <f t="shared" si="38"/>
        <v>277.62293009761049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3.4615384615384612</v>
      </c>
      <c r="BY8" s="12">
        <f>IF('Données projet'!$A$114&gt;35,BY7+BX8-CG7,IF(A8&lt;'Données projet'!$A$114,$BV$205^A8,IF(A8='Données projet'!$A$114,'Données projet'!$B$114,BY7+BX8-CG7)))</f>
        <v>2.8845282011757893</v>
      </c>
      <c r="BZ8" s="13">
        <f>BY8*VLOOKUP('Données projet'!$B$12,Paramètres!$A$1:$I$89,3,0)*VLOOKUP('Données projet'!$B$12,Paramètres!$A$1:$I$89,5,0)</f>
        <v>2.5199238365471697</v>
      </c>
      <c r="CA8" s="13">
        <f t="shared" si="39"/>
        <v>1.0428407287456525</v>
      </c>
      <c r="CB8" s="20">
        <f t="shared" si="10"/>
        <v>6.2051482845516652</v>
      </c>
      <c r="CC8" s="59">
        <f t="shared" si="11"/>
        <v>184.99619616099901</v>
      </c>
      <c r="CD8" s="59">
        <f ca="1">AVERAGE(OFFSET($CC$3,0,0,'Données projet'!$E$12+1,1))-AVERAGE(OFFSET($H$3,0,0,'Données projet'!$E$12+1,1))</f>
        <v>251.30277097589737</v>
      </c>
      <c r="CE8" s="59">
        <f t="shared" si="40"/>
        <v>224.11983819941796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2.85</v>
      </c>
      <c r="CT8" s="12">
        <f>IF('Données projet'!$A$140&gt;35,CT7+CS8-DB7,IF(A8&lt;'Données projet'!$A$140,$CQ$205^A8,IF(A8='Données projet'!$A$140,'Données projet'!$B$140,CT7+CS8-DB7)))</f>
        <v>2.7476962050544729</v>
      </c>
      <c r="CU8" s="17">
        <f>CT8*VLOOKUP('Données projet'!$B$13,Paramètres!$A$1:$I$89,3,0)*VLOOKUP('Données projet'!$B$13,Paramètres!$A$1:$I$89,5,0)</f>
        <v>2.400387404735588</v>
      </c>
      <c r="CV8" s="13">
        <f t="shared" si="41"/>
        <v>0.99900728739126998</v>
      </c>
      <c r="CW8" s="20">
        <f t="shared" si="13"/>
        <v>5.9206124221209437</v>
      </c>
      <c r="CX8" s="59">
        <f t="shared" si="14"/>
        <v>184.71166029856829</v>
      </c>
      <c r="CY8" s="59">
        <f ca="1">AVERAGE(OFFSET($CX$3,0,0,'Données projet'!$E$13+1,1))-AVERAGE(OFFSET($H$3,0,0,'Données projet'!$E$13+1,1))</f>
        <v>287.28439432670405</v>
      </c>
      <c r="CZ8" s="59">
        <f t="shared" si="42"/>
        <v>276.01618888357268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1.153846153846154</v>
      </c>
      <c r="DO8" s="12">
        <f>IF('Données projet'!$A$166&gt;35,DO7+DN8-DW7,IF(A8&lt;'Données projet'!$A$166,$DL$205^A8,IF(A8='Données projet'!$A$166,'Données projet'!$B$166,DO7+DN8-DW7)))</f>
        <v>1.9589239819693882</v>
      </c>
      <c r="DP8" s="17">
        <f>DO8*VLOOKUP('Données projet'!$B$14,Paramètres!$A$1:$I$89,3,0)*VLOOKUP('Données projet'!$B$14,Paramètres!$A$1:$I$89,5,0)</f>
        <v>1.8946712753607922</v>
      </c>
      <c r="DQ8" s="13">
        <f t="shared" si="43"/>
        <v>0.81055220810884754</v>
      </c>
      <c r="DR8" s="20">
        <f t="shared" si="16"/>
        <v>4.7115975670429551</v>
      </c>
      <c r="DS8" s="59">
        <f t="shared" si="17"/>
        <v>183.50264544349031</v>
      </c>
      <c r="DT8" s="59">
        <f ca="1">AVERAGE(OFFSET($DS$3,0,0,'Données projet'!$E$14+1,1))-AVERAGE(OFFSET($H$3,0,0,'Données projet'!$E$14+1,1))</f>
        <v>206.5245935130306</v>
      </c>
      <c r="DU8" s="59">
        <f t="shared" si="44"/>
        <v>130.57011290898546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7.7715686274509812</v>
      </c>
      <c r="EJ8" s="12">
        <f>IF('Données projet'!$A$192&gt;35,EJ7+EI8-ER7,IF(A8&lt;'Données projet'!$A$192,$EG$205^A8,IF(A8='Données projet'!$A$192,'Données projet'!$B$192,EJ7+EI8-ER7)))</f>
        <v>38.857843137254903</v>
      </c>
      <c r="EK8" s="17">
        <f>EJ8*VLOOKUP('Données projet'!$B$15,Paramètres!$A$1:$I$89,3,0)*VLOOKUP('Données projet'!$B$15,Paramètres!$A$1:$I$89,5,0)</f>
        <v>18.185470588235294</v>
      </c>
      <c r="EL8" s="13">
        <f t="shared" si="45"/>
        <v>5.9792219084824367</v>
      </c>
      <c r="EM8" s="20">
        <f t="shared" si="19"/>
        <v>42.086839431783375</v>
      </c>
      <c r="EN8" s="59">
        <f t="shared" si="20"/>
        <v>220.87788730823073</v>
      </c>
      <c r="EO8" s="59">
        <f ca="1">AVERAGE(OFFSET($EN$3,0,0,'Données projet'!$E$15+1,1))-AVERAGE(OFFSET($H$3,0,0,'Données projet'!$E$15+1,1))</f>
        <v>374.38106339726073</v>
      </c>
      <c r="EP8" s="59">
        <f t="shared" si="46"/>
        <v>296.53283288925957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9">
        <f t="shared" si="0"/>
        <v>232.61669832411957</v>
      </c>
      <c r="S9" s="59">
        <f ca="1">AVERAGE(OFFSET($R$3,0,0,'Données projet'!$E$9+1,1))-AVERAGE(OFFSET($H$3,0,0,'Données projet'!$E$9+1,1))</f>
        <v>681.47578137804555</v>
      </c>
      <c r="T9" s="59">
        <f t="shared" si="34"/>
        <v>300.88511065995885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2.7721934279386429</v>
      </c>
      <c r="AJ9" s="13">
        <f>AI9*VLOOKUP('Données projet'!$B$10,Paramètres!$A$1:$I$89,3,0)*VLOOKUP('Données projet'!$B$10,Paramètres!$A$1:$I$89,5,0)</f>
        <v>2.6380192660264128</v>
      </c>
      <c r="AK9" s="13">
        <f t="shared" si="35"/>
        <v>1.0859086008836318</v>
      </c>
      <c r="AL9" s="20">
        <f t="shared" si="4"/>
        <v>6.4858410348683284</v>
      </c>
      <c r="AM9" s="59">
        <f t="shared" si="5"/>
        <v>187.95609313112729</v>
      </c>
      <c r="AN9" s="59">
        <f ca="1">AVERAGE(OFFSET($AM$3,0,0,'Données projet'!$E$10+1,1))-AVERAGE(OFFSET($H$3,0,0,'Données projet'!$E$10+1,1))</f>
        <v>423.80243030843661</v>
      </c>
      <c r="AO9" s="59">
        <f t="shared" si="36"/>
        <v>260.29028006191834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5.8890909090909096</v>
      </c>
      <c r="BD9" s="12">
        <f>IF('Données projet'!$A$88&gt;35,BD8+BC9-BL8,IF(A9&lt;'Données projet'!$A$88,$BA$205^A9,IF(A9='Données projet'!$A$88,'Données projet'!$B$88,BD8+BC9-BL8)))</f>
        <v>3.7681522162486343</v>
      </c>
      <c r="BE9" s="13">
        <f>BD9*VLOOKUP('Données projet'!$B$11,Paramètres!$A$1:$I$89,3,0)*VLOOKUP('Données projet'!$B$11,Paramètres!$A$1:$I$89,5,0)</f>
        <v>2.2533550253166834</v>
      </c>
      <c r="BF9" s="13">
        <f t="shared" si="37"/>
        <v>0.94474003310844989</v>
      </c>
      <c r="BG9" s="20">
        <f t="shared" si="7"/>
        <v>5.5700155600904404</v>
      </c>
      <c r="BH9" s="59">
        <f t="shared" si="8"/>
        <v>187.04026765634941</v>
      </c>
      <c r="BI9" s="59">
        <f ca="1">AVERAGE(OFFSET($BH$3,0,0,'Données projet'!$E$11+1,1))-AVERAGE(OFFSET($H$3,0,0,'Données projet'!$E$11+1,1))</f>
        <v>373.61861223558259</v>
      </c>
      <c r="BJ9" s="59">
        <f t="shared" si="38"/>
        <v>277.62293009761049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3.4615384615384612</v>
      </c>
      <c r="BY9" s="12">
        <f>IF('Données projet'!$A$114&gt;35,BY8+BX9-CG8,IF(A9&lt;'Données projet'!$A$114,$BV$205^A9,IF(A9='Données projet'!$A$114,'Données projet'!$B$114,BY8+BX9-CG8)))</f>
        <v>3.5652480181639725</v>
      </c>
      <c r="BZ9" s="13">
        <f>BY9*VLOOKUP('Données projet'!$B$12,Paramètres!$A$1:$I$89,3,0)*VLOOKUP('Données projet'!$B$12,Paramètres!$A$1:$I$89,5,0)</f>
        <v>3.114600668668047</v>
      </c>
      <c r="CA9" s="13">
        <f t="shared" si="39"/>
        <v>1.2575417175697168</v>
      </c>
      <c r="CB9" s="20">
        <f t="shared" si="10"/>
        <v>7.614814656030771</v>
      </c>
      <c r="CC9" s="59">
        <f t="shared" si="11"/>
        <v>189.08506675228975</v>
      </c>
      <c r="CD9" s="59">
        <f ca="1">AVERAGE(OFFSET($CC$3,0,0,'Données projet'!$E$12+1,1))-AVERAGE(OFFSET($H$3,0,0,'Données projet'!$E$12+1,1))</f>
        <v>251.30277097589737</v>
      </c>
      <c r="CE9" s="59">
        <f t="shared" si="40"/>
        <v>224.11983819941796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2.85</v>
      </c>
      <c r="CT9" s="12">
        <f>IF('Données projet'!$A$140&gt;35,CT8+CS9-DB8,IF(A9&lt;'Données projet'!$A$140,$CQ$205^A9,IF(A9='Données projet'!$A$140,'Données projet'!$B$140,CT8+CS9-DB8)))</f>
        <v>3.3632756010449452</v>
      </c>
      <c r="CU9" s="17">
        <f>CT9*VLOOKUP('Données projet'!$B$13,Paramètres!$A$1:$I$89,3,0)*VLOOKUP('Données projet'!$B$13,Paramètres!$A$1:$I$89,5,0)</f>
        <v>2.9381575650728644</v>
      </c>
      <c r="CV9" s="13">
        <f t="shared" si="41"/>
        <v>1.1943818835926812</v>
      </c>
      <c r="CW9" s="20">
        <f t="shared" si="13"/>
        <v>7.1975062064258246</v>
      </c>
      <c r="CX9" s="59">
        <f t="shared" si="14"/>
        <v>188.6677583026848</v>
      </c>
      <c r="CY9" s="59">
        <f ca="1">AVERAGE(OFFSET($CX$3,0,0,'Données projet'!$E$13+1,1))-AVERAGE(OFFSET($H$3,0,0,'Données projet'!$E$13+1,1))</f>
        <v>287.28439432670405</v>
      </c>
      <c r="CZ9" s="59">
        <f t="shared" si="42"/>
        <v>276.01618888357268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1.153846153846154</v>
      </c>
      <c r="DO9" s="12">
        <f>IF('Données projet'!$A$166&gt;35,DO8+DN9-DW8,IF(A9&lt;'Données projet'!$A$166,$DL$205^A9,IF(A9='Données projet'!$A$166,'Données projet'!$B$166,DO8+DN9-DW8)))</f>
        <v>2.240892895361426</v>
      </c>
      <c r="DP9" s="17">
        <f>DO9*VLOOKUP('Données projet'!$B$14,Paramètres!$A$1:$I$89,3,0)*VLOOKUP('Données projet'!$B$14,Paramètres!$A$1:$I$89,5,0)</f>
        <v>2.1673916083935714</v>
      </c>
      <c r="DQ9" s="13">
        <f t="shared" si="43"/>
        <v>0.91282250866431436</v>
      </c>
      <c r="DR9" s="20">
        <f t="shared" si="16"/>
        <v>5.3647062538758172</v>
      </c>
      <c r="DS9" s="59">
        <f t="shared" si="17"/>
        <v>186.8349583501348</v>
      </c>
      <c r="DT9" s="59">
        <f ca="1">AVERAGE(OFFSET($DS$3,0,0,'Données projet'!$E$14+1,1))-AVERAGE(OFFSET($H$3,0,0,'Données projet'!$E$14+1,1))</f>
        <v>206.5245935130306</v>
      </c>
      <c r="DU9" s="59">
        <f t="shared" si="44"/>
        <v>130.57011290898546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7.7715686274509812</v>
      </c>
      <c r="EJ9" s="12">
        <f>IF('Données projet'!$A$192&gt;35,EJ8+EI9-ER8,IF(A9&lt;'Données projet'!$A$192,$EG$205^A9,IF(A9='Données projet'!$A$192,'Données projet'!$B$192,EJ8+EI9-ER8)))</f>
        <v>46.629411764705885</v>
      </c>
      <c r="EK9" s="17">
        <f>EJ9*VLOOKUP('Données projet'!$B$15,Paramètres!$A$1:$I$89,3,0)*VLOOKUP('Données projet'!$B$15,Paramètres!$A$1:$I$89,5,0)</f>
        <v>21.822564705882353</v>
      </c>
      <c r="EL9" s="13">
        <f t="shared" si="45"/>
        <v>7.0243997831002556</v>
      </c>
      <c r="EM9" s="20">
        <f t="shared" si="19"/>
        <v>50.241796484978039</v>
      </c>
      <c r="EN9" s="59">
        <f t="shared" si="20"/>
        <v>231.71204858123701</v>
      </c>
      <c r="EO9" s="59">
        <f ca="1">AVERAGE(OFFSET($EN$3,0,0,'Données projet'!$E$15+1,1))-AVERAGE(OFFSET($H$3,0,0,'Données projet'!$E$15+1,1))</f>
        <v>374.38106339726073</v>
      </c>
      <c r="EP9" s="59">
        <f t="shared" si="46"/>
        <v>296.53283288925957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9">
        <f t="shared" si="0"/>
        <v>243.53706037561517</v>
      </c>
      <c r="S10" s="59">
        <f ca="1">AVERAGE(OFFSET($R$3,0,0,'Données projet'!$E$9+1,1))-AVERAGE(OFFSET($H$3,0,0,'Données projet'!$E$9+1,1))</f>
        <v>681.47578137804555</v>
      </c>
      <c r="T10" s="59">
        <f t="shared" si="34"/>
        <v>300.88511065995885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3.2856965458621241</v>
      </c>
      <c r="AJ10" s="13">
        <f>AI10*VLOOKUP('Données projet'!$B$10,Paramètres!$A$1:$I$89,3,0)*VLOOKUP('Données projet'!$B$10,Paramètres!$A$1:$I$89,5,0)</f>
        <v>3.1266688330423973</v>
      </c>
      <c r="AK10" s="13">
        <f t="shared" si="35"/>
        <v>1.2618461822222296</v>
      </c>
      <c r="AL10" s="20">
        <f t="shared" si="4"/>
        <v>7.6433303182525583</v>
      </c>
      <c r="AM10" s="59">
        <f t="shared" si="5"/>
        <v>191.7675112539888</v>
      </c>
      <c r="AN10" s="59">
        <f ca="1">AVERAGE(OFFSET($AM$3,0,0,'Données projet'!$E$10+1,1))-AVERAGE(OFFSET($H$3,0,0,'Données projet'!$E$10+1,1))</f>
        <v>423.80243030843661</v>
      </c>
      <c r="AO10" s="59">
        <f t="shared" si="36"/>
        <v>260.29028006191834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5.8890909090909096</v>
      </c>
      <c r="BD10" s="12">
        <f>IF('Données projet'!$A$88&gt;35,BD9+BC10-BL9,IF(A10&lt;'Données projet'!$A$88,$BA$205^A10,IF(A10='Données projet'!$A$88,'Données projet'!$B$88,BD9+BC10-BL9)))</f>
        <v>4.7005626382803412</v>
      </c>
      <c r="BE10" s="13">
        <f>BD10*VLOOKUP('Données projet'!$B$11,Paramètres!$A$1:$I$89,3,0)*VLOOKUP('Données projet'!$B$11,Paramètres!$A$1:$I$89,5,0)</f>
        <v>2.8109364576916445</v>
      </c>
      <c r="BF10" s="13">
        <f t="shared" si="37"/>
        <v>1.1485683204426194</v>
      </c>
      <c r="BG10" s="20">
        <f t="shared" si="7"/>
        <v>6.8961374885838422</v>
      </c>
      <c r="BH10" s="59">
        <f t="shared" si="8"/>
        <v>191.02031842432007</v>
      </c>
      <c r="BI10" s="59">
        <f ca="1">AVERAGE(OFFSET($BH$3,0,0,'Données projet'!$E$11+1,1))-AVERAGE(OFFSET($H$3,0,0,'Données projet'!$E$11+1,1))</f>
        <v>373.61861223558259</v>
      </c>
      <c r="BJ10" s="59">
        <f t="shared" si="38"/>
        <v>277.62293009761049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3.4615384615384612</v>
      </c>
      <c r="BY10" s="12">
        <f>IF('Données projet'!$A$114&gt;35,BY9+BX10-CG9,IF(A10&lt;'Données projet'!$A$114,$BV$205^A10,IF(A10='Données projet'!$A$114,'Données projet'!$B$114,BY9+BX10-CG9)))</f>
        <v>4.4066109063662084</v>
      </c>
      <c r="BZ10" s="13">
        <f>BY10*VLOOKUP('Données projet'!$B$12,Paramètres!$A$1:$I$89,3,0)*VLOOKUP('Données projet'!$B$12,Paramètres!$A$1:$I$89,5,0)</f>
        <v>3.84961528780152</v>
      </c>
      <c r="CA10" s="13">
        <f t="shared" si="39"/>
        <v>1.5164455394164966</v>
      </c>
      <c r="CB10" s="20">
        <f t="shared" si="10"/>
        <v>9.3458892740713804</v>
      </c>
      <c r="CC10" s="59">
        <f t="shared" si="11"/>
        <v>193.4700702098076</v>
      </c>
      <c r="CD10" s="59">
        <f ca="1">AVERAGE(OFFSET($CC$3,0,0,'Données projet'!$E$12+1,1))-AVERAGE(OFFSET($H$3,0,0,'Données projet'!$E$12+1,1))</f>
        <v>251.30277097589737</v>
      </c>
      <c r="CE10" s="59">
        <f t="shared" si="40"/>
        <v>224.11983819941796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2.85</v>
      </c>
      <c r="CT10" s="12">
        <f>IF('Données projet'!$A$140&gt;35,CT9+CS10-DB9,IF(A10&lt;'Données projet'!$A$140,$CQ$205^A10,IF(A10='Données projet'!$A$140,'Données projet'!$B$140,CT9+CS10-DB9)))</f>
        <v>4.116766164969822</v>
      </c>
      <c r="CU10" s="17">
        <f>CT10*VLOOKUP('Données projet'!$B$13,Paramètres!$A$1:$I$89,3,0)*VLOOKUP('Données projet'!$B$13,Paramètres!$A$1:$I$89,5,0)</f>
        <v>3.5964069217176369</v>
      </c>
      <c r="CV10" s="13">
        <f t="shared" si="41"/>
        <v>1.4279656433533914</v>
      </c>
      <c r="CW10" s="20">
        <f t="shared" si="13"/>
        <v>8.7507822174987044</v>
      </c>
      <c r="CX10" s="59">
        <f t="shared" si="14"/>
        <v>192.87496315323494</v>
      </c>
      <c r="CY10" s="59">
        <f ca="1">AVERAGE(OFFSET($CX$3,0,0,'Données projet'!$E$13+1,1))-AVERAGE(OFFSET($H$3,0,0,'Données projet'!$E$13+1,1))</f>
        <v>287.28439432670405</v>
      </c>
      <c r="CZ10" s="59">
        <f t="shared" si="42"/>
        <v>276.01618888357268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1.153846153846154</v>
      </c>
      <c r="DO10" s="12">
        <f>IF('Données projet'!$A$166&gt;35,DO9+DN10-DW9,IF(A10&lt;'Données projet'!$A$166,$DL$205^A10,IF(A10='Données projet'!$A$166,'Données projet'!$B$166,DO9+DN10-DW9)))</f>
        <v>2.5634486150059219</v>
      </c>
      <c r="DP10" s="17">
        <f>DO10*VLOOKUP('Données projet'!$B$14,Paramètres!$A$1:$I$89,3,0)*VLOOKUP('Données projet'!$B$14,Paramètres!$A$1:$I$89,5,0)</f>
        <v>2.4793675004337277</v>
      </c>
      <c r="DQ10" s="13">
        <f t="shared" si="43"/>
        <v>1.0279966225350374</v>
      </c>
      <c r="DR10" s="20">
        <f t="shared" si="16"/>
        <v>6.1086591808372646</v>
      </c>
      <c r="DS10" s="59">
        <f t="shared" si="17"/>
        <v>190.2328401165735</v>
      </c>
      <c r="DT10" s="59">
        <f ca="1">AVERAGE(OFFSET($DS$3,0,0,'Données projet'!$E$14+1,1))-AVERAGE(OFFSET($H$3,0,0,'Données projet'!$E$14+1,1))</f>
        <v>206.5245935130306</v>
      </c>
      <c r="DU10" s="59">
        <f t="shared" si="44"/>
        <v>130.57011290898546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7.7715686274509812</v>
      </c>
      <c r="EJ10" s="12">
        <f>IF('Données projet'!$A$192&gt;35,EJ9+EI10-ER9,IF(A10&lt;'Données projet'!$A$192,$EG$205^A10,IF(A10='Données projet'!$A$192,'Données projet'!$B$192,EJ9+EI10-ER9)))</f>
        <v>54.400980392156868</v>
      </c>
      <c r="EK10" s="17">
        <f>EJ10*VLOOKUP('Données projet'!$B$15,Paramètres!$A$1:$I$89,3,0)*VLOOKUP('Données projet'!$B$15,Paramètres!$A$1:$I$89,5,0)</f>
        <v>25.459658823529416</v>
      </c>
      <c r="EL10" s="13">
        <f t="shared" si="45"/>
        <v>8.0493980491936057</v>
      </c>
      <c r="EM10" s="20">
        <f t="shared" si="19"/>
        <v>58.361607386659266</v>
      </c>
      <c r="EN10" s="59">
        <f t="shared" si="20"/>
        <v>242.48578832239551</v>
      </c>
      <c r="EO10" s="59">
        <f ca="1">AVERAGE(OFFSET($EN$3,0,0,'Données projet'!$E$15+1,1))-AVERAGE(OFFSET($H$3,0,0,'Données projet'!$E$15+1,1))</f>
        <v>374.38106339726073</v>
      </c>
      <c r="EP10" s="59">
        <f t="shared" si="46"/>
        <v>296.53283288925957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9">
        <f t="shared" si="0"/>
        <v>254.40255617832378</v>
      </c>
      <c r="S11" s="59">
        <f ca="1">AVERAGE(OFFSET($R$3,0,0,'Données projet'!$E$9+1,1))-AVERAGE(OFFSET($H$3,0,0,'Données projet'!$E$9+1,1))</f>
        <v>681.47578137804555</v>
      </c>
      <c r="T11" s="59">
        <f t="shared" si="34"/>
        <v>300.88511065995885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3.8943176485047335</v>
      </c>
      <c r="AJ11" s="13">
        <f>AI11*VLOOKUP('Données projet'!$B$10,Paramètres!$A$1:$I$89,3,0)*VLOOKUP('Données projet'!$B$10,Paramètres!$A$1:$I$89,5,0)</f>
        <v>3.7058326743171039</v>
      </c>
      <c r="AK11" s="13">
        <f t="shared" si="35"/>
        <v>1.4662889549757283</v>
      </c>
      <c r="AL11" s="20">
        <f t="shared" si="4"/>
        <v>9.008111837685016</v>
      </c>
      <c r="AM11" s="59">
        <f t="shared" si="5"/>
        <v>195.76138470390558</v>
      </c>
      <c r="AN11" s="59">
        <f ca="1">AVERAGE(OFFSET($AM$3,0,0,'Données projet'!$E$10+1,1))-AVERAGE(OFFSET($H$3,0,0,'Données projet'!$E$10+1,1))</f>
        <v>423.80243030843661</v>
      </c>
      <c r="AO11" s="59">
        <f t="shared" si="36"/>
        <v>260.29028006191834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5.8890909090909096</v>
      </c>
      <c r="BD11" s="12">
        <f>IF('Données projet'!$A$88&gt;35,BD10+BC11-BL10,IF(A11&lt;'Données projet'!$A$88,$BA$205^A11,IF(A11='Données projet'!$A$88,'Données projet'!$B$88,BD10+BC11-BL10)))</f>
        <v>5.8636933564201668</v>
      </c>
      <c r="BE11" s="13">
        <f>BD11*VLOOKUP('Données projet'!$B$11,Paramètres!$A$1:$I$89,3,0)*VLOOKUP('Données projet'!$B$11,Paramètres!$A$1:$I$89,5,0)</f>
        <v>3.5064886271392601</v>
      </c>
      <c r="BF11" s="13">
        <f t="shared" si="37"/>
        <v>1.3963726956545126</v>
      </c>
      <c r="BG11" s="20">
        <f t="shared" si="7"/>
        <v>8.5391501371991527</v>
      </c>
      <c r="BH11" s="59">
        <f t="shared" si="8"/>
        <v>195.29242300341971</v>
      </c>
      <c r="BI11" s="59">
        <f ca="1">AVERAGE(OFFSET($BH$3,0,0,'Données projet'!$E$11+1,1))-AVERAGE(OFFSET($H$3,0,0,'Données projet'!$E$11+1,1))</f>
        <v>373.61861223558259</v>
      </c>
      <c r="BJ11" s="59">
        <f t="shared" si="38"/>
        <v>277.62293009761049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3.4615384615384612</v>
      </c>
      <c r="BY11" s="12">
        <f>IF('Données projet'!$A$114&gt;35,BY10+BX11-CG10,IF(A11&lt;'Données projet'!$A$114,$BV$205^A11,IF(A11='Données projet'!$A$114,'Données projet'!$B$114,BY10+BX11-CG10)))</f>
        <v>5.4465270245365955</v>
      </c>
      <c r="BZ11" s="13">
        <f>BY11*VLOOKUP('Données projet'!$B$12,Paramètres!$A$1:$I$89,3,0)*VLOOKUP('Données projet'!$B$12,Paramètres!$A$1:$I$89,5,0)</f>
        <v>4.7580860086351704</v>
      </c>
      <c r="CA11" s="13">
        <f t="shared" si="39"/>
        <v>1.828652713375055</v>
      </c>
      <c r="CB11" s="20">
        <f t="shared" si="10"/>
        <v>11.47190327416781</v>
      </c>
      <c r="CC11" s="59">
        <f t="shared" si="11"/>
        <v>198.22517614038836</v>
      </c>
      <c r="CD11" s="59">
        <f ca="1">AVERAGE(OFFSET($CC$3,0,0,'Données projet'!$E$12+1,1))-AVERAGE(OFFSET($H$3,0,0,'Données projet'!$E$12+1,1))</f>
        <v>251.30277097589737</v>
      </c>
      <c r="CE11" s="59">
        <f t="shared" si="40"/>
        <v>224.11983819941796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2.85</v>
      </c>
      <c r="CT11" s="12">
        <f>IF('Données projet'!$A$140&gt;35,CT10+CS11-DB10,IF(A11&lt;'Données projet'!$A$140,$CQ$205^A11,IF(A11='Données projet'!$A$140,'Données projet'!$B$140,CT10+CS11-DB10)))</f>
        <v>5.0390647890332847</v>
      </c>
      <c r="CU11" s="17">
        <f>CT11*VLOOKUP('Données projet'!$B$13,Paramètres!$A$1:$I$89,3,0)*VLOOKUP('Données projet'!$B$13,Paramètres!$A$1:$I$89,5,0)</f>
        <v>4.4021269996994778</v>
      </c>
      <c r="CV11" s="13">
        <f t="shared" si="41"/>
        <v>1.7072310846377947</v>
      </c>
      <c r="CW11" s="20">
        <f t="shared" si="13"/>
        <v>10.640465330220749</v>
      </c>
      <c r="CX11" s="59">
        <f t="shared" si="14"/>
        <v>197.39373819644129</v>
      </c>
      <c r="CY11" s="59">
        <f ca="1">AVERAGE(OFFSET($CX$3,0,0,'Données projet'!$E$13+1,1))-AVERAGE(OFFSET($H$3,0,0,'Données projet'!$E$13+1,1))</f>
        <v>287.28439432670405</v>
      </c>
      <c r="CZ11" s="59">
        <f t="shared" si="42"/>
        <v>276.01618888357268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1.153846153846154</v>
      </c>
      <c r="DO11" s="12">
        <f>IF('Données projet'!$A$166&gt;35,DO10+DN11-DW10,IF(A11&lt;'Données projet'!$A$166,$DL$205^A11,IF(A11='Données projet'!$A$166,'Données projet'!$B$166,DO10+DN11-DW10)))</f>
        <v>2.9324332347066164</v>
      </c>
      <c r="DP11" s="17">
        <f>DO11*VLOOKUP('Données projet'!$B$14,Paramètres!$A$1:$I$89,3,0)*VLOOKUP('Données projet'!$B$14,Paramètres!$A$1:$I$89,5,0)</f>
        <v>2.8362494246082393</v>
      </c>
      <c r="DQ11" s="13">
        <f t="shared" si="43"/>
        <v>1.1577026704674183</v>
      </c>
      <c r="DR11" s="20">
        <f t="shared" si="16"/>
        <v>6.9561332322567706</v>
      </c>
      <c r="DS11" s="59">
        <f t="shared" si="17"/>
        <v>193.70940609847733</v>
      </c>
      <c r="DT11" s="59">
        <f ca="1">AVERAGE(OFFSET($DS$3,0,0,'Données projet'!$E$14+1,1))-AVERAGE(OFFSET($H$3,0,0,'Données projet'!$E$14+1,1))</f>
        <v>206.5245935130306</v>
      </c>
      <c r="DU11" s="59">
        <f t="shared" si="44"/>
        <v>130.57011290898546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7.7715686274509812</v>
      </c>
      <c r="EJ11" s="12">
        <f>IF('Données projet'!$A$192&gt;35,EJ10+EI11-ER10,IF(A11&lt;'Données projet'!$A$192,$EG$205^A11,IF(A11='Données projet'!$A$192,'Données projet'!$B$192,EJ10+EI11-ER10)))</f>
        <v>62.17254901960785</v>
      </c>
      <c r="EK11" s="17">
        <f>EJ11*VLOOKUP('Données projet'!$B$15,Paramètres!$A$1:$I$89,3,0)*VLOOKUP('Données projet'!$B$15,Paramètres!$A$1:$I$89,5,0)</f>
        <v>29.096752941176472</v>
      </c>
      <c r="EL11" s="13">
        <f t="shared" si="45"/>
        <v>9.0574321312547941</v>
      </c>
      <c r="EM11" s="20">
        <f t="shared" si="19"/>
        <v>66.451872334484463</v>
      </c>
      <c r="EN11" s="59">
        <f t="shared" si="20"/>
        <v>253.20514520070503</v>
      </c>
      <c r="EO11" s="59">
        <f ca="1">AVERAGE(OFFSET($EN$3,0,0,'Données projet'!$E$15+1,1))-AVERAGE(OFFSET($H$3,0,0,'Données projet'!$E$15+1,1))</f>
        <v>374.38106339726073</v>
      </c>
      <c r="EP11" s="59">
        <f t="shared" si="46"/>
        <v>296.53283288925957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9">
        <f t="shared" si="0"/>
        <v>265.21780015687921</v>
      </c>
      <c r="S12" s="59">
        <f ca="1">AVERAGE(OFFSET($R$3,0,0,'Données projet'!$E$9+1,1))-AVERAGE(OFFSET($H$3,0,0,'Données projet'!$E$9+1,1))</f>
        <v>681.47578137804555</v>
      </c>
      <c r="T12" s="59">
        <f t="shared" si="34"/>
        <v>300.88511065995885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4.6156757740012635</v>
      </c>
      <c r="AJ12" s="13">
        <f>AI12*VLOOKUP('Données projet'!$B$10,Paramètres!$A$1:$I$89,3,0)*VLOOKUP('Données projet'!$B$10,Paramètres!$A$1:$I$89,5,0)</f>
        <v>4.3922770665396023</v>
      </c>
      <c r="AK12" s="13">
        <f t="shared" si="35"/>
        <v>1.7038552953399257</v>
      </c>
      <c r="AL12" s="20">
        <f t="shared" si="4"/>
        <v>10.617430530273511</v>
      </c>
      <c r="AM12" s="59">
        <f t="shared" si="5"/>
        <v>199.97538928282958</v>
      </c>
      <c r="AN12" s="59">
        <f ca="1">AVERAGE(OFFSET($AM$3,0,0,'Données projet'!$E$10+1,1))-AVERAGE(OFFSET($H$3,0,0,'Données projet'!$E$10+1,1))</f>
        <v>423.80243030843661</v>
      </c>
      <c r="AO12" s="59">
        <f t="shared" si="36"/>
        <v>260.29028006191834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5.8890909090909096</v>
      </c>
      <c r="BD12" s="12">
        <f>IF('Données projet'!$A$88&gt;35,BD11+BC12-BL11,IF(A12&lt;'Données projet'!$A$88,$BA$205^A12,IF(A12='Données projet'!$A$88,'Données projet'!$B$88,BD11+BC12-BL11)))</f>
        <v>7.3146349541476745</v>
      </c>
      <c r="BE12" s="13">
        <f>BD12*VLOOKUP('Données projet'!$B$11,Paramètres!$A$1:$I$89,3,0)*VLOOKUP('Données projet'!$B$11,Paramètres!$A$1:$I$89,5,0)</f>
        <v>4.3741517025803098</v>
      </c>
      <c r="BF12" s="13">
        <f t="shared" si="37"/>
        <v>1.6976410288053578</v>
      </c>
      <c r="BG12" s="20">
        <f t="shared" si="7"/>
        <v>10.575039007163371</v>
      </c>
      <c r="BH12" s="59">
        <f t="shared" si="8"/>
        <v>199.93299775971946</v>
      </c>
      <c r="BI12" s="59">
        <f ca="1">AVERAGE(OFFSET($BH$3,0,0,'Données projet'!$E$11+1,1))-AVERAGE(OFFSET($H$3,0,0,'Données projet'!$E$11+1,1))</f>
        <v>373.61861223558259</v>
      </c>
      <c r="BJ12" s="59">
        <f t="shared" si="38"/>
        <v>277.62293009761049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3.4615384615384612</v>
      </c>
      <c r="BY12" s="12">
        <f>IF('Données projet'!$A$114&gt;35,BY11+BX12-CG11,IF(A12&lt;'Données projet'!$A$114,$BV$205^A12,IF(A12='Données projet'!$A$114,'Données projet'!$B$114,BY11+BX12-CG11)))</f>
        <v>6.731852949882887</v>
      </c>
      <c r="BZ12" s="13">
        <f>BY12*VLOOKUP('Données projet'!$B$12,Paramètres!$A$1:$I$89,3,0)*VLOOKUP('Données projet'!$B$12,Paramètres!$A$1:$I$89,5,0)</f>
        <v>5.8809467370176911</v>
      </c>
      <c r="CA12" s="13">
        <f t="shared" si="39"/>
        <v>2.2051373816039943</v>
      </c>
      <c r="CB12" s="20">
        <f t="shared" si="10"/>
        <v>14.083263173266099</v>
      </c>
      <c r="CC12" s="59">
        <f t="shared" si="11"/>
        <v>203.44122192582216</v>
      </c>
      <c r="CD12" s="59">
        <f ca="1">AVERAGE(OFFSET($CC$3,0,0,'Données projet'!$E$12+1,1))-AVERAGE(OFFSET($H$3,0,0,'Données projet'!$E$12+1,1))</f>
        <v>251.30277097589737</v>
      </c>
      <c r="CE12" s="59">
        <f t="shared" si="40"/>
        <v>224.11983819941796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2.85</v>
      </c>
      <c r="CT12" s="12">
        <f>IF('Données projet'!$A$140&gt;35,CT11+CS12-DB11,IF(A12&lt;'Données projet'!$A$140,$CQ$205^A12,IF(A12='Données projet'!$A$140,'Données projet'!$B$140,CT11+CS12-DB11)))</f>
        <v>6.167990342551116</v>
      </c>
      <c r="CU12" s="17">
        <f>CT12*VLOOKUP('Données projet'!$B$13,Paramètres!$A$1:$I$89,3,0)*VLOOKUP('Données projet'!$B$13,Paramètres!$A$1:$I$89,5,0)</f>
        <v>5.3883563632526554</v>
      </c>
      <c r="CV12" s="13">
        <f t="shared" si="41"/>
        <v>2.0411121163313792</v>
      </c>
      <c r="CW12" s="20">
        <f t="shared" si="13"/>
        <v>12.939657601942194</v>
      </c>
      <c r="CX12" s="59">
        <f t="shared" si="14"/>
        <v>202.29761635449827</v>
      </c>
      <c r="CY12" s="59">
        <f ca="1">AVERAGE(OFFSET($CX$3,0,0,'Données projet'!$E$13+1,1))-AVERAGE(OFFSET($H$3,0,0,'Données projet'!$E$13+1,1))</f>
        <v>287.28439432670405</v>
      </c>
      <c r="CZ12" s="59">
        <f t="shared" si="42"/>
        <v>276.01618888357268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1.153846153846154</v>
      </c>
      <c r="DO12" s="12">
        <f>IF('Données projet'!$A$166&gt;35,DO11+DN12-DW11,IF(A12&lt;'Données projet'!$A$166,$DL$205^A12,IF(A12='Données projet'!$A$166,'Données projet'!$B$166,DO11+DN12-DW11)))</f>
        <v>3.3545297634109366</v>
      </c>
      <c r="DP12" s="17">
        <f>DO12*VLOOKUP('Données projet'!$B$14,Paramètres!$A$1:$I$89,3,0)*VLOOKUP('Données projet'!$B$14,Paramètres!$A$1:$I$89,5,0)</f>
        <v>3.2445011871710578</v>
      </c>
      <c r="DQ12" s="13">
        <f t="shared" si="43"/>
        <v>1.3037741990846961</v>
      </c>
      <c r="DR12" s="20">
        <f t="shared" si="16"/>
        <v>7.9215796310621043</v>
      </c>
      <c r="DS12" s="59">
        <f t="shared" si="17"/>
        <v>197.27953838361819</v>
      </c>
      <c r="DT12" s="59">
        <f ca="1">AVERAGE(OFFSET($DS$3,0,0,'Données projet'!$E$14+1,1))-AVERAGE(OFFSET($H$3,0,0,'Données projet'!$E$14+1,1))</f>
        <v>206.5245935130306</v>
      </c>
      <c r="DU12" s="59">
        <f t="shared" si="44"/>
        <v>130.57011290898546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7.7715686274509812</v>
      </c>
      <c r="EJ12" s="12">
        <f>IF('Données projet'!$A$192&gt;35,EJ11+EI12-ER11,IF(A12&lt;'Données projet'!$A$192,$EG$205^A12,IF(A12='Données projet'!$A$192,'Données projet'!$B$192,EJ11+EI12-ER11)))</f>
        <v>69.944117647058832</v>
      </c>
      <c r="EK12" s="17">
        <f>EJ12*VLOOKUP('Données projet'!$B$15,Paramètres!$A$1:$I$89,3,0)*VLOOKUP('Données projet'!$B$15,Paramètres!$A$1:$I$89,5,0)</f>
        <v>32.733847058823535</v>
      </c>
      <c r="EL12" s="13">
        <f t="shared" si="45"/>
        <v>10.050865407189132</v>
      </c>
      <c r="EM12" s="20">
        <f t="shared" si="19"/>
        <v>74.51670754497205</v>
      </c>
      <c r="EN12" s="59">
        <f t="shared" si="20"/>
        <v>263.87466629752811</v>
      </c>
      <c r="EO12" s="59">
        <f ca="1">AVERAGE(OFFSET($EN$3,0,0,'Données projet'!$E$15+1,1))-AVERAGE(OFFSET($H$3,0,0,'Données projet'!$E$15+1,1))</f>
        <v>374.38106339726073</v>
      </c>
      <c r="EP12" s="59">
        <f t="shared" si="46"/>
        <v>296.53283288925957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9">
        <f t="shared" si="0"/>
        <v>275.98641504162418</v>
      </c>
      <c r="S13" s="59">
        <f ca="1">AVERAGE(OFFSET($R$3,0,0,'Données projet'!$E$9+1,1))-AVERAGE(OFFSET($H$3,0,0,'Données projet'!$E$9+1,1))</f>
        <v>681.47578137804555</v>
      </c>
      <c r="T13" s="59">
        <f t="shared" si="34"/>
        <v>300.88511065995885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5.4706535967558398</v>
      </c>
      <c r="AJ13" s="13">
        <f>AI13*VLOOKUP('Données projet'!$B$10,Paramètres!$A$1:$I$89,3,0)*VLOOKUP('Données projet'!$B$10,Paramètres!$A$1:$I$89,5,0)</f>
        <v>5.2058739626728574</v>
      </c>
      <c r="AK13" s="13">
        <f t="shared" si="35"/>
        <v>1.9799118431646106</v>
      </c>
      <c r="AL13" s="20">
        <f t="shared" si="4"/>
        <v>12.51524361183359</v>
      </c>
      <c r="AM13" s="59">
        <f t="shared" si="5"/>
        <v>204.45390559687849</v>
      </c>
      <c r="AN13" s="59">
        <f ca="1">AVERAGE(OFFSET($AM$3,0,0,'Données projet'!$E$10+1,1))-AVERAGE(OFFSET($H$3,0,0,'Données projet'!$E$10+1,1))</f>
        <v>423.80243030843661</v>
      </c>
      <c r="AO13" s="59">
        <f t="shared" si="36"/>
        <v>260.29028006191834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5.8890909090909096</v>
      </c>
      <c r="BD13" s="12">
        <f>IF('Données projet'!$A$88&gt;35,BD12+BC13-BL12,IF(A13&lt;'Données projet'!$A$88,$BA$205^A13,IF(A13='Données projet'!$A$88,'Données projet'!$B$88,BD12+BC13-BL12)))</f>
        <v>9.1246047943242932</v>
      </c>
      <c r="BE13" s="13">
        <f>BD13*VLOOKUP('Données projet'!$B$11,Paramètres!$A$1:$I$89,3,0)*VLOOKUP('Données projet'!$B$11,Paramètres!$A$1:$I$89,5,0)</f>
        <v>5.456513667005928</v>
      </c>
      <c r="BF13" s="13">
        <f t="shared" si="37"/>
        <v>2.0639082042007839</v>
      </c>
      <c r="BG13" s="20">
        <f t="shared" si="7"/>
        <v>13.098068092351689</v>
      </c>
      <c r="BH13" s="59">
        <f t="shared" si="8"/>
        <v>205.03673007739658</v>
      </c>
      <c r="BI13" s="59">
        <f ca="1">AVERAGE(OFFSET($BH$3,0,0,'Données projet'!$E$11+1,1))-AVERAGE(OFFSET($H$3,0,0,'Données projet'!$E$11+1,1))</f>
        <v>373.61861223558259</v>
      </c>
      <c r="BJ13" s="59">
        <f t="shared" si="38"/>
        <v>277.62293009761049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3.4615384615384612</v>
      </c>
      <c r="BY13" s="12">
        <f>IF('Données projet'!$A$114&gt;35,BY12+BX13-CG12,IF(A13&lt;'Données projet'!$A$114,$BV$205^A13,IF(A13='Données projet'!$A$114,'Données projet'!$B$114,BY12+BX13-CG12)))</f>
        <v>8.3205029433784343</v>
      </c>
      <c r="BZ13" s="13">
        <f>BY13*VLOOKUP('Données projet'!$B$12,Paramètres!$A$1:$I$89,3,0)*VLOOKUP('Données projet'!$B$12,Paramètres!$A$1:$I$89,5,0)</f>
        <v>7.2687913713354009</v>
      </c>
      <c r="CA13" s="13">
        <f t="shared" si="39"/>
        <v>2.6591330525371335</v>
      </c>
      <c r="CB13" s="20">
        <f t="shared" si="10"/>
        <v>17.291135038244661</v>
      </c>
      <c r="CC13" s="59">
        <f t="shared" si="11"/>
        <v>209.22979702328956</v>
      </c>
      <c r="CD13" s="59">
        <f ca="1">AVERAGE(OFFSET($CC$3,0,0,'Données projet'!$E$12+1,1))-AVERAGE(OFFSET($H$3,0,0,'Données projet'!$E$12+1,1))</f>
        <v>251.30277097589737</v>
      </c>
      <c r="CE13" s="59">
        <f t="shared" si="40"/>
        <v>224.11983819941796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2.85</v>
      </c>
      <c r="CT13" s="12">
        <f>IF('Données projet'!$A$140&gt;35,CT12+CS13-DB12,IF(A13&lt;'Données projet'!$A$140,$CQ$205^A13,IF(A13='Données projet'!$A$140,'Données projet'!$B$140,CT12+CS13-DB12)))</f>
        <v>7.5498344352707516</v>
      </c>
      <c r="CU13" s="17">
        <f>CT13*VLOOKUP('Données projet'!$B$13,Paramètres!$A$1:$I$89,3,0)*VLOOKUP('Données projet'!$B$13,Paramètres!$A$1:$I$89,5,0)</f>
        <v>6.5955353626525293</v>
      </c>
      <c r="CV13" s="13">
        <f t="shared" si="41"/>
        <v>2.4402898406214573</v>
      </c>
      <c r="CW13" s="20">
        <f t="shared" si="13"/>
        <v>15.737395562368858</v>
      </c>
      <c r="CX13" s="59">
        <f t="shared" si="14"/>
        <v>207.67605754741373</v>
      </c>
      <c r="CY13" s="59">
        <f ca="1">AVERAGE(OFFSET($CX$3,0,0,'Données projet'!$E$13+1,1))-AVERAGE(OFFSET($H$3,0,0,'Données projet'!$E$13+1,1))</f>
        <v>287.28439432670405</v>
      </c>
      <c r="CZ13" s="59">
        <f t="shared" si="42"/>
        <v>276.01618888357268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1.153846153846154</v>
      </c>
      <c r="DO13" s="12">
        <f>IF('Données projet'!$A$166&gt;35,DO12+DN13-DW12,IF(A13&lt;'Données projet'!$A$166,$DL$205^A13,IF(A13='Données projet'!$A$166,'Données projet'!$B$166,DO12+DN13-DW12)))</f>
        <v>3.8373831671348042</v>
      </c>
      <c r="DP13" s="17">
        <f>DO13*VLOOKUP('Données projet'!$B$14,Paramètres!$A$1:$I$89,3,0)*VLOOKUP('Données projet'!$B$14,Paramètres!$A$1:$I$89,5,0)</f>
        <v>3.7115169992527832</v>
      </c>
      <c r="DQ13" s="13">
        <f t="shared" si="43"/>
        <v>1.4682761002120193</v>
      </c>
      <c r="DR13" s="20">
        <f t="shared" si="16"/>
        <v>9.0214729815678627</v>
      </c>
      <c r="DS13" s="59">
        <f t="shared" si="17"/>
        <v>200.96013496661274</v>
      </c>
      <c r="DT13" s="59">
        <f ca="1">AVERAGE(OFFSET($DS$3,0,0,'Données projet'!$E$14+1,1))-AVERAGE(OFFSET($H$3,0,0,'Données projet'!$E$14+1,1))</f>
        <v>206.5245935130306</v>
      </c>
      <c r="DU13" s="59">
        <f t="shared" si="44"/>
        <v>130.57011290898546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7.7715686274509812</v>
      </c>
      <c r="EJ13" s="12">
        <f>IF('Données projet'!$A$192&gt;35,EJ12+EI13-ER12,IF(A13&lt;'Données projet'!$A$192,$EG$205^A13,IF(A13='Données projet'!$A$192,'Données projet'!$B$192,EJ12+EI13-ER12)))</f>
        <v>77.715686274509807</v>
      </c>
      <c r="EK13" s="17">
        <f>EJ13*VLOOKUP('Données projet'!$B$15,Paramètres!$A$1:$I$89,3,0)*VLOOKUP('Données projet'!$B$15,Paramètres!$A$1:$I$89,5,0)</f>
        <v>36.370941176470588</v>
      </c>
      <c r="EL13" s="13">
        <f t="shared" si="45"/>
        <v>11.031505249173463</v>
      </c>
      <c r="EM13" s="20">
        <f t="shared" si="19"/>
        <v>82.559260857996719</v>
      </c>
      <c r="EN13" s="59">
        <f t="shared" si="20"/>
        <v>274.49792284304158</v>
      </c>
      <c r="EO13" s="59">
        <f ca="1">AVERAGE(OFFSET($EN$3,0,0,'Données projet'!$E$15+1,1))-AVERAGE(OFFSET($H$3,0,0,'Données projet'!$E$15+1,1))</f>
        <v>374.38106339726073</v>
      </c>
      <c r="EP13" s="59">
        <f t="shared" si="46"/>
        <v>296.53283288925957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9">
        <f t="shared" si="0"/>
        <v>286.71133932256703</v>
      </c>
      <c r="S14" s="59">
        <f ca="1">AVERAGE(OFFSET($R$3,0,0,'Données projet'!$E$9+1,1))-AVERAGE(OFFSET($H$3,0,0,'Données projet'!$E$9+1,1))</f>
        <v>681.47578137804555</v>
      </c>
      <c r="T14" s="59">
        <f t="shared" si="34"/>
        <v>300.88511065995885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6.4840019622421199</v>
      </c>
      <c r="AJ14" s="13">
        <f>AI14*VLOOKUP('Données projet'!$B$10,Paramètres!$A$1:$I$89,3,0)*VLOOKUP('Données projet'!$B$10,Paramètres!$A$1:$I$89,5,0)</f>
        <v>6.1701762672696008</v>
      </c>
      <c r="AK14" s="13">
        <f t="shared" si="35"/>
        <v>2.3006947347142055</v>
      </c>
      <c r="AL14" s="20">
        <f t="shared" si="4"/>
        <v>14.753433661788458</v>
      </c>
      <c r="AM14" s="59">
        <f t="shared" si="5"/>
        <v>209.24923227090258</v>
      </c>
      <c r="AN14" s="59">
        <f ca="1">AVERAGE(OFFSET($AM$3,0,0,'Données projet'!$E$10+1,1))-AVERAGE(OFFSET($H$3,0,0,'Données projet'!$E$10+1,1))</f>
        <v>423.80243030843661</v>
      </c>
      <c r="AO14" s="59">
        <f t="shared" si="36"/>
        <v>260.29028006191834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5.8890909090909096</v>
      </c>
      <c r="BD14" s="12">
        <f>IF('Données projet'!$A$88&gt;35,BD13+BC14-BL13,IF(A14&lt;'Données projet'!$A$88,$BA$205^A14,IF(A14='Données projet'!$A$88,'Données projet'!$B$88,BD13+BC14-BL13)))</f>
        <v>11.382442620105763</v>
      </c>
      <c r="BE14" s="13">
        <f>BD14*VLOOKUP('Données projet'!$B$11,Paramètres!$A$1:$I$89,3,0)*VLOOKUP('Données projet'!$B$11,Paramètres!$A$1:$I$89,5,0)</f>
        <v>6.8067006868232474</v>
      </c>
      <c r="BF14" s="13">
        <f t="shared" si="37"/>
        <v>2.5091977650686839</v>
      </c>
      <c r="BG14" s="20">
        <f t="shared" si="7"/>
        <v>16.225189803711778</v>
      </c>
      <c r="BH14" s="59">
        <f t="shared" si="8"/>
        <v>210.7209884128259</v>
      </c>
      <c r="BI14" s="59">
        <f ca="1">AVERAGE(OFFSET($BH$3,0,0,'Données projet'!$E$11+1,1))-AVERAGE(OFFSET($H$3,0,0,'Données projet'!$E$11+1,1))</f>
        <v>373.61861223558259</v>
      </c>
      <c r="BJ14" s="59">
        <f t="shared" si="38"/>
        <v>277.62293009761049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3.4615384615384612</v>
      </c>
      <c r="BY14" s="12">
        <f>IF('Données projet'!$A$114&gt;35,BY13+BX14-CG13,IF(A14&lt;'Données projet'!$A$114,$BV$205^A14,IF(A14='Données projet'!$A$114,'Données projet'!$B$114,BY13+BX14-CG13)))</f>
        <v>10.284058452580071</v>
      </c>
      <c r="BZ14" s="13">
        <f>BY14*VLOOKUP('Données projet'!$B$12,Paramètres!$A$1:$I$89,3,0)*VLOOKUP('Données projet'!$B$12,Paramètres!$A$1:$I$89,5,0)</f>
        <v>8.9841534641739518</v>
      </c>
      <c r="CA14" s="13">
        <f t="shared" si="39"/>
        <v>3.2065977612479126</v>
      </c>
      <c r="CB14" s="20">
        <f t="shared" si="10"/>
        <v>21.232225050943082</v>
      </c>
      <c r="CC14" s="59">
        <f t="shared" si="11"/>
        <v>215.7280236600572</v>
      </c>
      <c r="CD14" s="59">
        <f ca="1">AVERAGE(OFFSET($CC$3,0,0,'Données projet'!$E$12+1,1))-AVERAGE(OFFSET($H$3,0,0,'Données projet'!$E$12+1,1))</f>
        <v>251.30277097589737</v>
      </c>
      <c r="CE14" s="59">
        <f t="shared" si="40"/>
        <v>224.11983819941796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2.85</v>
      </c>
      <c r="CT14" s="12">
        <f>IF('Données projet'!$A$140&gt;35,CT13+CS14-DB13,IF(A14&lt;'Données projet'!$A$140,$CQ$205^A14,IF(A14='Données projet'!$A$140,'Données projet'!$B$140,CT13+CS14-DB13)))</f>
        <v>9.2412596055434975</v>
      </c>
      <c r="CU14" s="17">
        <f>CT14*VLOOKUP('Données projet'!$B$13,Paramètres!$A$1:$I$89,3,0)*VLOOKUP('Données projet'!$B$13,Paramètres!$A$1:$I$89,5,0)</f>
        <v>8.0731643914028002</v>
      </c>
      <c r="CV14" s="13">
        <f t="shared" si="41"/>
        <v>2.9175342493893108</v>
      </c>
      <c r="CW14" s="20">
        <f t="shared" si="13"/>
        <v>19.142133466046261</v>
      </c>
      <c r="CX14" s="59">
        <f t="shared" si="14"/>
        <v>213.63793207516039</v>
      </c>
      <c r="CY14" s="59">
        <f ca="1">AVERAGE(OFFSET($CX$3,0,0,'Données projet'!$E$13+1,1))-AVERAGE(OFFSET($H$3,0,0,'Données projet'!$E$13+1,1))</f>
        <v>287.28439432670405</v>
      </c>
      <c r="CZ14" s="59">
        <f t="shared" si="42"/>
        <v>276.01618888357268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1.153846153846154</v>
      </c>
      <c r="DO14" s="12">
        <f>IF('Données projet'!$A$166&gt;35,DO13+DN14-DW13,IF(A14&lt;'Données projet'!$A$166,$DL$205^A14,IF(A14='Données projet'!$A$166,'Données projet'!$B$166,DO13+DN14-DW13)))</f>
        <v>4.3897388337483161</v>
      </c>
      <c r="DP14" s="17">
        <f>DO14*VLOOKUP('Données projet'!$B$14,Paramètres!$A$1:$I$89,3,0)*VLOOKUP('Données projet'!$B$14,Paramètres!$A$1:$I$89,5,0)</f>
        <v>4.2457554000013715</v>
      </c>
      <c r="DQ14" s="13">
        <f t="shared" si="43"/>
        <v>1.6535338005363975</v>
      </c>
      <c r="DR14" s="20">
        <f t="shared" si="16"/>
        <v>10.27459535760328</v>
      </c>
      <c r="DS14" s="59">
        <f t="shared" si="17"/>
        <v>204.77039396671742</v>
      </c>
      <c r="DT14" s="59">
        <f ca="1">AVERAGE(OFFSET($DS$3,0,0,'Données projet'!$E$14+1,1))-AVERAGE(OFFSET($H$3,0,0,'Données projet'!$E$14+1,1))</f>
        <v>206.5245935130306</v>
      </c>
      <c r="DU14" s="59">
        <f t="shared" si="44"/>
        <v>130.57011290898546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7.7715686274509812</v>
      </c>
      <c r="EJ14" s="12">
        <f>IF('Données projet'!$A$192&gt;35,EJ13+EI14-ER13,IF(A14&lt;'Données projet'!$A$192,$EG$205^A14,IF(A14='Données projet'!$A$192,'Données projet'!$B$192,EJ13+EI14-ER13)))</f>
        <v>85.487254901960782</v>
      </c>
      <c r="EK14" s="17">
        <f>EJ14*VLOOKUP('Données projet'!$B$15,Paramètres!$A$1:$I$89,3,0)*VLOOKUP('Données projet'!$B$15,Paramètres!$A$1:$I$89,5,0)</f>
        <v>40.008035294117647</v>
      </c>
      <c r="EL14" s="13">
        <f t="shared" si="45"/>
        <v>12.000776637389773</v>
      </c>
      <c r="EM14" s="20">
        <f t="shared" si="19"/>
        <v>90.582014114042082</v>
      </c>
      <c r="EN14" s="59">
        <f t="shared" si="20"/>
        <v>285.07781272315623</v>
      </c>
      <c r="EO14" s="59">
        <f ca="1">AVERAGE(OFFSET($EN$3,0,0,'Données projet'!$E$15+1,1))-AVERAGE(OFFSET($H$3,0,0,'Données projet'!$E$15+1,1))</f>
        <v>374.38106339726073</v>
      </c>
      <c r="EP14" s="59">
        <f t="shared" si="46"/>
        <v>296.53283288925957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9">
        <f t="shared" si="0"/>
        <v>297.39501934067528</v>
      </c>
      <c r="S15" s="59">
        <f ca="1">AVERAGE(OFFSET($R$3,0,0,'Données projet'!$E$9+1,1))-AVERAGE(OFFSET($H$3,0,0,'Données projet'!$E$9+1,1))</f>
        <v>681.47578137804555</v>
      </c>
      <c r="T15" s="59">
        <f t="shared" si="34"/>
        <v>300.88511065995885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7.685056401906202</v>
      </c>
      <c r="AJ15" s="13">
        <f>AI15*VLOOKUP('Données projet'!$B$10,Paramètres!$A$1:$I$89,3,0)*VLOOKUP('Données projet'!$B$10,Paramètres!$A$1:$I$89,5,0)</f>
        <v>7.3130996720539416</v>
      </c>
      <c r="AK15" s="13">
        <f t="shared" si="35"/>
        <v>2.6734504774117824</v>
      </c>
      <c r="AL15" s="20">
        <f t="shared" si="4"/>
        <v>17.393241510319466</v>
      </c>
      <c r="AM15" s="59">
        <f t="shared" si="5"/>
        <v>214.42301896305233</v>
      </c>
      <c r="AN15" s="59">
        <f ca="1">AVERAGE(OFFSET($AM$3,0,0,'Données projet'!$E$10+1,1))-AVERAGE(OFFSET($H$3,0,0,'Données projet'!$E$10+1,1))</f>
        <v>423.80243030843661</v>
      </c>
      <c r="AO15" s="59">
        <f t="shared" si="36"/>
        <v>260.29028006191834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5.8890909090909096</v>
      </c>
      <c r="BD15" s="12">
        <f>IF('Données projet'!$A$88&gt;35,BD14+BC15-BL14,IF(A15&lt;'Données projet'!$A$88,$BA$205^A15,IF(A15='Données projet'!$A$88,'Données projet'!$B$88,BD14+BC15-BL14)))</f>
        <v>14.198971124819497</v>
      </c>
      <c r="BE15" s="13">
        <f>BD15*VLOOKUP('Données projet'!$B$11,Paramètres!$A$1:$I$89,3,0)*VLOOKUP('Données projet'!$B$11,Paramètres!$A$1:$I$89,5,0)</f>
        <v>8.49098473264206</v>
      </c>
      <c r="BF15" s="13">
        <f t="shared" si="37"/>
        <v>3.0505588433685857</v>
      </c>
      <c r="BG15" s="20">
        <f t="shared" si="7"/>
        <v>20.10152172821854</v>
      </c>
      <c r="BH15" s="59">
        <f t="shared" si="8"/>
        <v>217.1312991809514</v>
      </c>
      <c r="BI15" s="59">
        <f ca="1">AVERAGE(OFFSET($BH$3,0,0,'Données projet'!$E$11+1,1))-AVERAGE(OFFSET($H$3,0,0,'Données projet'!$E$11+1,1))</f>
        <v>373.61861223558259</v>
      </c>
      <c r="BJ15" s="59">
        <f t="shared" si="38"/>
        <v>277.62293009761049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3.4615384615384612</v>
      </c>
      <c r="BY15" s="12">
        <f>IF('Données projet'!$A$114&gt;35,BY14+BX15-CG14,IF(A15&lt;'Données projet'!$A$114,$BV$205^A15,IF(A15='Données projet'!$A$114,'Données projet'!$B$114,BY14+BX15-CG14)))</f>
        <v>12.710993431022132</v>
      </c>
      <c r="BZ15" s="13">
        <f>BY15*VLOOKUP('Données projet'!$B$12,Paramètres!$A$1:$I$89,3,0)*VLOOKUP('Données projet'!$B$12,Paramètres!$A$1:$I$89,5,0)</f>
        <v>11.104323861340935</v>
      </c>
      <c r="CA15" s="13">
        <f t="shared" si="39"/>
        <v>3.8667749974487364</v>
      </c>
      <c r="CB15" s="20">
        <f t="shared" si="10"/>
        <v>26.074663845725343</v>
      </c>
      <c r="CC15" s="59">
        <f t="shared" si="11"/>
        <v>223.10444129845823</v>
      </c>
      <c r="CD15" s="59">
        <f ca="1">AVERAGE(OFFSET($CC$3,0,0,'Données projet'!$E$12+1,1))-AVERAGE(OFFSET($H$3,0,0,'Données projet'!$E$12+1,1))</f>
        <v>251.30277097589737</v>
      </c>
      <c r="CE15" s="59">
        <f t="shared" si="40"/>
        <v>224.11983819941796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2.85</v>
      </c>
      <c r="CT15" s="12">
        <f>IF('Données projet'!$A$140&gt;35,CT14+CS15-DB14,IF(A15&lt;'Données projet'!$A$140,$CQ$205^A15,IF(A15='Données projet'!$A$140,'Données projet'!$B$140,CT14+CS15-DB14)))</f>
        <v>11.311622768584238</v>
      </c>
      <c r="CU15" s="17">
        <f>CT15*VLOOKUP('Données projet'!$B$13,Paramètres!$A$1:$I$89,3,0)*VLOOKUP('Données projet'!$B$13,Paramètres!$A$1:$I$89,5,0)</f>
        <v>9.8818336506351923</v>
      </c>
      <c r="CV15" s="13">
        <f t="shared" si="41"/>
        <v>3.4881127457351293</v>
      </c>
      <c r="CW15" s="20">
        <f t="shared" si="13"/>
        <v>23.285989973678308</v>
      </c>
      <c r="CX15" s="59">
        <f t="shared" si="14"/>
        <v>220.31576742641118</v>
      </c>
      <c r="CY15" s="59">
        <f ca="1">AVERAGE(OFFSET($CX$3,0,0,'Données projet'!$E$13+1,1))-AVERAGE(OFFSET($H$3,0,0,'Données projet'!$E$13+1,1))</f>
        <v>287.28439432670405</v>
      </c>
      <c r="CZ15" s="59">
        <f t="shared" si="42"/>
        <v>276.01618888357268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1.153846153846154</v>
      </c>
      <c r="DO15" s="12">
        <f>IF('Données projet'!$A$166&gt;35,DO14+DN15-DW14,IF(A15&lt;'Données projet'!$A$166,$DL$205^A15,IF(A15='Données projet'!$A$166,'Données projet'!$B$166,DO14+DN15-DW14)))</f>
        <v>5.021600968481315</v>
      </c>
      <c r="DP15" s="17">
        <f>DO15*VLOOKUP('Données projet'!$B$14,Paramètres!$A$1:$I$89,3,0)*VLOOKUP('Données projet'!$B$14,Paramètres!$A$1:$I$89,5,0)</f>
        <v>4.8568924567151281</v>
      </c>
      <c r="DQ15" s="13">
        <f t="shared" si="43"/>
        <v>1.862166134231517</v>
      </c>
      <c r="DR15" s="20">
        <f t="shared" si="16"/>
        <v>11.702360379232074</v>
      </c>
      <c r="DS15" s="59">
        <f t="shared" si="17"/>
        <v>208.73213783196493</v>
      </c>
      <c r="DT15" s="59">
        <f ca="1">AVERAGE(OFFSET($DS$3,0,0,'Données projet'!$E$14+1,1))-AVERAGE(OFFSET($H$3,0,0,'Données projet'!$E$14+1,1))</f>
        <v>206.5245935130306</v>
      </c>
      <c r="DU15" s="59">
        <f t="shared" si="44"/>
        <v>130.57011290898546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7.7715686274509812</v>
      </c>
      <c r="EJ15" s="12">
        <f>IF('Données projet'!$A$192&gt;35,EJ14+EI15-ER14,IF(A15&lt;'Données projet'!$A$192,$EG$205^A15,IF(A15='Données projet'!$A$192,'Données projet'!$B$192,EJ14+EI15-ER14)))</f>
        <v>93.258823529411757</v>
      </c>
      <c r="EK15" s="17">
        <f>EJ15*VLOOKUP('Données projet'!$B$15,Paramètres!$A$1:$I$89,3,0)*VLOOKUP('Données projet'!$B$15,Paramètres!$A$1:$I$89,5,0)</f>
        <v>43.6451294117647</v>
      </c>
      <c r="EL15" s="13">
        <f t="shared" si="45"/>
        <v>12.959830604318677</v>
      </c>
      <c r="EM15" s="20">
        <f t="shared" si="19"/>
        <v>98.586972028011871</v>
      </c>
      <c r="EN15" s="59">
        <f t="shared" si="20"/>
        <v>295.61674948074472</v>
      </c>
      <c r="EO15" s="59">
        <f ca="1">AVERAGE(OFFSET($EN$3,0,0,'Données projet'!$E$15+1,1))-AVERAGE(OFFSET($H$3,0,0,'Données projet'!$E$15+1,1))</f>
        <v>374.38106339726073</v>
      </c>
      <c r="EP15" s="59">
        <f t="shared" si="46"/>
        <v>296.53283288925957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9">
        <f t="shared" si="0"/>
        <v>308.03953539456739</v>
      </c>
      <c r="S16" s="59">
        <f ca="1">AVERAGE(OFFSET($R$3,0,0,'Données projet'!$E$9+1,1))-AVERAGE(OFFSET($H$3,0,0,'Données projet'!$E$9+1,1))</f>
        <v>681.47578137804555</v>
      </c>
      <c r="T16" s="59">
        <f t="shared" si="34"/>
        <v>300.88511065995885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9.1085863706396779</v>
      </c>
      <c r="AJ16" s="13">
        <f>AI16*VLOOKUP('Données projet'!$B$10,Paramètres!$A$1:$I$89,3,0)*VLOOKUP('Données projet'!$B$10,Paramètres!$A$1:$I$89,5,0)</f>
        <v>8.6677307903007179</v>
      </c>
      <c r="AK16" s="13">
        <f t="shared" si="35"/>
        <v>3.1065996489365348</v>
      </c>
      <c r="AL16" s="20">
        <f t="shared" si="4"/>
        <v>20.506958848338215</v>
      </c>
      <c r="AM16" s="59">
        <f t="shared" si="5"/>
        <v>220.04795909995704</v>
      </c>
      <c r="AN16" s="59">
        <f ca="1">AVERAGE(OFFSET($AM$3,0,0,'Données projet'!$E$10+1,1))-AVERAGE(OFFSET($H$3,0,0,'Données projet'!$E$10+1,1))</f>
        <v>423.80243030843661</v>
      </c>
      <c r="AO16" s="59">
        <f t="shared" si="36"/>
        <v>260.29028006191834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5.8890909090909096</v>
      </c>
      <c r="BD16" s="12">
        <f>IF('Données projet'!$A$88&gt;35,BD15+BC16-BL15,IF(A16&lt;'Données projet'!$A$88,$BA$205^A16,IF(A16='Données projet'!$A$88,'Données projet'!$B$88,BD15+BC16-BL15)))</f>
        <v>17.712435523051596</v>
      </c>
      <c r="BE16" s="13">
        <f>BD16*VLOOKUP('Données projet'!$B$11,Paramètres!$A$1:$I$89,3,0)*VLOOKUP('Données projet'!$B$11,Paramètres!$A$1:$I$89,5,0)</f>
        <v>10.592036442784856</v>
      </c>
      <c r="BF16" s="13">
        <f t="shared" si="37"/>
        <v>3.708718932562717</v>
      </c>
      <c r="BG16" s="20">
        <f t="shared" si="7"/>
        <v>24.907148945397026</v>
      </c>
      <c r="BH16" s="59">
        <f t="shared" si="8"/>
        <v>224.44814919701582</v>
      </c>
      <c r="BI16" s="59">
        <f ca="1">AVERAGE(OFFSET($BH$3,0,0,'Données projet'!$E$11+1,1))-AVERAGE(OFFSET($H$3,0,0,'Données projet'!$E$11+1,1))</f>
        <v>373.61861223558259</v>
      </c>
      <c r="BJ16" s="59">
        <f t="shared" si="38"/>
        <v>277.62293009761049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3.4615384615384612</v>
      </c>
      <c r="BY16" s="12">
        <f>IF('Données projet'!$A$114&gt;35,BY15+BX16-CG15,IF(A16&lt;'Données projet'!$A$114,$BV$205^A16,IF(A16='Données projet'!$A$114,'Données projet'!$B$114,BY15+BX16-CG15)))</f>
        <v>15.71066080074187</v>
      </c>
      <c r="BZ16" s="13">
        <f>BY16*VLOOKUP('Données projet'!$B$12,Paramètres!$A$1:$I$89,3,0)*VLOOKUP('Données projet'!$B$12,Paramètres!$A$1:$I$89,5,0)</f>
        <v>13.7248332755281</v>
      </c>
      <c r="CA16" s="13">
        <f t="shared" si="39"/>
        <v>4.6628701178522061</v>
      </c>
      <c r="CB16" s="20">
        <f t="shared" si="10"/>
        <v>32.025250076804035</v>
      </c>
      <c r="CC16" s="59">
        <f t="shared" si="11"/>
        <v>231.56625032842285</v>
      </c>
      <c r="CD16" s="59">
        <f ca="1">AVERAGE(OFFSET($CC$3,0,0,'Données projet'!$E$12+1,1))-AVERAGE(OFFSET($H$3,0,0,'Données projet'!$E$12+1,1))</f>
        <v>251.30277097589737</v>
      </c>
      <c r="CE16" s="59">
        <f t="shared" si="40"/>
        <v>224.11983819941796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2.85</v>
      </c>
      <c r="CT16" s="12">
        <f>IF('Données projet'!$A$140&gt;35,CT15+CS16-DB15,IF(A16&lt;'Données projet'!$A$140,$CQ$205^A16,IF(A16='Données projet'!$A$140,'Données projet'!$B$140,CT15+CS16-DB15)))</f>
        <v>13.845819197850375</v>
      </c>
      <c r="CU16" s="17">
        <f>CT16*VLOOKUP('Données projet'!$B$13,Paramètres!$A$1:$I$89,3,0)*VLOOKUP('Données projet'!$B$13,Paramètres!$A$1:$I$89,5,0)</f>
        <v>12.095707651242089</v>
      </c>
      <c r="CV16" s="13">
        <f t="shared" si="41"/>
        <v>4.1702785595427372</v>
      </c>
      <c r="CW16" s="20">
        <f t="shared" si="13"/>
        <v>28.329925983783568</v>
      </c>
      <c r="CX16" s="59">
        <f t="shared" si="14"/>
        <v>227.87092623540238</v>
      </c>
      <c r="CY16" s="59">
        <f ca="1">AVERAGE(OFFSET($CX$3,0,0,'Données projet'!$E$13+1,1))-AVERAGE(OFFSET($H$3,0,0,'Données projet'!$E$13+1,1))</f>
        <v>287.28439432670405</v>
      </c>
      <c r="CZ16" s="59">
        <f t="shared" si="42"/>
        <v>276.01618888357268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1.153846153846154</v>
      </c>
      <c r="DO16" s="12">
        <f>IF('Données projet'!$A$166&gt;35,DO15+DN16-DW15,IF(A16&lt;'Données projet'!$A$166,$DL$205^A16,IF(A16='Données projet'!$A$166,'Données projet'!$B$166,DO15+DN16-DW15)))</f>
        <v>5.7444137889908591</v>
      </c>
      <c r="DP16" s="17">
        <f>DO16*VLOOKUP('Données projet'!$B$14,Paramètres!$A$1:$I$89,3,0)*VLOOKUP('Données projet'!$B$14,Paramètres!$A$1:$I$89,5,0)</f>
        <v>5.5559970167119586</v>
      </c>
      <c r="DQ16" s="13">
        <f t="shared" si="43"/>
        <v>2.0971223632403886</v>
      </c>
      <c r="DR16" s="20">
        <f t="shared" si="16"/>
        <v>13.329182920083669</v>
      </c>
      <c r="DS16" s="59">
        <f t="shared" si="17"/>
        <v>212.87018317170248</v>
      </c>
      <c r="DT16" s="59">
        <f ca="1">AVERAGE(OFFSET($DS$3,0,0,'Données projet'!$E$14+1,1))-AVERAGE(OFFSET($H$3,0,0,'Données projet'!$E$14+1,1))</f>
        <v>206.5245935130306</v>
      </c>
      <c r="DU16" s="59">
        <f t="shared" si="44"/>
        <v>130.57011290898546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7.7715686274509812</v>
      </c>
      <c r="EJ16" s="12">
        <f>IF('Données projet'!$A$192&gt;35,EJ15+EI16-ER15,IF(A16&lt;'Données projet'!$A$192,$EG$205^A16,IF(A16='Données projet'!$A$192,'Données projet'!$B$192,EJ15+EI16-ER15)))</f>
        <v>101.03039215686273</v>
      </c>
      <c r="EK16" s="17">
        <f>EJ16*VLOOKUP('Données projet'!$B$15,Paramètres!$A$1:$I$89,3,0)*VLOOKUP('Données projet'!$B$15,Paramètres!$A$1:$I$89,5,0)</f>
        <v>47.282223529411759</v>
      </c>
      <c r="EL16" s="13">
        <f t="shared" si="45"/>
        <v>13.909615404239247</v>
      </c>
      <c r="EM16" s="20">
        <f t="shared" si="19"/>
        <v>106.5757861427755</v>
      </c>
      <c r="EN16" s="59">
        <f t="shared" si="20"/>
        <v>306.1167863943943</v>
      </c>
      <c r="EO16" s="59">
        <f ca="1">AVERAGE(OFFSET($EN$3,0,0,'Données projet'!$E$15+1,1))-AVERAGE(OFFSET($H$3,0,0,'Données projet'!$E$15+1,1))</f>
        <v>374.38106339726073</v>
      </c>
      <c r="EP16" s="59">
        <f t="shared" si="46"/>
        <v>296.53283288925957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9">
        <f t="shared" si="0"/>
        <v>318.64668790347997</v>
      </c>
      <c r="S17" s="59">
        <f ca="1">AVERAGE(OFFSET($R$3,0,0,'Données projet'!$E$9+1,1))-AVERAGE(OFFSET($H$3,0,0,'Données projet'!$E$9+1,1))</f>
        <v>681.47578137804555</v>
      </c>
      <c r="T17" s="59">
        <f t="shared" si="34"/>
        <v>300.88511065995885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10.795801791490293</v>
      </c>
      <c r="AJ17" s="13">
        <f>AI17*VLOOKUP('Données projet'!$B$10,Paramètres!$A$1:$I$89,3,0)*VLOOKUP('Données projet'!$B$10,Paramètres!$A$1:$I$89,5,0)</f>
        <v>10.273284984782164</v>
      </c>
      <c r="AK17" s="13">
        <f t="shared" si="35"/>
        <v>3.6099271186485127</v>
      </c>
      <c r="AL17" s="20">
        <f t="shared" si="4"/>
        <v>24.179927746808428</v>
      </c>
      <c r="AM17" s="59">
        <f t="shared" si="5"/>
        <v>226.20978951908162</v>
      </c>
      <c r="AN17" s="59">
        <f ca="1">AVERAGE(OFFSET($AM$3,0,0,'Données projet'!$E$10+1,1))-AVERAGE(OFFSET($H$3,0,0,'Données projet'!$E$10+1,1))</f>
        <v>423.80243030843661</v>
      </c>
      <c r="AO17" s="59">
        <f t="shared" si="36"/>
        <v>260.29028006191834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5.8890909090909096</v>
      </c>
      <c r="BD17" s="12">
        <f>IF('Données projet'!$A$88&gt;35,BD16+BC17-BL16,IF(A17&lt;'Données projet'!$A$88,$BA$205^A17,IF(A17='Données projet'!$A$88,'Données projet'!$B$88,BD16+BC17-BL16)))</f>
        <v>22.095289116397044</v>
      </c>
      <c r="BE17" s="13">
        <f>BD17*VLOOKUP('Données projet'!$B$11,Paramètres!$A$1:$I$89,3,0)*VLOOKUP('Données projet'!$B$11,Paramètres!$A$1:$I$89,5,0)</f>
        <v>13.212982891605433</v>
      </c>
      <c r="BF17" s="13">
        <f t="shared" si="37"/>
        <v>4.508877496544403</v>
      </c>
      <c r="BG17" s="20">
        <f t="shared" si="7"/>
        <v>30.86557350936096</v>
      </c>
      <c r="BH17" s="59">
        <f t="shared" si="8"/>
        <v>232.89543528163415</v>
      </c>
      <c r="BI17" s="59">
        <f ca="1">AVERAGE(OFFSET($BH$3,0,0,'Données projet'!$E$11+1,1))-AVERAGE(OFFSET($H$3,0,0,'Données projet'!$E$11+1,1))</f>
        <v>373.61861223558259</v>
      </c>
      <c r="BJ17" s="59">
        <f t="shared" si="38"/>
        <v>277.62293009761049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3.4615384615384612</v>
      </c>
      <c r="BY17" s="12">
        <f>IF('Données projet'!$A$114&gt;35,BY16+BX17-CG16,IF(A17&lt;'Données projet'!$A$114,$BV$205^A17,IF(A17='Données projet'!$A$114,'Données projet'!$B$114,BY16+BX17-CG16)))</f>
        <v>19.418219680105615</v>
      </c>
      <c r="BZ17" s="13">
        <f>BY17*VLOOKUP('Données projet'!$B$12,Paramètres!$A$1:$I$89,3,0)*VLOOKUP('Données projet'!$B$12,Paramètres!$A$1:$I$89,5,0)</f>
        <v>16.963756712540267</v>
      </c>
      <c r="CA17" s="13">
        <f t="shared" si="39"/>
        <v>5.6228660189187272</v>
      </c>
      <c r="CB17" s="20">
        <f t="shared" si="10"/>
        <v>39.338367923957748</v>
      </c>
      <c r="CC17" s="59">
        <f t="shared" si="11"/>
        <v>241.36822969623094</v>
      </c>
      <c r="CD17" s="59">
        <f ca="1">AVERAGE(OFFSET($CC$3,0,0,'Données projet'!$E$12+1,1))-AVERAGE(OFFSET($H$3,0,0,'Données projet'!$E$12+1,1))</f>
        <v>251.30277097589737</v>
      </c>
      <c r="CE17" s="59">
        <f t="shared" si="40"/>
        <v>224.11983819941796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2.85</v>
      </c>
      <c r="CT17" s="12">
        <f>IF('Données projet'!$A$140&gt;35,CT16+CS17-DB16,IF(A17&lt;'Données projet'!$A$140,$CQ$205^A17,IF(A17='Données projet'!$A$140,'Données projet'!$B$140,CT16+CS17-DB16)))</f>
        <v>16.94776365704034</v>
      </c>
      <c r="CU17" s="17">
        <f>CT17*VLOOKUP('Données projet'!$B$13,Paramètres!$A$1:$I$89,3,0)*VLOOKUP('Données projet'!$B$13,Paramètres!$A$1:$I$89,5,0)</f>
        <v>14.805566330790443</v>
      </c>
      <c r="CV17" s="13">
        <f t="shared" si="41"/>
        <v>4.9858546818608076</v>
      </c>
      <c r="CW17" s="20">
        <f t="shared" si="13"/>
        <v>34.470058263700928</v>
      </c>
      <c r="CX17" s="59">
        <f t="shared" si="14"/>
        <v>236.49992003597413</v>
      </c>
      <c r="CY17" s="59">
        <f ca="1">AVERAGE(OFFSET($CX$3,0,0,'Données projet'!$E$13+1,1))-AVERAGE(OFFSET($H$3,0,0,'Données projet'!$E$13+1,1))</f>
        <v>287.28439432670405</v>
      </c>
      <c r="CZ17" s="59">
        <f t="shared" si="42"/>
        <v>276.01618888357268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1.153846153846154</v>
      </c>
      <c r="DO17" s="12">
        <f>IF('Données projet'!$A$166&gt;35,DO16+DN17-DW16,IF(A17&lt;'Données projet'!$A$166,$DL$205^A17,IF(A17='Données projet'!$A$166,'Données projet'!$B$166,DO16+DN17-DW16)))</f>
        <v>6.5712688017757817</v>
      </c>
      <c r="DP17" s="17">
        <f>DO17*VLOOKUP('Données projet'!$B$14,Paramètres!$A$1:$I$89,3,0)*VLOOKUP('Données projet'!$B$14,Paramètres!$A$1:$I$89,5,0)</f>
        <v>6.355731185077536</v>
      </c>
      <c r="DQ17" s="13">
        <f t="shared" si="43"/>
        <v>2.3617238685408144</v>
      </c>
      <c r="DR17" s="20">
        <f t="shared" si="16"/>
        <v>15.182900885051957</v>
      </c>
      <c r="DS17" s="59">
        <f t="shared" si="17"/>
        <v>217.21276265732516</v>
      </c>
      <c r="DT17" s="59">
        <f ca="1">AVERAGE(OFFSET($DS$3,0,0,'Données projet'!$E$14+1,1))-AVERAGE(OFFSET($H$3,0,0,'Données projet'!$E$14+1,1))</f>
        <v>206.5245935130306</v>
      </c>
      <c r="DU17" s="59">
        <f t="shared" si="44"/>
        <v>130.57011290898546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7.7715686274509812</v>
      </c>
      <c r="EJ17" s="12">
        <f>IF('Données projet'!$A$192&gt;35,EJ16+EI17-ER16,IF(A17&lt;'Données projet'!$A$192,$EG$205^A17,IF(A17='Données projet'!$A$192,'Données projet'!$B$192,EJ16+EI17-ER16)))</f>
        <v>108.80196078431371</v>
      </c>
      <c r="EK17" s="17">
        <f>EJ17*VLOOKUP('Données projet'!$B$15,Paramètres!$A$1:$I$89,3,0)*VLOOKUP('Données projet'!$B$15,Paramètres!$A$1:$I$89,5,0)</f>
        <v>50.919317647058811</v>
      </c>
      <c r="EL17" s="13">
        <f t="shared" si="45"/>
        <v>14.850925118934597</v>
      </c>
      <c r="EM17" s="20">
        <f t="shared" si="19"/>
        <v>114.54983948410518</v>
      </c>
      <c r="EN17" s="59">
        <f t="shared" si="20"/>
        <v>316.57970125637837</v>
      </c>
      <c r="EO17" s="59">
        <f ca="1">AVERAGE(OFFSET($EN$3,0,0,'Données projet'!$E$15+1,1))-AVERAGE(OFFSET($H$3,0,0,'Données projet'!$E$15+1,1))</f>
        <v>374.38106339726073</v>
      </c>
      <c r="EP17" s="59">
        <f t="shared" si="46"/>
        <v>296.53283288925957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9">
        <f t="shared" si="0"/>
        <v>329.21805825209799</v>
      </c>
      <c r="S18" s="59">
        <f ca="1">AVERAGE(OFFSET($R$3,0,0,'Données projet'!$E$9+1,1))-AVERAGE(OFFSET($H$3,0,0,'Données projet'!$E$9+1,1))</f>
        <v>681.47578137804555</v>
      </c>
      <c r="T18" s="59">
        <f t="shared" si="34"/>
        <v>300.88511065995885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12.795546046181913</v>
      </c>
      <c r="AJ18" s="13">
        <f>AI18*VLOOKUP('Données projet'!$B$10,Paramètres!$A$1:$I$89,3,0)*VLOOKUP('Données projet'!$B$10,Paramètres!$A$1:$I$89,5,0)</f>
        <v>12.176241617546708</v>
      </c>
      <c r="AK18" s="13">
        <f t="shared" si="35"/>
        <v>4.1948030884555632</v>
      </c>
      <c r="AL18" s="20">
        <f t="shared" si="4"/>
        <v>28.512902862953961</v>
      </c>
      <c r="AM18" s="59">
        <f t="shared" si="5"/>
        <v>233.009652795835</v>
      </c>
      <c r="AN18" s="59">
        <f ca="1">AVERAGE(OFFSET($AM$3,0,0,'Données projet'!$E$10+1,1))-AVERAGE(OFFSET($H$3,0,0,'Données projet'!$E$10+1,1))</f>
        <v>423.80243030843661</v>
      </c>
      <c r="AO18" s="59">
        <f t="shared" si="36"/>
        <v>260.29028006191834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5.8890909090909096</v>
      </c>
      <c r="BD18" s="12">
        <f>IF('Données projet'!$A$88&gt;35,BD17+BC18-BL17,IF(A18&lt;'Données projet'!$A$88,$BA$205^A18,IF(A18='Données projet'!$A$88,'Données projet'!$B$88,BD17+BC18-BL17)))</f>
        <v>27.562657913521289</v>
      </c>
      <c r="BE18" s="13">
        <f>BD18*VLOOKUP('Données projet'!$B$11,Paramètres!$A$1:$I$89,3,0)*VLOOKUP('Données projet'!$B$11,Paramètres!$A$1:$I$89,5,0)</f>
        <v>16.482469432285733</v>
      </c>
      <c r="BF18" s="13">
        <f t="shared" si="37"/>
        <v>5.4816708002179473</v>
      </c>
      <c r="BG18" s="20">
        <f t="shared" si="7"/>
        <v>38.254210904943911</v>
      </c>
      <c r="BH18" s="59">
        <f t="shared" si="8"/>
        <v>242.75096083782495</v>
      </c>
      <c r="BI18" s="59">
        <f ca="1">AVERAGE(OFFSET($BH$3,0,0,'Données projet'!$E$11+1,1))-AVERAGE(OFFSET($H$3,0,0,'Données projet'!$E$11+1,1))</f>
        <v>373.61861223558259</v>
      </c>
      <c r="BJ18" s="59">
        <f t="shared" si="38"/>
        <v>277.62293009761049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3.4615384615384612</v>
      </c>
      <c r="BY18" s="12">
        <f>IF('Données projet'!$A$114&gt;35,BY17+BX18-CG17,IF(A18&lt;'Données projet'!$A$114,$BV$205^A18,IF(A18='Données projet'!$A$114,'Données projet'!$B$114,BY17+BX18-CG17)))</f>
        <v>24.000725388141255</v>
      </c>
      <c r="BZ18" s="13">
        <f>BY18*VLOOKUP('Données projet'!$B$12,Paramètres!$A$1:$I$89,3,0)*VLOOKUP('Données projet'!$B$12,Paramètres!$A$1:$I$89,5,0)</f>
        <v>20.967033699080204</v>
      </c>
      <c r="CA18" s="13">
        <f t="shared" si="39"/>
        <v>6.7805067410443076</v>
      </c>
      <c r="CB18" s="20">
        <f t="shared" si="10"/>
        <v>48.326966266550187</v>
      </c>
      <c r="CC18" s="59">
        <f t="shared" si="11"/>
        <v>252.82371619943123</v>
      </c>
      <c r="CD18" s="59">
        <f ca="1">AVERAGE(OFFSET($CC$3,0,0,'Données projet'!$E$12+1,1))-AVERAGE(OFFSET($H$3,0,0,'Données projet'!$E$12+1,1))</f>
        <v>251.30277097589737</v>
      </c>
      <c r="CE18" s="59">
        <f t="shared" si="40"/>
        <v>224.11983819941796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2.85</v>
      </c>
      <c r="CT18" s="12">
        <f>IF('Données projet'!$A$140&gt;35,CT17+CS18-DB17,IF(A18&lt;'Données projet'!$A$140,$CQ$205^A18,IF(A18='Données projet'!$A$140,'Données projet'!$B$140,CT17+CS18-DB17)))</f>
        <v>20.744651426583019</v>
      </c>
      <c r="CU18" s="17">
        <f>CT18*VLOOKUP('Données projet'!$B$13,Paramètres!$A$1:$I$89,3,0)*VLOOKUP('Données projet'!$B$13,Paramètres!$A$1:$I$89,5,0)</f>
        <v>18.122527486262925</v>
      </c>
      <c r="CV18" s="13">
        <f t="shared" si="41"/>
        <v>5.960931998595087</v>
      </c>
      <c r="CW18" s="20">
        <f t="shared" si="13"/>
        <v>41.945358602794364</v>
      </c>
      <c r="CX18" s="59">
        <f t="shared" si="14"/>
        <v>246.4421085356754</v>
      </c>
      <c r="CY18" s="59">
        <f ca="1">AVERAGE(OFFSET($CX$3,0,0,'Données projet'!$E$13+1,1))-AVERAGE(OFFSET($H$3,0,0,'Données projet'!$E$13+1,1))</f>
        <v>287.28439432670405</v>
      </c>
      <c r="CZ18" s="59">
        <f t="shared" si="42"/>
        <v>276.01618888357268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1.153846153846154</v>
      </c>
      <c r="DO18" s="12">
        <f>IF('Données projet'!$A$166&gt;35,DO17+DN18-DW17,IF(A18&lt;'Données projet'!$A$166,$DL$205^A18,IF(A18='Données projet'!$A$166,'Données projet'!$B$166,DO17+DN18-DW17)))</f>
        <v>7.5171419141060118</v>
      </c>
      <c r="DP18" s="17">
        <f>DO18*VLOOKUP('Données projet'!$B$14,Paramètres!$A$1:$I$89,3,0)*VLOOKUP('Données projet'!$B$14,Paramètres!$A$1:$I$89,5,0)</f>
        <v>7.2705796593233352</v>
      </c>
      <c r="DQ18" s="13">
        <f t="shared" si="43"/>
        <v>2.6597111017484418</v>
      </c>
      <c r="DR18" s="20">
        <f t="shared" si="16"/>
        <v>17.295256408866681</v>
      </c>
      <c r="DS18" s="59">
        <f t="shared" si="17"/>
        <v>221.79200634174774</v>
      </c>
      <c r="DT18" s="59">
        <f ca="1">AVERAGE(OFFSET($DS$3,0,0,'Données projet'!$E$14+1,1))-AVERAGE(OFFSET($H$3,0,0,'Données projet'!$E$14+1,1))</f>
        <v>206.5245935130306</v>
      </c>
      <c r="DU18" s="59">
        <f t="shared" si="44"/>
        <v>130.57011290898546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7.7715686274509812</v>
      </c>
      <c r="EJ18" s="12">
        <f>IF('Données projet'!$A$192&gt;35,EJ17+EI18-ER17,IF(A18&lt;'Données projet'!$A$192,$EG$205^A18,IF(A18='Données projet'!$A$192,'Données projet'!$B$192,EJ17+EI18-ER17)))</f>
        <v>116.57352941176468</v>
      </c>
      <c r="EK18" s="17">
        <f>EJ18*VLOOKUP('Données projet'!$B$15,Paramètres!$A$1:$I$89,3,0)*VLOOKUP('Données projet'!$B$15,Paramètres!$A$1:$I$89,5,0)</f>
        <v>54.556411764705871</v>
      </c>
      <c r="EL18" s="13">
        <f t="shared" si="45"/>
        <v>15.784433961873273</v>
      </c>
      <c r="EM18" s="20">
        <f t="shared" si="19"/>
        <v>122.51030630712535</v>
      </c>
      <c r="EN18" s="59">
        <f t="shared" si="20"/>
        <v>327.00705624000636</v>
      </c>
      <c r="EO18" s="59">
        <f ca="1">AVERAGE(OFFSET($EN$3,0,0,'Données projet'!$E$15+1,1))-AVERAGE(OFFSET($H$3,0,0,'Données projet'!$E$15+1,1))</f>
        <v>374.38106339726073</v>
      </c>
      <c r="EP18" s="59">
        <f t="shared" si="46"/>
        <v>296.53283288925957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9">
        <f t="shared" si="0"/>
        <v>339.75505296407175</v>
      </c>
      <c r="S19" s="59">
        <f ca="1">AVERAGE(OFFSET($R$3,0,0,'Données projet'!$E$9+1,1))-AVERAGE(OFFSET($H$3,0,0,'Données projet'!$E$9+1,1))</f>
        <v>681.47578137804555</v>
      </c>
      <c r="T19" s="59">
        <f t="shared" si="34"/>
        <v>300.88511065995885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15.165709947455436</v>
      </c>
      <c r="AJ19" s="13">
        <f>AI19*VLOOKUP('Données projet'!$B$10,Paramètres!$A$1:$I$89,3,0)*VLOOKUP('Données projet'!$B$10,Paramètres!$A$1:$I$89,5,0)</f>
        <v>14.431689585998592</v>
      </c>
      <c r="AK19" s="13">
        <f t="shared" si="35"/>
        <v>4.8744399464507975</v>
      </c>
      <c r="AL19" s="20">
        <f t="shared" si="4"/>
        <v>33.624842269016021</v>
      </c>
      <c r="AM19" s="59">
        <f t="shared" si="5"/>
        <v>240.56688819113009</v>
      </c>
      <c r="AN19" s="59">
        <f ca="1">AVERAGE(OFFSET($AM$3,0,0,'Données projet'!$E$10+1,1))-AVERAGE(OFFSET($H$3,0,0,'Données projet'!$E$10+1,1))</f>
        <v>423.80243030843661</v>
      </c>
      <c r="AO19" s="59">
        <f t="shared" si="36"/>
        <v>260.29028006191834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5.8890909090909096</v>
      </c>
      <c r="BD19" s="12">
        <f>IF('Données projet'!$A$88&gt;35,BD18+BC19-BL18,IF(A19&lt;'Données projet'!$A$88,$BA$205^A19,IF(A19='Données projet'!$A$88,'Données projet'!$B$88,BD18+BC19-BL18)))</f>
        <v>34.382899778126003</v>
      </c>
      <c r="BE19" s="13">
        <f>BD19*VLOOKUP('Données projet'!$B$11,Paramètres!$A$1:$I$89,3,0)*VLOOKUP('Données projet'!$B$11,Paramètres!$A$1:$I$89,5,0)</f>
        <v>20.560974067319354</v>
      </c>
      <c r="BF19" s="13">
        <f t="shared" si="37"/>
        <v>6.6643449029146105</v>
      </c>
      <c r="BG19" s="20">
        <f t="shared" si="7"/>
        <v>47.417430539824153</v>
      </c>
      <c r="BH19" s="59">
        <f t="shared" si="8"/>
        <v>254.35947646193821</v>
      </c>
      <c r="BI19" s="59">
        <f ca="1">AVERAGE(OFFSET($BH$3,0,0,'Données projet'!$E$11+1,1))-AVERAGE(OFFSET($H$3,0,0,'Données projet'!$E$11+1,1))</f>
        <v>373.61861223558259</v>
      </c>
      <c r="BJ19" s="59">
        <f t="shared" si="38"/>
        <v>277.62293009761049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3.4615384615384612</v>
      </c>
      <c r="BY19" s="12">
        <f>IF('Données projet'!$A$114&gt;35,BY18+BX19-CG18,IF(A19&lt;'Données projet'!$A$114,$BV$205^A19,IF(A19='Données projet'!$A$114,'Données projet'!$B$114,BY18+BX19-CG18)))</f>
        <v>29.66465662900746</v>
      </c>
      <c r="BZ19" s="13">
        <f>BY19*VLOOKUP('Données projet'!$B$12,Paramètres!$A$1:$I$89,3,0)*VLOOKUP('Données projet'!$B$12,Paramètres!$A$1:$I$89,5,0)</f>
        <v>25.915044031100919</v>
      </c>
      <c r="CA19" s="13">
        <f t="shared" si="39"/>
        <v>8.1764835780647456</v>
      </c>
      <c r="CB19" s="20">
        <f t="shared" si="10"/>
        <v>59.376077252630203</v>
      </c>
      <c r="CC19" s="59">
        <f t="shared" si="11"/>
        <v>266.31812317474424</v>
      </c>
      <c r="CD19" s="59">
        <f ca="1">AVERAGE(OFFSET($CC$3,0,0,'Données projet'!$E$12+1,1))-AVERAGE(OFFSET($H$3,0,0,'Données projet'!$E$12+1,1))</f>
        <v>251.30277097589737</v>
      </c>
      <c r="CE19" s="59">
        <f t="shared" si="40"/>
        <v>224.11983819941796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2.85</v>
      </c>
      <c r="CT19" s="12">
        <f>IF('Données projet'!$A$140&gt;35,CT18+CS19-DB18,IF(A19&lt;'Données projet'!$A$140,$CQ$205^A19,IF(A19='Données projet'!$A$140,'Données projet'!$B$140,CT18+CS19-DB18)))</f>
        <v>25.392173948075062</v>
      </c>
      <c r="CU19" s="17">
        <f>CT19*VLOOKUP('Données projet'!$B$13,Paramètres!$A$1:$I$89,3,0)*VLOOKUP('Données projet'!$B$13,Paramètres!$A$1:$I$89,5,0)</f>
        <v>22.182603161038376</v>
      </c>
      <c r="CV19" s="13">
        <f t="shared" si="41"/>
        <v>7.1267039573270132</v>
      </c>
      <c r="CW19" s="20">
        <f t="shared" si="13"/>
        <v>51.047043231153054</v>
      </c>
      <c r="CX19" s="59">
        <f t="shared" si="14"/>
        <v>257.98908915326712</v>
      </c>
      <c r="CY19" s="59">
        <f ca="1">AVERAGE(OFFSET($CX$3,0,0,'Données projet'!$E$13+1,1))-AVERAGE(OFFSET($H$3,0,0,'Données projet'!$E$13+1,1))</f>
        <v>287.28439432670405</v>
      </c>
      <c r="CZ19" s="59">
        <f t="shared" si="42"/>
        <v>276.01618888357268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1.153846153846154</v>
      </c>
      <c r="DO19" s="12">
        <f>IF('Données projet'!$A$166&gt;35,DO18+DN19-DW18,IF(A19&lt;'Données projet'!$A$166,$DL$205^A19,IF(A19='Données projet'!$A$166,'Données projet'!$B$166,DO18+DN19-DW18)))</f>
        <v>8.5991646760119096</v>
      </c>
      <c r="DP19" s="17">
        <f>DO19*VLOOKUP('Données projet'!$B$14,Paramètres!$A$1:$I$89,3,0)*VLOOKUP('Données projet'!$B$14,Paramètres!$A$1:$I$89,5,0)</f>
        <v>8.3171120746387199</v>
      </c>
      <c r="DQ19" s="13">
        <f t="shared" si="43"/>
        <v>2.9952964607732095</v>
      </c>
      <c r="DR19" s="20">
        <f t="shared" si="16"/>
        <v>19.702444865842441</v>
      </c>
      <c r="DS19" s="59">
        <f t="shared" si="17"/>
        <v>226.6444907879565</v>
      </c>
      <c r="DT19" s="59">
        <f ca="1">AVERAGE(OFFSET($DS$3,0,0,'Données projet'!$E$14+1,1))-AVERAGE(OFFSET($H$3,0,0,'Données projet'!$E$14+1,1))</f>
        <v>206.5245935130306</v>
      </c>
      <c r="DU19" s="59">
        <f t="shared" si="44"/>
        <v>130.57011290898546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7.7715686274509812</v>
      </c>
      <c r="EJ19" s="12">
        <f>IF('Données projet'!$A$192&gt;35,EJ18+EI19-ER18,IF(A19&lt;'Données projet'!$A$192,$EG$205^A19,IF(A19='Données projet'!$A$192,'Données projet'!$B$192,EJ18+EI19-ER18)))</f>
        <v>124.34509803921566</v>
      </c>
      <c r="EK19" s="17">
        <f>EJ19*VLOOKUP('Données projet'!$B$15,Paramètres!$A$1:$I$89,3,0)*VLOOKUP('Données projet'!$B$15,Paramètres!$A$1:$I$89,5,0)</f>
        <v>58.193505882352923</v>
      </c>
      <c r="EL19" s="13">
        <f t="shared" si="45"/>
        <v>16.710721165612199</v>
      </c>
      <c r="EM19" s="20">
        <f t="shared" si="19"/>
        <v>130.45819544187259</v>
      </c>
      <c r="EN19" s="59">
        <f t="shared" si="20"/>
        <v>337.40024136398665</v>
      </c>
      <c r="EO19" s="59">
        <f ca="1">AVERAGE(OFFSET($EN$3,0,0,'Données projet'!$E$15+1,1))-AVERAGE(OFFSET($H$3,0,0,'Données projet'!$E$15+1,1))</f>
        <v>374.38106339726073</v>
      </c>
      <c r="EP19" s="59">
        <f t="shared" si="46"/>
        <v>296.53283288925957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9">
        <f t="shared" si="0"/>
        <v>350.25893653939312</v>
      </c>
      <c r="S20" s="59">
        <f ca="1">AVERAGE(OFFSET($R$3,0,0,'Données projet'!$E$9+1,1))-AVERAGE(OFFSET($H$3,0,0,'Données projet'!$E$9+1,1))</f>
        <v>681.47578137804555</v>
      </c>
      <c r="T20" s="59">
        <f t="shared" si="34"/>
        <v>300.88511065995885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17.974907626468866</v>
      </c>
      <c r="AJ20" s="13">
        <f>AI20*VLOOKUP('Données projet'!$B$10,Paramètres!$A$1:$I$89,3,0)*VLOOKUP('Données projet'!$B$10,Paramètres!$A$1:$I$89,5,0)</f>
        <v>17.104922097347774</v>
      </c>
      <c r="AK20" s="13">
        <f t="shared" si="35"/>
        <v>5.6641907356617391</v>
      </c>
      <c r="AL20" s="20">
        <f t="shared" si="4"/>
        <v>39.656204850824899</v>
      </c>
      <c r="AM20" s="59">
        <f t="shared" si="5"/>
        <v>249.02232916669763</v>
      </c>
      <c r="AN20" s="59">
        <f ca="1">AVERAGE(OFFSET($AM$3,0,0,'Données projet'!$E$10+1,1))-AVERAGE(OFFSET($H$3,0,0,'Données projet'!$E$10+1,1))</f>
        <v>423.80243030843661</v>
      </c>
      <c r="AO20" s="59">
        <f t="shared" si="36"/>
        <v>260.29028006191834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5.8890909090909096</v>
      </c>
      <c r="BD20" s="12">
        <f>IF('Données projet'!$A$88&gt;35,BD19+BC20-BL19,IF(A20&lt;'Données projet'!$A$88,$BA$205^A20,IF(A20='Données projet'!$A$88,'Données projet'!$B$88,BD19+BC20-BL19)))</f>
        <v>42.890776385274457</v>
      </c>
      <c r="BE20" s="13">
        <f>BD20*VLOOKUP('Données projet'!$B$11,Paramètres!$A$1:$I$89,3,0)*VLOOKUP('Données projet'!$B$11,Paramètres!$A$1:$I$89,5,0)</f>
        <v>25.648684278394128</v>
      </c>
      <c r="BF20" s="13">
        <f t="shared" si="37"/>
        <v>8.1021817259143134</v>
      </c>
      <c r="BG20" s="20">
        <f t="shared" si="7"/>
        <v>58.782758290837201</v>
      </c>
      <c r="BH20" s="59">
        <f t="shared" si="8"/>
        <v>268.14888260670995</v>
      </c>
      <c r="BI20" s="59">
        <f ca="1">AVERAGE(OFFSET($BH$3,0,0,'Données projet'!$E$11+1,1))-AVERAGE(OFFSET($H$3,0,0,'Données projet'!$E$11+1,1))</f>
        <v>373.61861223558259</v>
      </c>
      <c r="BJ20" s="59">
        <f t="shared" si="38"/>
        <v>277.62293009761049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3.4615384615384612</v>
      </c>
      <c r="BY20" s="12">
        <f>IF('Données projet'!$A$114&gt;35,BY19+BX20-CG19,IF(A20&lt;'Données projet'!$A$114,$BV$205^A20,IF(A20='Données projet'!$A$114,'Données projet'!$B$114,BY19+BX20-CG19)))</f>
        <v>36.665219016743542</v>
      </c>
      <c r="BZ20" s="13">
        <f>BY20*VLOOKUP('Données projet'!$B$12,Paramètres!$A$1:$I$89,3,0)*VLOOKUP('Données projet'!$B$12,Paramètres!$A$1:$I$89,5,0)</f>
        <v>32.03073533302716</v>
      </c>
      <c r="CA20" s="13">
        <f t="shared" si="39"/>
        <v>9.8598653840532489</v>
      </c>
      <c r="CB20" s="20">
        <f t="shared" si="10"/>
        <v>72.95946291558171</v>
      </c>
      <c r="CC20" s="59">
        <f t="shared" si="11"/>
        <v>282.32558723145445</v>
      </c>
      <c r="CD20" s="59">
        <f ca="1">AVERAGE(OFFSET($CC$3,0,0,'Données projet'!$E$12+1,1))-AVERAGE(OFFSET($H$3,0,0,'Données projet'!$E$12+1,1))</f>
        <v>251.30277097589737</v>
      </c>
      <c r="CE20" s="59">
        <f t="shared" si="40"/>
        <v>224.11983819941796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2.85</v>
      </c>
      <c r="CT20" s="12">
        <f>IF('Données projet'!$A$140&gt;35,CT19+CS20-DB19,IF(A20&lt;'Données projet'!$A$140,$CQ$205^A20,IF(A20='Données projet'!$A$140,'Données projet'!$B$140,CT19+CS20-DB19)))</f>
        <v>31.080902954246678</v>
      </c>
      <c r="CU20" s="17">
        <f>CT20*VLOOKUP('Données projet'!$B$13,Paramètres!$A$1:$I$89,3,0)*VLOOKUP('Données projet'!$B$13,Paramètres!$A$1:$I$89,5,0)</f>
        <v>27.152276820829904</v>
      </c>
      <c r="CV20" s="13">
        <f t="shared" si="41"/>
        <v>8.5204644688701361</v>
      </c>
      <c r="CW20" s="20">
        <f t="shared" si="13"/>
        <v>62.130024412894237</v>
      </c>
      <c r="CX20" s="59">
        <f t="shared" si="14"/>
        <v>271.49614872876697</v>
      </c>
      <c r="CY20" s="59">
        <f ca="1">AVERAGE(OFFSET($CX$3,0,0,'Données projet'!$E$13+1,1))-AVERAGE(OFFSET($H$3,0,0,'Données projet'!$E$13+1,1))</f>
        <v>287.28439432670405</v>
      </c>
      <c r="CZ20" s="59">
        <f t="shared" si="42"/>
        <v>276.01618888357268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1.153846153846154</v>
      </c>
      <c r="DO20" s="12">
        <f>IF('Données projet'!$A$166&gt;35,DO19+DN20-DW19,IF(A20&lt;'Données projet'!$A$166,$DL$205^A20,IF(A20='Données projet'!$A$166,'Données projet'!$B$166,DO19+DN20-DW19)))</f>
        <v>9.836934565038753</v>
      </c>
      <c r="DP20" s="17">
        <f>DO20*VLOOKUP('Données projet'!$B$14,Paramètres!$A$1:$I$89,3,0)*VLOOKUP('Données projet'!$B$14,Paramètres!$A$1:$I$89,5,0)</f>
        <v>9.5142831113054811</v>
      </c>
      <c r="DQ20" s="13">
        <f t="shared" si="43"/>
        <v>3.3732238369883953</v>
      </c>
      <c r="DR20" s="20">
        <f t="shared" si="16"/>
        <v>22.4457412682785</v>
      </c>
      <c r="DS20" s="59">
        <f t="shared" si="17"/>
        <v>231.81186558415123</v>
      </c>
      <c r="DT20" s="59">
        <f ca="1">AVERAGE(OFFSET($DS$3,0,0,'Données projet'!$E$14+1,1))-AVERAGE(OFFSET($H$3,0,0,'Données projet'!$E$14+1,1))</f>
        <v>206.5245935130306</v>
      </c>
      <c r="DU20" s="59">
        <f t="shared" si="44"/>
        <v>130.57011290898546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7.7715686274509812</v>
      </c>
      <c r="EJ20" s="12">
        <f>IF('Données projet'!$A$192&gt;35,EJ19+EI20-ER19,IF(A20&lt;'Données projet'!$A$192,$EG$205^A20,IF(A20='Données projet'!$A$192,'Données projet'!$B$192,EJ19+EI20-ER19)))</f>
        <v>132.11666666666665</v>
      </c>
      <c r="EK20" s="17">
        <f>EJ20*VLOOKUP('Données projet'!$B$15,Paramètres!$A$1:$I$89,3,0)*VLOOKUP('Données projet'!$B$15,Paramètres!$A$1:$I$89,5,0)</f>
        <v>61.83059999999999</v>
      </c>
      <c r="EL20" s="13">
        <f t="shared" si="45"/>
        <v>17.630289466347477</v>
      </c>
      <c r="EM20" s="20">
        <f t="shared" si="19"/>
        <v>138.39438248722183</v>
      </c>
      <c r="EN20" s="59">
        <f t="shared" si="20"/>
        <v>347.76050680309459</v>
      </c>
      <c r="EO20" s="59">
        <f ca="1">AVERAGE(OFFSET($EN$3,0,0,'Données projet'!$E$15+1,1))-AVERAGE(OFFSET($H$3,0,0,'Données projet'!$E$15+1,1))</f>
        <v>374.38106339726073</v>
      </c>
      <c r="EP20" s="59">
        <f t="shared" si="46"/>
        <v>296.53283288925957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9">
        <f t="shared" si="0"/>
        <v>360.73085636864027</v>
      </c>
      <c r="S21" s="59">
        <f ca="1">AVERAGE(OFFSET($R$3,0,0,'Données projet'!$E$9+1,1))-AVERAGE(OFFSET($H$3,0,0,'Données projet'!$E$9+1,1))</f>
        <v>681.47578137804555</v>
      </c>
      <c r="T21" s="59">
        <f t="shared" si="34"/>
        <v>300.88511065995885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21.304462850702166</v>
      </c>
      <c r="AJ21" s="13">
        <f>AI21*VLOOKUP('Données projet'!$B$10,Paramètres!$A$1:$I$89,3,0)*VLOOKUP('Données projet'!$B$10,Paramètres!$A$1:$I$89,5,0)</f>
        <v>20.273326848728182</v>
      </c>
      <c r="AK21" s="13">
        <f t="shared" si="35"/>
        <v>6.5818959803406232</v>
      </c>
      <c r="AL21" s="20">
        <f t="shared" si="4"/>
        <v>46.772846427294837</v>
      </c>
      <c r="AM21" s="59">
        <f t="shared" si="5"/>
        <v>258.54219961929795</v>
      </c>
      <c r="AN21" s="59">
        <f ca="1">AVERAGE(OFFSET($AM$3,0,0,'Données projet'!$E$10+1,1))-AVERAGE(OFFSET($H$3,0,0,'Données projet'!$E$10+1,1))</f>
        <v>423.80243030843661</v>
      </c>
      <c r="AO21" s="59">
        <f t="shared" si="36"/>
        <v>260.29028006191834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5.8890909090909096</v>
      </c>
      <c r="BD21" s="12">
        <f>IF('Données projet'!$A$88&gt;35,BD20+BC21-BL20,IF(A21&lt;'Données projet'!$A$88,$BA$205^A21,IF(A21='Données projet'!$A$88,'Données projet'!$B$88,BD20+BC21-BL20)))</f>
        <v>53.503884512438958</v>
      </c>
      <c r="BE21" s="13">
        <f>BD21*VLOOKUP('Données projet'!$B$11,Paramètres!$A$1:$I$89,3,0)*VLOOKUP('Données projet'!$B$11,Paramètres!$A$1:$I$89,5,0)</f>
        <v>31.995322938438498</v>
      </c>
      <c r="BF21" s="13">
        <f t="shared" si="37"/>
        <v>9.8502327949788757</v>
      </c>
      <c r="BG21" s="20">
        <f t="shared" si="7"/>
        <v>72.881009569035243</v>
      </c>
      <c r="BH21" s="59">
        <f t="shared" si="8"/>
        <v>284.65036276103837</v>
      </c>
      <c r="BI21" s="59">
        <f ca="1">AVERAGE(OFFSET($BH$3,0,0,'Données projet'!$E$11+1,1))-AVERAGE(OFFSET($H$3,0,0,'Données projet'!$E$11+1,1))</f>
        <v>373.61861223558259</v>
      </c>
      <c r="BJ21" s="59">
        <f t="shared" si="38"/>
        <v>277.62293009761049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3.4615384615384612</v>
      </c>
      <c r="BY21" s="12">
        <f>IF('Données projet'!$A$114&gt;35,BY20+BX21-CG20,IF(A21&lt;'Données projet'!$A$114,$BV$205^A21,IF(A21='Données projet'!$A$114,'Données projet'!$B$114,BY20+BX21-CG20)))</f>
        <v>45.31784413884693</v>
      </c>
      <c r="BZ21" s="13">
        <f>BY21*VLOOKUP('Données projet'!$B$12,Paramètres!$A$1:$I$89,3,0)*VLOOKUP('Données projet'!$B$12,Paramètres!$A$1:$I$89,5,0)</f>
        <v>39.589668639696683</v>
      </c>
      <c r="CA21" s="13">
        <f t="shared" si="39"/>
        <v>11.889823352970199</v>
      </c>
      <c r="CB21" s="20">
        <f t="shared" si="10"/>
        <v>89.66011522056148</v>
      </c>
      <c r="CC21" s="59">
        <f t="shared" si="11"/>
        <v>301.42946841256457</v>
      </c>
      <c r="CD21" s="59">
        <f ca="1">AVERAGE(OFFSET($CC$3,0,0,'Données projet'!$E$12+1,1))-AVERAGE(OFFSET($H$3,0,0,'Données projet'!$E$12+1,1))</f>
        <v>251.30277097589737</v>
      </c>
      <c r="CE21" s="59">
        <f t="shared" si="40"/>
        <v>224.11983819941796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2.85</v>
      </c>
      <c r="CT21" s="12">
        <f>IF('Données projet'!$A$140&gt;35,CT20+CS21-DB20,IF(A21&lt;'Données projet'!$A$140,$CQ$205^A21,IF(A21='Données projet'!$A$140,'Données projet'!$B$140,CT20+CS21-DB20)))</f>
        <v>38.044104865803838</v>
      </c>
      <c r="CU21" s="17">
        <f>CT21*VLOOKUP('Données projet'!$B$13,Paramètres!$A$1:$I$89,3,0)*VLOOKUP('Données projet'!$B$13,Paramètres!$A$1:$I$89,5,0)</f>
        <v>33.235330010766241</v>
      </c>
      <c r="CV21" s="13">
        <f t="shared" si="41"/>
        <v>10.186800967176366</v>
      </c>
      <c r="CW21" s="20">
        <f t="shared" si="13"/>
        <v>75.626878119916697</v>
      </c>
      <c r="CX21" s="59">
        <f t="shared" si="14"/>
        <v>287.39623131191979</v>
      </c>
      <c r="CY21" s="59">
        <f ca="1">AVERAGE(OFFSET($CX$3,0,0,'Données projet'!$E$13+1,1))-AVERAGE(OFFSET($H$3,0,0,'Données projet'!$E$13+1,1))</f>
        <v>287.28439432670405</v>
      </c>
      <c r="CZ21" s="59">
        <f t="shared" si="42"/>
        <v>276.01618888357268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1.153846153846154</v>
      </c>
      <c r="DO21" s="12">
        <f>IF('Données projet'!$A$166&gt;35,DO20+DN21-DW20,IF(A21&lt;'Données projet'!$A$166,$DL$205^A21,IF(A21='Données projet'!$A$166,'Données projet'!$B$166,DO20+DN21-DW20)))</f>
        <v>11.252869933609833</v>
      </c>
      <c r="DP21" s="17">
        <f>DO21*VLOOKUP('Données projet'!$B$14,Paramètres!$A$1:$I$89,3,0)*VLOOKUP('Données projet'!$B$14,Paramètres!$A$1:$I$89,5,0)</f>
        <v>10.883775799787431</v>
      </c>
      <c r="DQ21" s="13">
        <f t="shared" si="43"/>
        <v>3.7988356756811363</v>
      </c>
      <c r="DR21" s="20">
        <f t="shared" si="16"/>
        <v>25.572214986441086</v>
      </c>
      <c r="DS21" s="59">
        <f t="shared" si="17"/>
        <v>237.34156817844419</v>
      </c>
      <c r="DT21" s="59">
        <f ca="1">AVERAGE(OFFSET($DS$3,0,0,'Données projet'!$E$14+1,1))-AVERAGE(OFFSET($H$3,0,0,'Données projet'!$E$14+1,1))</f>
        <v>206.5245935130306</v>
      </c>
      <c r="DU21" s="59">
        <f t="shared" si="44"/>
        <v>130.57011290898546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7.7715686274509812</v>
      </c>
      <c r="EJ21" s="12">
        <f>IF('Données projet'!$A$192&gt;35,EJ20+EI21-ER20,IF(A21&lt;'Données projet'!$A$192,$EG$205^A21,IF(A21='Données projet'!$A$192,'Données projet'!$B$192,EJ20+EI21-ER20)))</f>
        <v>139.88823529411764</v>
      </c>
      <c r="EK21" s="17">
        <f>EJ21*VLOOKUP('Données projet'!$B$15,Paramètres!$A$1:$I$89,3,0)*VLOOKUP('Données projet'!$B$15,Paramètres!$A$1:$I$89,5,0)</f>
        <v>65.467694117647056</v>
      </c>
      <c r="EL21" s="13">
        <f t="shared" si="45"/>
        <v>18.543579113671662</v>
      </c>
      <c r="EM21" s="20">
        <f t="shared" si="19"/>
        <v>146.31963421121341</v>
      </c>
      <c r="EN21" s="59">
        <f t="shared" si="20"/>
        <v>358.08898740321649</v>
      </c>
      <c r="EO21" s="59">
        <f ca="1">AVERAGE(OFFSET($EN$3,0,0,'Données projet'!$E$15+1,1))-AVERAGE(OFFSET($H$3,0,0,'Données projet'!$E$15+1,1))</f>
        <v>374.38106339726073</v>
      </c>
      <c r="EP21" s="59">
        <f t="shared" si="46"/>
        <v>296.53283288925957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9">
        <f t="shared" si="0"/>
        <v>371.17186197623124</v>
      </c>
      <c r="S22" s="59">
        <f ca="1">AVERAGE(OFFSET($R$3,0,0,'Données projet'!$E$9+1,1))-AVERAGE(OFFSET($H$3,0,0,'Données projet'!$E$9+1,1))</f>
        <v>681.47578137804555</v>
      </c>
      <c r="T22" s="59">
        <f t="shared" si="34"/>
        <v>300.88511065995885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25.250763274498809</v>
      </c>
      <c r="AJ22" s="13">
        <f>AI22*VLOOKUP('Données projet'!$B$10,Paramètres!$A$1:$I$89,3,0)*VLOOKUP('Données projet'!$B$10,Paramètres!$A$1:$I$89,5,0)</f>
        <v>24.028626332013069</v>
      </c>
      <c r="AK22" s="13">
        <f t="shared" si="35"/>
        <v>7.6482867046254057</v>
      </c>
      <c r="AL22" s="20">
        <f t="shared" si="4"/>
        <v>55.170623538812009</v>
      </c>
      <c r="AM22" s="59">
        <f t="shared" si="5"/>
        <v>269.32271778183554</v>
      </c>
      <c r="AN22" s="59">
        <f ca="1">AVERAGE(OFFSET($AM$3,0,0,'Données projet'!$E$10+1,1))-AVERAGE(OFFSET($H$3,0,0,'Données projet'!$E$10+1,1))</f>
        <v>423.80243030843661</v>
      </c>
      <c r="AO22" s="59">
        <f t="shared" si="36"/>
        <v>260.29028006191834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5.8890909090909096</v>
      </c>
      <c r="BD22" s="12">
        <f>IF('Données projet'!$A$88&gt;35,BD21+BC22-BL21,IF(A22&lt;'Données projet'!$A$88,$BA$205^A22,IF(A22='Données projet'!$A$88,'Données projet'!$B$88,BD21+BC22-BL21)))</f>
        <v>66.743153171347927</v>
      </c>
      <c r="BE22" s="13">
        <f>BD22*VLOOKUP('Données projet'!$B$11,Paramètres!$A$1:$I$89,3,0)*VLOOKUP('Données projet'!$B$11,Paramètres!$A$1:$I$89,5,0)</f>
        <v>39.912405596466066</v>
      </c>
      <c r="BF22" s="13">
        <f t="shared" si="37"/>
        <v>11.975427038984135</v>
      </c>
      <c r="BG22" s="20">
        <f t="shared" si="7"/>
        <v>90.371308506742437</v>
      </c>
      <c r="BH22" s="59">
        <f t="shared" si="8"/>
        <v>304.52340274976598</v>
      </c>
      <c r="BI22" s="59">
        <f ca="1">AVERAGE(OFFSET($BH$3,0,0,'Données projet'!$E$11+1,1))-AVERAGE(OFFSET($H$3,0,0,'Données projet'!$E$11+1,1))</f>
        <v>373.61861223558259</v>
      </c>
      <c r="BJ22" s="59">
        <f t="shared" si="38"/>
        <v>277.62293009761049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3.4615384615384612</v>
      </c>
      <c r="BY22" s="12">
        <f>IF('Données projet'!$A$114&gt;35,BY21+BX22-CG21,IF(A22&lt;'Données projet'!$A$114,$BV$205^A22,IF(A22='Données projet'!$A$114,'Données projet'!$B$114,BY21+BX22-CG21)))</f>
        <v>56.012402283891362</v>
      </c>
      <c r="BZ22" s="13">
        <f>BY22*VLOOKUP('Données projet'!$B$12,Paramètres!$A$1:$I$89,3,0)*VLOOKUP('Données projet'!$B$12,Paramètres!$A$1:$I$89,5,0)</f>
        <v>48.9324346352075</v>
      </c>
      <c r="CA22" s="13">
        <f t="shared" si="39"/>
        <v>14.337710897501236</v>
      </c>
      <c r="CB22" s="20">
        <f t="shared" si="10"/>
        <v>110.19550346946771</v>
      </c>
      <c r="CC22" s="59">
        <f t="shared" si="11"/>
        <v>324.34759771249122</v>
      </c>
      <c r="CD22" s="59">
        <f ca="1">AVERAGE(OFFSET($CC$3,0,0,'Données projet'!$E$12+1,1))-AVERAGE(OFFSET($H$3,0,0,'Données projet'!$E$12+1,1))</f>
        <v>251.30277097589737</v>
      </c>
      <c r="CE22" s="59">
        <f t="shared" si="40"/>
        <v>224.11983819941796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2.85</v>
      </c>
      <c r="CT22" s="12">
        <f>IF('Données projet'!$A$140&gt;35,CT21+CS22-DB21,IF(A22&lt;'Données projet'!$A$140,$CQ$205^A22,IF(A22='Données projet'!$A$140,'Données projet'!$B$140,CT21+CS22-DB21)))</f>
        <v>46.567305884609858</v>
      </c>
      <c r="CU22" s="17">
        <f>CT22*VLOOKUP('Données projet'!$B$13,Paramètres!$A$1:$I$89,3,0)*VLOOKUP('Données projet'!$B$13,Paramètres!$A$1:$I$89,5,0)</f>
        <v>40.681198420795177</v>
      </c>
      <c r="CV22" s="13">
        <f t="shared" si="41"/>
        <v>12.179020794464504</v>
      </c>
      <c r="CW22" s="20">
        <f t="shared" si="13"/>
        <v>92.064881799910609</v>
      </c>
      <c r="CX22" s="59">
        <f t="shared" si="14"/>
        <v>306.21697604293411</v>
      </c>
      <c r="CY22" s="59">
        <f ca="1">AVERAGE(OFFSET($CX$3,0,0,'Données projet'!$E$13+1,1))-AVERAGE(OFFSET($H$3,0,0,'Données projet'!$E$13+1,1))</f>
        <v>287.28439432670405</v>
      </c>
      <c r="CZ22" s="59">
        <f t="shared" si="42"/>
        <v>276.01618888357268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1.153846153846154</v>
      </c>
      <c r="DO22" s="12">
        <f>IF('Données projet'!$A$166&gt;35,DO21+DN22-DW21,IF(A22&lt;'Données projet'!$A$166,$DL$205^A22,IF(A22='Données projet'!$A$166,'Données projet'!$B$166,DO21+DN22-DW21)))</f>
        <v>12.872616047765822</v>
      </c>
      <c r="DP22" s="17">
        <f>DO22*VLOOKUP('Données projet'!$B$14,Paramètres!$A$1:$I$89,3,0)*VLOOKUP('Données projet'!$B$14,Paramètres!$A$1:$I$89,5,0)</f>
        <v>12.450394241399104</v>
      </c>
      <c r="DQ22" s="13">
        <f t="shared" si="43"/>
        <v>4.2781484977622624</v>
      </c>
      <c r="DR22" s="20">
        <f t="shared" si="16"/>
        <v>29.135545270706046</v>
      </c>
      <c r="DS22" s="59">
        <f t="shared" si="17"/>
        <v>243.28763951372957</v>
      </c>
      <c r="DT22" s="59">
        <f ca="1">AVERAGE(OFFSET($DS$3,0,0,'Données projet'!$E$14+1,1))-AVERAGE(OFFSET($H$3,0,0,'Données projet'!$E$14+1,1))</f>
        <v>206.5245935130306</v>
      </c>
      <c r="DU22" s="59">
        <f t="shared" si="44"/>
        <v>130.57011290898546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7.7715686274509812</v>
      </c>
      <c r="EJ22" s="12">
        <f>IF('Données projet'!$A$192&gt;35,EJ21+EI22-ER21,IF(A22&lt;'Données projet'!$A$192,$EG$205^A22,IF(A22='Données projet'!$A$192,'Données projet'!$B$192,EJ21+EI22-ER21)))</f>
        <v>147.65980392156862</v>
      </c>
      <c r="EK22" s="17">
        <f>EJ22*VLOOKUP('Données projet'!$B$15,Paramètres!$A$1:$I$89,3,0)*VLOOKUP('Données projet'!$B$15,Paramètres!$A$1:$I$89,5,0)</f>
        <v>69.104788235294123</v>
      </c>
      <c r="EL22" s="13">
        <f t="shared" si="45"/>
        <v>19.450978677796666</v>
      </c>
      <c r="EM22" s="20">
        <f t="shared" si="19"/>
        <v>154.23462737363312</v>
      </c>
      <c r="EN22" s="59">
        <f t="shared" si="20"/>
        <v>368.38672161665664</v>
      </c>
      <c r="EO22" s="59">
        <f ca="1">AVERAGE(OFFSET($EN$3,0,0,'Données projet'!$E$15+1,1))-AVERAGE(OFFSET($H$3,0,0,'Données projet'!$E$15+1,1))</f>
        <v>374.38106339726073</v>
      </c>
      <c r="EP22" s="59">
        <f t="shared" si="46"/>
        <v>296.53283288925957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9">
        <f t="shared" si="0"/>
        <v>381.58292011934685</v>
      </c>
      <c r="S23" s="59">
        <f ca="1">AVERAGE(OFFSET($R$3,0,0,'Données projet'!$E$9+1,1))-AVERAGE(OFFSET($H$3,0,0,'Données projet'!$E$9+1,1))</f>
        <v>681.47578137804555</v>
      </c>
      <c r="T23" s="59">
        <f t="shared" si="34"/>
        <v>300.88511065995885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29.92805077569761</v>
      </c>
      <c r="AJ23" s="13">
        <f>AI23*VLOOKUP('Données projet'!$B$10,Paramètres!$A$1:$I$89,3,0)*VLOOKUP('Données projet'!$B$10,Paramètres!$A$1:$I$89,5,0)</f>
        <v>28.479533118153846</v>
      </c>
      <c r="AK23" s="13">
        <f t="shared" si="35"/>
        <v>8.8874527477905296</v>
      </c>
      <c r="AL23" s="20">
        <f t="shared" si="4"/>
        <v>65.080833716519777</v>
      </c>
      <c r="AM23" s="59">
        <f t="shared" si="5"/>
        <v>281.5955366034155</v>
      </c>
      <c r="AN23" s="59">
        <f ca="1">AVERAGE(OFFSET($AM$3,0,0,'Données projet'!$E$10+1,1))-AVERAGE(OFFSET($H$3,0,0,'Données projet'!$E$10+1,1))</f>
        <v>423.80243030843661</v>
      </c>
      <c r="AO23" s="59">
        <f t="shared" si="36"/>
        <v>260.29028006191834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5.8890909090909096</v>
      </c>
      <c r="BD23" s="12">
        <f>IF('Données projet'!$A$88&gt;35,BD22+BC23-BL22,IF(A23&lt;'Données projet'!$A$88,$BA$205^A23,IF(A23='Données projet'!$A$88,'Données projet'!$B$88,BD22+BC23-BL22)))</f>
        <v>83.25841265260587</v>
      </c>
      <c r="BE23" s="13">
        <f>BD23*VLOOKUP('Données projet'!$B$11,Paramètres!$A$1:$I$89,3,0)*VLOOKUP('Données projet'!$B$11,Paramètres!$A$1:$I$89,5,0)</f>
        <v>49.788530766258319</v>
      </c>
      <c r="BF23" s="13">
        <f t="shared" si="37"/>
        <v>14.559133347501747</v>
      </c>
      <c r="BG23" s="20">
        <f t="shared" si="7"/>
        <v>112.07218166479875</v>
      </c>
      <c r="BH23" s="59">
        <f t="shared" si="8"/>
        <v>328.58688455169448</v>
      </c>
      <c r="BI23" s="59">
        <f ca="1">AVERAGE(OFFSET($BH$3,0,0,'Données projet'!$E$11+1,1))-AVERAGE(OFFSET($H$3,0,0,'Données projet'!$E$11+1,1))</f>
        <v>373.61861223558259</v>
      </c>
      <c r="BJ23" s="59">
        <f t="shared" si="38"/>
        <v>277.62293009761049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69.230769230769226</v>
      </c>
      <c r="BW23" s="12">
        <f>VLOOKUP(A23,'Données projet'!$A$113:$I$133,9,0)</f>
        <v>3.4615384615384612</v>
      </c>
      <c r="BX23" s="12">
        <f t="array" ref="BX23">INDEX(BW:BW,MIN(IF(ISNUMBER(BW23:BW219),ROW(BW23:BW219),"")))</f>
        <v>3.4615384615384612</v>
      </c>
      <c r="BY23" s="12">
        <f>IF('Données projet'!$A$114&gt;35,BY22+BX23-CG22,IF(A23&lt;'Données projet'!$A$114,$BV$205^A23,IF(A23='Données projet'!$A$114,'Données projet'!$B$114,BY22+BX23-CG22)))</f>
        <v>69.230769230769226</v>
      </c>
      <c r="BZ23" s="13">
        <f>BY23*VLOOKUP('Données projet'!$B$12,Paramètres!$A$1:$I$89,3,0)*VLOOKUP('Données projet'!$B$12,Paramètres!$A$1:$I$89,5,0)</f>
        <v>60.480000000000011</v>
      </c>
      <c r="CA23" s="13">
        <f t="shared" si="39"/>
        <v>17.289571735224513</v>
      </c>
      <c r="CB23" s="20">
        <f t="shared" si="10"/>
        <v>135.44867077218274</v>
      </c>
      <c r="CC23" s="59">
        <f t="shared" si="11"/>
        <v>351.96337365907846</v>
      </c>
      <c r="CD23" s="59">
        <f ca="1">AVERAGE(OFFSET($CC$3,0,0,'Données projet'!$E$12+1,1))-AVERAGE(OFFSET($H$3,0,0,'Données projet'!$E$12+1,1))</f>
        <v>251.30277097589737</v>
      </c>
      <c r="CE23" s="59">
        <f t="shared" si="40"/>
        <v>224.11983819941796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26.282051282051281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0.215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5.435557520074414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5.435557520074414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57</v>
      </c>
      <c r="CR23" s="12">
        <f>VLOOKUP(A23,'Données projet'!$A$139:$I$159,9,0)</f>
        <v>2.85</v>
      </c>
      <c r="CS23" s="12">
        <f t="array" ref="CS23">INDEX(CR:CR,MIN(IF(ISNUMBER(CR23:CR219),ROW(CR23:CR219),"")))</f>
        <v>2.85</v>
      </c>
      <c r="CT23" s="12">
        <f>IF('Données projet'!$A$140&gt;35,CT22+CS23-DB22,IF(A23&lt;'Données projet'!$A$140,$CQ$205^A23,IF(A23='Données projet'!$A$140,'Données projet'!$B$140,CT22+CS23-DB22)))</f>
        <v>57</v>
      </c>
      <c r="CU23" s="17">
        <f>CT23*VLOOKUP('Données projet'!$B$13,Paramètres!$A$1:$I$89,3,0)*VLOOKUP('Données projet'!$B$13,Paramètres!$A$1:$I$89,5,0)</f>
        <v>49.795200000000001</v>
      </c>
      <c r="CV23" s="13">
        <f t="shared" si="41"/>
        <v>14.560856542690781</v>
      </c>
      <c r="CW23" s="20">
        <f t="shared" si="13"/>
        <v>112.08679847851977</v>
      </c>
      <c r="CX23" s="59">
        <f t="shared" si="14"/>
        <v>328.60150136541552</v>
      </c>
      <c r="CY23" s="59">
        <f ca="1">AVERAGE(OFFSET($CX$3,0,0,'Données projet'!$E$13+1,1))-AVERAGE(OFFSET($H$3,0,0,'Données projet'!$E$13+1,1))</f>
        <v>287.28439432670405</v>
      </c>
      <c r="CZ23" s="59">
        <f t="shared" si="42"/>
        <v>276.01618888357268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2.6765881483138987</v>
      </c>
      <c r="DH23" s="21">
        <f>EXP(-LN(2)/2)*DH22+(1-EXP(-LN(2)/2))/(LN(2)/2)*DB23*DE23*VLOOKUP('Données projet'!$B$13,Paramètres!$A$1:$I$89,3,0)*0.475*44/12</f>
        <v>4.3273918411461532</v>
      </c>
      <c r="DI23" s="22">
        <f t="shared" si="15"/>
        <v>7.0039799894600518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1.153846153846154</v>
      </c>
      <c r="DO23" s="12">
        <f>IF('Données projet'!$A$166&gt;35,DO22+DN23-DW22,IF(A23&lt;'Données projet'!$A$166,$DL$205^A23,IF(A23='Données projet'!$A$166,'Données projet'!$B$166,DO22+DN23-DW22)))</f>
        <v>14.725509571409539</v>
      </c>
      <c r="DP23" s="17">
        <f>DO23*VLOOKUP('Données projet'!$B$14,Paramètres!$A$1:$I$89,3,0)*VLOOKUP('Données projet'!$B$14,Paramètres!$A$1:$I$89,5,0)</f>
        <v>14.242512857467306</v>
      </c>
      <c r="DQ23" s="13">
        <f t="shared" si="43"/>
        <v>4.8179379503231141</v>
      </c>
      <c r="DR23" s="20">
        <f t="shared" si="16"/>
        <v>33.196951823568313</v>
      </c>
      <c r="DS23" s="59">
        <f t="shared" si="17"/>
        <v>249.71165471046402</v>
      </c>
      <c r="DT23" s="59">
        <f ca="1">AVERAGE(OFFSET($DS$3,0,0,'Données projet'!$E$14+1,1))-AVERAGE(OFFSET($H$3,0,0,'Données projet'!$E$14+1,1))</f>
        <v>206.5245935130306</v>
      </c>
      <c r="DU23" s="59">
        <f t="shared" si="44"/>
        <v>130.57011290898546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7.7715686274509812</v>
      </c>
      <c r="EJ23" s="12">
        <f>IF('Données projet'!$A$192&gt;35,EJ22+EI23-ER22,IF(A23&lt;'Données projet'!$A$192,$EG$205^A23,IF(A23='Données projet'!$A$192,'Données projet'!$B$192,EJ22+EI23-ER22)))</f>
        <v>155.43137254901961</v>
      </c>
      <c r="EK23" s="17">
        <f>EJ23*VLOOKUP('Données projet'!$B$15,Paramètres!$A$1:$I$89,3,0)*VLOOKUP('Données projet'!$B$15,Paramètres!$A$1:$I$89,5,0)</f>
        <v>72.741882352941175</v>
      </c>
      <c r="EL23" s="13">
        <f t="shared" si="45"/>
        <v>20.352833516665445</v>
      </c>
      <c r="EM23" s="20">
        <f t="shared" si="19"/>
        <v>162.13996347289819</v>
      </c>
      <c r="EN23" s="59">
        <f t="shared" si="20"/>
        <v>378.65466635979391</v>
      </c>
      <c r="EO23" s="59">
        <f ca="1">AVERAGE(OFFSET($EN$3,0,0,'Données projet'!$E$15+1,1))-AVERAGE(OFFSET($H$3,0,0,'Données projet'!$E$15+1,1))</f>
        <v>374.38106339726073</v>
      </c>
      <c r="EP23" s="59">
        <f t="shared" si="46"/>
        <v>296.53283288925957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9">
        <f t="shared" si="0"/>
        <v>391.96492680211463</v>
      </c>
      <c r="S24" s="59">
        <f ca="1">AVERAGE(OFFSET($R$3,0,0,'Données projet'!$E$9+1,1))-AVERAGE(OFFSET($H$3,0,0,'Données projet'!$E$9+1,1))</f>
        <v>681.47578137804555</v>
      </c>
      <c r="T24" s="59">
        <f t="shared" si="34"/>
        <v>300.88511065995885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2.8</v>
      </c>
      <c r="AI24" s="13">
        <f>IF('Données projet'!$A$62&gt;35,AI23+AH24-AQ23,IF(A24&lt;'Données projet'!$A$62,$AF$205^A24,IF(A24='Données projet'!$A$62,'Données projet'!$B$62,AI23+AH24-AQ23)))</f>
        <v>35.471728656111772</v>
      </c>
      <c r="AJ24" s="13">
        <f>AI24*VLOOKUP('Données projet'!$B$10,Paramètres!$A$1:$I$89,3,0)*VLOOKUP('Données projet'!$B$10,Paramètres!$A$1:$I$89,5,0)</f>
        <v>33.754896989155966</v>
      </c>
      <c r="AK24" s="13">
        <f t="shared" si="35"/>
        <v>10.327386955361005</v>
      </c>
      <c r="AL24" s="20">
        <f t="shared" si="4"/>
        <v>76.776644536700402</v>
      </c>
      <c r="AM24" s="59">
        <f t="shared" si="5"/>
        <v>295.6341729125748</v>
      </c>
      <c r="AN24" s="59">
        <f ca="1">AVERAGE(OFFSET($AM$3,0,0,'Données projet'!$E$10+1,1))-AVERAGE(OFFSET($H$3,0,0,'Données projet'!$E$10+1,1))</f>
        <v>423.80243030843661</v>
      </c>
      <c r="AO24" s="59">
        <f t="shared" si="36"/>
        <v>260.29028006191834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5.8890909090909096</v>
      </c>
      <c r="BD24" s="12">
        <f>IF('Données projet'!$A$88&gt;35,BD23+BC24-BL23,IF(A24&lt;'Données projet'!$A$88,$BA$205^A24,IF(A24='Données projet'!$A$88,'Données projet'!$B$88,BD23+BC24-BL23)))</f>
        <v>103.86029050253822</v>
      </c>
      <c r="BE24" s="13">
        <f>BD24*VLOOKUP('Données projet'!$B$11,Paramètres!$A$1:$I$89,3,0)*VLOOKUP('Données projet'!$B$11,Paramètres!$A$1:$I$89,5,0)</f>
        <v>62.108453720517858</v>
      </c>
      <c r="BF24" s="13">
        <f t="shared" si="37"/>
        <v>17.700276001875135</v>
      </c>
      <c r="BG24" s="20">
        <f t="shared" si="7"/>
        <v>139.00020426650113</v>
      </c>
      <c r="BH24" s="59">
        <f t="shared" si="8"/>
        <v>357.85773264237548</v>
      </c>
      <c r="BI24" s="59">
        <f ca="1">AVERAGE(OFFSET($BH$3,0,0,'Données projet'!$E$11+1,1))-AVERAGE(OFFSET($H$3,0,0,'Données projet'!$E$11+1,1))</f>
        <v>373.61861223558259</v>
      </c>
      <c r="BJ24" s="59">
        <f t="shared" si="38"/>
        <v>277.62293009761049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5.8974358974358978</v>
      </c>
      <c r="BY24" s="12">
        <f>IF('Données projet'!$A$114&gt;35,BY23+BX24-CG23,IF(A24&lt;'Données projet'!$A$114,$BV$205^A24,IF(A24='Données projet'!$A$114,'Données projet'!$B$114,BY23+BX24-CG23)))</f>
        <v>48.84615384615384</v>
      </c>
      <c r="BZ24" s="13">
        <f>BY24*VLOOKUP('Données projet'!$B$12,Paramètres!$A$1:$I$89,3,0)*VLOOKUP('Données projet'!$B$12,Paramètres!$A$1:$I$89,5,0)</f>
        <v>42.671999999999997</v>
      </c>
      <c r="CA24" s="13">
        <f t="shared" si="39"/>
        <v>12.704173557197887</v>
      </c>
      <c r="CB24" s="20">
        <f t="shared" si="10"/>
        <v>96.446835612119642</v>
      </c>
      <c r="CC24" s="59">
        <f t="shared" si="11"/>
        <v>315.30436398799401</v>
      </c>
      <c r="CD24" s="59">
        <f ca="1">AVERAGE(OFFSET($CC$3,0,0,'Données projet'!$E$12+1,1))-AVERAGE(OFFSET($H$3,0,0,'Données projet'!$E$12+1,1))</f>
        <v>251.30277097589737</v>
      </c>
      <c r="CE24" s="59">
        <f t="shared" si="40"/>
        <v>224.11983819941796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5.2869219138444326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5.2869219138444326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</v>
      </c>
      <c r="CT24" s="12">
        <f>IF('Données projet'!$A$140&gt;35,CT23+CS24-DB23,IF(A24&lt;'Données projet'!$A$140,$CQ$205^A24,IF(A24='Données projet'!$A$140,'Données projet'!$B$140,CT23+CS24-DB23)))</f>
        <v>46</v>
      </c>
      <c r="CU24" s="17">
        <f>CT24*VLOOKUP('Données projet'!$B$13,Paramètres!$A$1:$I$89,3,0)*VLOOKUP('Données projet'!$B$13,Paramètres!$A$1:$I$89,5,0)</f>
        <v>40.185600000000001</v>
      </c>
      <c r="CV24" s="13">
        <f t="shared" si="41"/>
        <v>12.047826945473735</v>
      </c>
      <c r="CW24" s="20">
        <f t="shared" si="13"/>
        <v>90.973218596700079</v>
      </c>
      <c r="CX24" s="59">
        <f t="shared" si="14"/>
        <v>309.83074697257445</v>
      </c>
      <c r="CY24" s="59">
        <f ca="1">AVERAGE(OFFSET($CX$3,0,0,'Données projet'!$E$13+1,1))-AVERAGE(OFFSET($H$3,0,0,'Données projet'!$E$13+1,1))</f>
        <v>287.28439432670405</v>
      </c>
      <c r="CZ24" s="59">
        <f t="shared" si="42"/>
        <v>276.01618888357268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2.6033967046426016</v>
      </c>
      <c r="DH24" s="21">
        <f>EXP(-LN(2)/2)*DH23+(1-EXP(-LN(2)/2))/(LN(2)/2)*DB24*DE24*VLOOKUP('Données projet'!$B$13,Paramètres!$A$1:$I$89,3,0)*0.475*44/12</f>
        <v>3.0599281157257843</v>
      </c>
      <c r="DI24" s="22">
        <f t="shared" si="15"/>
        <v>5.6633248203683859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1.153846153846154</v>
      </c>
      <c r="DO24" s="12">
        <f>IF('Données projet'!$A$166&gt;35,DO23+DN24-DW23,IF(A24&lt;'Données projet'!$A$166,$DL$205^A24,IF(A24='Données projet'!$A$166,'Données projet'!$B$166,DO23+DN24-DW23)))</f>
        <v>16.845109908743755</v>
      </c>
      <c r="DP24" s="17">
        <f>DO24*VLOOKUP('Données projet'!$B$14,Paramètres!$A$1:$I$89,3,0)*VLOOKUP('Données projet'!$B$14,Paramètres!$A$1:$I$89,5,0)</f>
        <v>16.292590303736958</v>
      </c>
      <c r="DQ24" s="13">
        <f t="shared" si="43"/>
        <v>5.4258345883284083</v>
      </c>
      <c r="DR24" s="20">
        <f t="shared" si="16"/>
        <v>37.826256687013839</v>
      </c>
      <c r="DS24" s="59">
        <f t="shared" si="17"/>
        <v>256.68378506288821</v>
      </c>
      <c r="DT24" s="59">
        <f ca="1">AVERAGE(OFFSET($DS$3,0,0,'Données projet'!$E$14+1,1))-AVERAGE(OFFSET($H$3,0,0,'Données projet'!$E$14+1,1))</f>
        <v>206.5245935130306</v>
      </c>
      <c r="DU24" s="59">
        <f t="shared" si="44"/>
        <v>130.57011290898546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7.7715686274509812</v>
      </c>
      <c r="EJ24" s="12">
        <f>IF('Données projet'!$A$192&gt;35,EJ23+EI24-ER23,IF(A24&lt;'Données projet'!$A$192,$EG$205^A24,IF(A24='Données projet'!$A$192,'Données projet'!$B$192,EJ23+EI24-ER23)))</f>
        <v>163.2029411764706</v>
      </c>
      <c r="EK24" s="17">
        <f>EJ24*VLOOKUP('Données projet'!$B$15,Paramètres!$A$1:$I$89,3,0)*VLOOKUP('Données projet'!$B$15,Paramètres!$A$1:$I$89,5,0)</f>
        <v>76.378976470588242</v>
      </c>
      <c r="EL24" s="13">
        <f t="shared" si="45"/>
        <v>21.249452501517116</v>
      </c>
      <c r="EM24" s="20">
        <f t="shared" si="19"/>
        <v>170.03618045975017</v>
      </c>
      <c r="EN24" s="59">
        <f t="shared" si="20"/>
        <v>388.89370883562458</v>
      </c>
      <c r="EO24" s="59">
        <f ca="1">AVERAGE(OFFSET($EN$3,0,0,'Données projet'!$E$15+1,1))-AVERAGE(OFFSET($H$3,0,0,'Données projet'!$E$15+1,1))</f>
        <v>374.38106339726073</v>
      </c>
      <c r="EP24" s="59">
        <f t="shared" si="46"/>
        <v>296.53283288925957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9">
        <f t="shared" si="0"/>
        <v>402.3187169559705</v>
      </c>
      <c r="S25" s="59">
        <f ca="1">AVERAGE(OFFSET($R$3,0,0,'Données projet'!$E$9+1,1))-AVERAGE(OFFSET($H$3,0,0,'Données projet'!$E$9+1,1))</f>
        <v>681.47578137804555</v>
      </c>
      <c r="T25" s="59">
        <f t="shared" si="34"/>
        <v>300.88511065995885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2.8</v>
      </c>
      <c r="AI25" s="13">
        <f>IF('Données projet'!$A$62&gt;35,AI24+AH25-AQ24,IF(A25&lt;'Données projet'!$A$62,$AF$205^A25,IF(A25='Données projet'!$A$62,'Données projet'!$B$62,AI24+AH25-AQ24)))</f>
        <v>42.042281446359659</v>
      </c>
      <c r="AJ25" s="13">
        <f>AI25*VLOOKUP('Données projet'!$B$10,Paramètres!$A$1:$I$89,3,0)*VLOOKUP('Données projet'!$B$10,Paramètres!$A$1:$I$89,5,0)</f>
        <v>40.00743502435585</v>
      </c>
      <c r="AK25" s="13">
        <f t="shared" si="35"/>
        <v>12.000617539404164</v>
      </c>
      <c r="AL25" s="20">
        <f t="shared" si="4"/>
        <v>90.5806915485487</v>
      </c>
      <c r="AM25" s="59">
        <f t="shared" si="5"/>
        <v>311.76160545201708</v>
      </c>
      <c r="AN25" s="59">
        <f ca="1">AVERAGE(OFFSET($AM$3,0,0,'Données projet'!$E$10+1,1))-AVERAGE(OFFSET($H$3,0,0,'Données projet'!$E$10+1,1))</f>
        <v>423.80243030843661</v>
      </c>
      <c r="AO25" s="59">
        <f t="shared" si="36"/>
        <v>260.29028006191834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129.56</v>
      </c>
      <c r="BB25" s="12">
        <f>VLOOKUP(A25,'Données projet'!$A$87:$I$107,9,0)</f>
        <v>5.8890909090909096</v>
      </c>
      <c r="BC25" s="12">
        <f t="array" ref="BC25">INDEX(BB:BB,MIN(IF(ISNUMBER(BB25:BB221),ROW(BB25:BB221),"")))</f>
        <v>5.8890909090909096</v>
      </c>
      <c r="BD25" s="12">
        <f>IF('Données projet'!$A$88&gt;35,BD24+BC25-BL24,IF(A25&lt;'Données projet'!$A$88,$BA$205^A25,IF(A25='Données projet'!$A$88,'Données projet'!$B$88,BD24+BC25-BL24)))</f>
        <v>129.56</v>
      </c>
      <c r="BE25" s="13">
        <f>BD25*VLOOKUP('Données projet'!$B$11,Paramètres!$A$1:$I$89,3,0)*VLOOKUP('Données projet'!$B$11,Paramètres!$A$1:$I$89,5,0)</f>
        <v>77.476880000000008</v>
      </c>
      <c r="BF25" s="13">
        <f t="shared" si="37"/>
        <v>21.519122262611628</v>
      </c>
      <c r="BG25" s="20">
        <f t="shared" si="7"/>
        <v>172.4180372740486</v>
      </c>
      <c r="BH25" s="59">
        <f t="shared" si="8"/>
        <v>393.59895117751699</v>
      </c>
      <c r="BI25" s="59">
        <f ca="1">AVERAGE(OFFSET($BH$3,0,0,'Données projet'!$E$11+1,1))-AVERAGE(OFFSET($H$3,0,0,'Données projet'!$E$11+1,1))</f>
        <v>373.61861223558259</v>
      </c>
      <c r="BJ25" s="59">
        <f t="shared" si="38"/>
        <v>277.62293009761049</v>
      </c>
      <c r="BK25" s="15">
        <f>IF(ISNA(VLOOKUP(A25,'Données projet'!$A$87:$I$107,3,0)),0,VLOOKUP(A25,'Données projet'!$A$87:$I$107,3,0))</f>
        <v>1</v>
      </c>
      <c r="BL25" s="15">
        <f>IF(ISNA(VLOOKUP(A25,'Données projet'!$A$87:$I$107,4,0)),0,VLOOKUP(A25,'Données projet'!$A$87:$I$107,4,0))</f>
        <v>52.620000000000005</v>
      </c>
      <c r="BM25" s="16">
        <f>IF(ISNA(VLOOKUP(A25,'Données projet'!$A$87:$I$107,5,0)),0%,VLOOKUP(A25,'Données projet'!$A$87:$I$107,5,0)*VLOOKUP('Données projet'!$B$11,Paramètres!$A$1:$I$89,7,0))</f>
        <v>0.1125</v>
      </c>
      <c r="BN25" s="16">
        <f>IF(ISNA(VLOOKUP(A25,'Données projet'!$A$87:$I$107,6,0)),0%,VLOOKUP(A25,'Données projet'!$A$87:$I$107,6,0)*VLOOKUP('Données projet'!$B$11,Paramètres!$A$1:$I$89,7,0))</f>
        <v>0.16650000000000001</v>
      </c>
      <c r="BO25" s="16">
        <f>IF(ISNA(VLOOKUP(A25,'Données projet'!$A$87:$I$107,7,0)),0%,VLOOKUP(A25,'Données projet'!$A$87:$I$107,7,0))</f>
        <v>0.38</v>
      </c>
      <c r="BP25" s="21">
        <f>EXP(-LN(2)/35)*BP24+(1-EXP(-LN(2)/35))/(LN(2)/35)*BL25*BM25*VLOOKUP('Données projet'!$B$11,Paramètres!$A$1:$I$89,3,0)*0.475*44/12</f>
        <v>4.6960521011827554</v>
      </c>
      <c r="BQ25" s="21">
        <f>EXP(-LN(2)/25)*BQ24+(1-EXP(-LN(2)/25))/(LN(2)/25)*Calculateur!BL25*Calculateur!BN25*VLOOKUP('Données projet'!$B$11,Paramètres!$A$1:$I$89,3,0)*0.475*44/12</f>
        <v>6.9227916929919147</v>
      </c>
      <c r="BR25" s="21">
        <f>EXP(-LN(2)/2)*BR24+(1-EXP(-LN(2)/2))/(LN(2)/2)*BL25*BO25*VLOOKUP('Données projet'!$B$11,Paramètres!$A$1:$I$89,3,0)*0.475*44/12</f>
        <v>13.538519148795281</v>
      </c>
      <c r="BS25" s="22">
        <f t="shared" si="9"/>
        <v>25.15736294296995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5.8974358974358978</v>
      </c>
      <c r="BY25" s="12">
        <f>IF('Données projet'!$A$114&gt;35,BY24+BX25-CG24,IF(A25&lt;'Données projet'!$A$114,$BV$205^A25,IF(A25='Données projet'!$A$114,'Données projet'!$B$114,BY24+BX25-CG24)))</f>
        <v>54.743589743589737</v>
      </c>
      <c r="BZ25" s="13">
        <f>BY25*VLOOKUP('Données projet'!$B$12,Paramètres!$A$1:$I$89,3,0)*VLOOKUP('Données projet'!$B$12,Paramètres!$A$1:$I$89,5,0)</f>
        <v>47.824000000000005</v>
      </c>
      <c r="CA25" s="13">
        <f t="shared" si="39"/>
        <v>14.050351204888287</v>
      </c>
      <c r="CB25" s="20">
        <f t="shared" si="10"/>
        <v>107.76449501518044</v>
      </c>
      <c r="CC25" s="59">
        <f t="shared" si="11"/>
        <v>328.94540891864881</v>
      </c>
      <c r="CD25" s="59">
        <f ca="1">AVERAGE(OFFSET($CC$3,0,0,'Données projet'!$E$12+1,1))-AVERAGE(OFFSET($H$3,0,0,'Données projet'!$E$12+1,1))</f>
        <v>251.30277097589737</v>
      </c>
      <c r="CE25" s="59">
        <f t="shared" si="40"/>
        <v>224.11983819941796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5.1423507560832169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5.1423507560832169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</v>
      </c>
      <c r="CT25" s="12">
        <f>IF('Données projet'!$A$140&gt;35,CT24+CS25-DB24,IF(A25&lt;'Données projet'!$A$140,$CQ$205^A25,IF(A25='Données projet'!$A$140,'Données projet'!$B$140,CT24+CS25-DB24)))</f>
        <v>56</v>
      </c>
      <c r="CU25" s="17">
        <f>CT25*VLOOKUP('Données projet'!$B$13,Paramètres!$A$1:$I$89,3,0)*VLOOKUP('Données projet'!$B$13,Paramètres!$A$1:$I$89,5,0)</f>
        <v>48.921600000000005</v>
      </c>
      <c r="CV25" s="13">
        <f t="shared" si="41"/>
        <v>14.334905731333867</v>
      </c>
      <c r="CW25" s="20">
        <f t="shared" si="13"/>
        <v>110.17174748207316</v>
      </c>
      <c r="CX25" s="59">
        <f t="shared" si="14"/>
        <v>331.35266138554152</v>
      </c>
      <c r="CY25" s="59">
        <f ca="1">AVERAGE(OFFSET($CX$3,0,0,'Données projet'!$E$13+1,1))-AVERAGE(OFFSET($H$3,0,0,'Données projet'!$E$13+1,1))</f>
        <v>287.28439432670405</v>
      </c>
      <c r="CZ25" s="59">
        <f t="shared" si="42"/>
        <v>276.01618888357268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2.5322066848474671</v>
      </c>
      <c r="DH25" s="21">
        <f>EXP(-LN(2)/2)*DH24+(1-EXP(-LN(2)/2))/(LN(2)/2)*DB25*DE25*VLOOKUP('Données projet'!$B$13,Paramètres!$A$1:$I$89,3,0)*0.475*44/12</f>
        <v>2.163695920573077</v>
      </c>
      <c r="DI25" s="22">
        <f t="shared" si="15"/>
        <v>4.6959026054205442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1.153846153846154</v>
      </c>
      <c r="DO25" s="12">
        <f>IF('Données projet'!$A$166&gt;35,DO24+DN25-DW24,IF(A25&lt;'Données projet'!$A$166,$DL$205^A25,IF(A25='Données projet'!$A$166,'Données projet'!$B$166,DO24+DN25-DW24)))</f>
        <v>19.269807028518027</v>
      </c>
      <c r="DP25" s="17">
        <f>DO25*VLOOKUP('Données projet'!$B$14,Paramètres!$A$1:$I$89,3,0)*VLOOKUP('Données projet'!$B$14,Paramètres!$A$1:$I$89,5,0)</f>
        <v>18.637757357982636</v>
      </c>
      <c r="DQ25" s="13">
        <f t="shared" si="43"/>
        <v>6.1104317414313183</v>
      </c>
      <c r="DR25" s="20">
        <f t="shared" si="16"/>
        <v>43.103096014812643</v>
      </c>
      <c r="DS25" s="59">
        <f t="shared" si="17"/>
        <v>264.28400991828101</v>
      </c>
      <c r="DT25" s="59">
        <f ca="1">AVERAGE(OFFSET($DS$3,0,0,'Données projet'!$E$14+1,1))-AVERAGE(OFFSET($H$3,0,0,'Données projet'!$E$14+1,1))</f>
        <v>206.5245935130306</v>
      </c>
      <c r="DU25" s="59">
        <f t="shared" si="44"/>
        <v>130.57011290898546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7.7715686274509812</v>
      </c>
      <c r="EJ25" s="12">
        <f>IF('Données projet'!$A$192&gt;35,EJ24+EI25-ER24,IF(A25&lt;'Données projet'!$A$192,$EG$205^A25,IF(A25='Données projet'!$A$192,'Données projet'!$B$192,EJ24+EI25-ER24)))</f>
        <v>170.97450980392159</v>
      </c>
      <c r="EK25" s="17">
        <f>EJ25*VLOOKUP('Données projet'!$B$15,Paramètres!$A$1:$I$89,3,0)*VLOOKUP('Données projet'!$B$15,Paramètres!$A$1:$I$89,5,0)</f>
        <v>80.016070588235308</v>
      </c>
      <c r="EL25" s="13">
        <f t="shared" si="45"/>
        <v>22.14111342509517</v>
      </c>
      <c r="EM25" s="20">
        <f t="shared" si="19"/>
        <v>177.92376215655057</v>
      </c>
      <c r="EN25" s="59">
        <f t="shared" si="20"/>
        <v>399.10467606001896</v>
      </c>
      <c r="EO25" s="59">
        <f ca="1">AVERAGE(OFFSET($EN$3,0,0,'Données projet'!$E$15+1,1))-AVERAGE(OFFSET($H$3,0,0,'Données projet'!$E$15+1,1))</f>
        <v>374.38106339726073</v>
      </c>
      <c r="EP25" s="59">
        <f t="shared" si="46"/>
        <v>296.53283288925957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9">
        <f t="shared" si="0"/>
        <v>412.64507232834274</v>
      </c>
      <c r="S26" s="59">
        <f ca="1">AVERAGE(OFFSET($R$3,0,0,'Données projet'!$E$9+1,1))-AVERAGE(OFFSET($H$3,0,0,'Données projet'!$E$9+1,1))</f>
        <v>681.47578137804555</v>
      </c>
      <c r="T26" s="59">
        <f t="shared" si="34"/>
        <v>300.88511065995885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2.8</v>
      </c>
      <c r="AI26" s="13">
        <f>IF('Données projet'!$A$62&gt;35,AI25+AH26-AQ25,IF(A26&lt;'Données projet'!$A$62,$AF$205^A26,IF(A26='Données projet'!$A$62,'Données projet'!$B$62,AI25+AH26-AQ25)))</f>
        <v>49.82992078990118</v>
      </c>
      <c r="AJ26" s="13">
        <f>AI26*VLOOKUP('Données projet'!$B$10,Paramètres!$A$1:$I$89,3,0)*VLOOKUP('Données projet'!$B$10,Paramètres!$A$1:$I$89,5,0)</f>
        <v>47.418152623669961</v>
      </c>
      <c r="AK26" s="13">
        <f t="shared" si="35"/>
        <v>13.944942893061231</v>
      </c>
      <c r="AL26" s="20">
        <f t="shared" si="4"/>
        <v>106.87405802497348</v>
      </c>
      <c r="AM26" s="59">
        <f t="shared" si="5"/>
        <v>330.35925473451999</v>
      </c>
      <c r="AN26" s="59">
        <f ca="1">AVERAGE(OFFSET($AM$3,0,0,'Données projet'!$E$10+1,1))-AVERAGE(OFFSET($H$3,0,0,'Données projet'!$E$10+1,1))</f>
        <v>423.80243030843661</v>
      </c>
      <c r="AO26" s="59">
        <f t="shared" si="36"/>
        <v>260.29028006191834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15.782</v>
      </c>
      <c r="BD26" s="12">
        <f>IF('Données projet'!$A$88&gt;35,BD25+BC26-BL25,IF(A26&lt;'Données projet'!$A$88,$BA$205^A26,IF(A26='Données projet'!$A$88,'Données projet'!$B$88,BD25+BC26-BL25)))</f>
        <v>92.722000000000008</v>
      </c>
      <c r="BE26" s="13">
        <f>BD26*VLOOKUP('Données projet'!$B$11,Paramètres!$A$1:$I$89,3,0)*VLOOKUP('Données projet'!$B$11,Paramètres!$A$1:$I$89,5,0)</f>
        <v>55.447756000000005</v>
      </c>
      <c r="BF26" s="13">
        <f t="shared" si="37"/>
        <v>16.012087139856263</v>
      </c>
      <c r="BG26" s="20">
        <f t="shared" si="7"/>
        <v>124.45922680191636</v>
      </c>
      <c r="BH26" s="59">
        <f t="shared" si="8"/>
        <v>347.94442351146284</v>
      </c>
      <c r="BI26" s="59">
        <f ca="1">AVERAGE(OFFSET($BH$3,0,0,'Données projet'!$E$11+1,1))-AVERAGE(OFFSET($H$3,0,0,'Données projet'!$E$11+1,1))</f>
        <v>373.61861223558259</v>
      </c>
      <c r="BJ26" s="59">
        <f t="shared" si="38"/>
        <v>277.62293009761049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4.6039653837875161</v>
      </c>
      <c r="BQ26" s="21">
        <f>EXP(-LN(2)/25)*BQ25+(1-EXP(-LN(2)/25))/(LN(2)/25)*Calculateur!BL26*Calculateur!BN26*VLOOKUP('Données projet'!$B$11,Paramètres!$A$1:$I$89,3,0)*0.475*44/12</f>
        <v>6.733487590093258</v>
      </c>
      <c r="BR26" s="21">
        <f>EXP(-LN(2)/2)*BR25+(1-EXP(-LN(2)/2))/(LN(2)/2)*BL26*BO26*VLOOKUP('Données projet'!$B$11,Paramètres!$A$1:$I$89,3,0)*0.475*44/12</f>
        <v>9.5731786973370685</v>
      </c>
      <c r="BS26" s="22">
        <f t="shared" si="9"/>
        <v>20.910631671217843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5.8974358974358978</v>
      </c>
      <c r="BY26" s="12">
        <f>IF('Données projet'!$A$114&gt;35,BY25+BX26-CG25,IF(A26&lt;'Données projet'!$A$114,$BV$205^A26,IF(A26='Données projet'!$A$114,'Données projet'!$B$114,BY25+BX26-CG25)))</f>
        <v>60.641025641025635</v>
      </c>
      <c r="BZ26" s="13">
        <f>BY26*VLOOKUP('Données projet'!$B$12,Paramètres!$A$1:$I$89,3,0)*VLOOKUP('Données projet'!$B$12,Paramètres!$A$1:$I$89,5,0)</f>
        <v>52.975999999999999</v>
      </c>
      <c r="CA26" s="13">
        <f t="shared" si="39"/>
        <v>15.379719461541606</v>
      </c>
      <c r="CB26" s="20">
        <f t="shared" si="10"/>
        <v>119.05287806218496</v>
      </c>
      <c r="CC26" s="59">
        <f t="shared" si="11"/>
        <v>342.53807477173143</v>
      </c>
      <c r="CD26" s="59">
        <f ca="1">AVERAGE(OFFSET($CC$3,0,0,'Données projet'!$E$12+1,1))-AVERAGE(OFFSET($H$3,0,0,'Données projet'!$E$12+1,1))</f>
        <v>251.30277097589737</v>
      </c>
      <c r="CE26" s="59">
        <f t="shared" si="40"/>
        <v>224.11983819941796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5.0017329042336485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5.0017329042336485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</v>
      </c>
      <c r="CT26" s="12">
        <f>IF('Données projet'!$A$140&gt;35,CT25+CS26-DB25,IF(A26&lt;'Données projet'!$A$140,$CQ$205^A26,IF(A26='Données projet'!$A$140,'Données projet'!$B$140,CT25+CS26-DB25)))</f>
        <v>66</v>
      </c>
      <c r="CU26" s="17">
        <f>CT26*VLOOKUP('Données projet'!$B$13,Paramètres!$A$1:$I$89,3,0)*VLOOKUP('Données projet'!$B$13,Paramètres!$A$1:$I$89,5,0)</f>
        <v>57.657600000000002</v>
      </c>
      <c r="CV26" s="13">
        <f t="shared" si="41"/>
        <v>16.574671209026025</v>
      </c>
      <c r="CW26" s="20">
        <f t="shared" si="13"/>
        <v>129.28787235572034</v>
      </c>
      <c r="CX26" s="59">
        <f t="shared" si="14"/>
        <v>352.77306906526684</v>
      </c>
      <c r="CY26" s="59">
        <f ca="1">AVERAGE(OFFSET($CX$3,0,0,'Données projet'!$E$13+1,1))-AVERAGE(OFFSET($H$3,0,0,'Données projet'!$E$13+1,1))</f>
        <v>287.28439432670405</v>
      </c>
      <c r="CZ26" s="59">
        <f t="shared" si="42"/>
        <v>276.01618888357268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2.4629633598873508</v>
      </c>
      <c r="DH26" s="21">
        <f>EXP(-LN(2)/2)*DH25+(1-EXP(-LN(2)/2))/(LN(2)/2)*DB26*DE26*VLOOKUP('Données projet'!$B$13,Paramètres!$A$1:$I$89,3,0)*0.475*44/12</f>
        <v>1.5299640578628924</v>
      </c>
      <c r="DI26" s="22">
        <f t="shared" si="15"/>
        <v>3.9929274177502432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1.153846153846154</v>
      </c>
      <c r="DO26" s="12">
        <f>IF('Données projet'!$A$166&gt;35,DO25+DN26-DW25,IF(A26&lt;'Données projet'!$A$166,$DL$205^A26,IF(A26='Données projet'!$A$166,'Données projet'!$B$166,DO25+DN26-DW25)))</f>
        <v>22.043516778930577</v>
      </c>
      <c r="DP26" s="17">
        <f>DO26*VLOOKUP('Données projet'!$B$14,Paramètres!$A$1:$I$89,3,0)*VLOOKUP('Données projet'!$B$14,Paramètres!$A$1:$I$89,5,0)</f>
        <v>21.320489428581656</v>
      </c>
      <c r="DQ26" s="13">
        <f t="shared" si="43"/>
        <v>6.8814069907343525</v>
      </c>
      <c r="DR26" s="20">
        <f t="shared" si="16"/>
        <v>49.118302930308708</v>
      </c>
      <c r="DS26" s="59">
        <f t="shared" si="17"/>
        <v>272.60349963985522</v>
      </c>
      <c r="DT26" s="59">
        <f ca="1">AVERAGE(OFFSET($DS$3,0,0,'Données projet'!$E$14+1,1))-AVERAGE(OFFSET($H$3,0,0,'Données projet'!$E$14+1,1))</f>
        <v>206.5245935130306</v>
      </c>
      <c r="DU26" s="59">
        <f t="shared" si="44"/>
        <v>130.57011290898546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7.7715686274509812</v>
      </c>
      <c r="EJ26" s="12">
        <f>IF('Données projet'!$A$192&gt;35,EJ25+EI26-ER25,IF(A26&lt;'Données projet'!$A$192,$EG$205^A26,IF(A26='Données projet'!$A$192,'Données projet'!$B$192,EJ25+EI26-ER25)))</f>
        <v>178.74607843137258</v>
      </c>
      <c r="EK26" s="17">
        <f>EJ26*VLOOKUP('Données projet'!$B$15,Paramètres!$A$1:$I$89,3,0)*VLOOKUP('Données projet'!$B$15,Paramètres!$A$1:$I$89,5,0)</f>
        <v>83.653164705882375</v>
      </c>
      <c r="EL26" s="13">
        <f t="shared" si="45"/>
        <v>23.028067398749322</v>
      </c>
      <c r="EM26" s="20">
        <f t="shared" si="19"/>
        <v>185.80314591556689</v>
      </c>
      <c r="EN26" s="59">
        <f t="shared" si="20"/>
        <v>409.28834262511339</v>
      </c>
      <c r="EO26" s="59">
        <f ca="1">AVERAGE(OFFSET($EN$3,0,0,'Données projet'!$E$15+1,1))-AVERAGE(OFFSET($H$3,0,0,'Données projet'!$E$15+1,1))</f>
        <v>374.38106339726073</v>
      </c>
      <c r="EP26" s="59">
        <f t="shared" si="46"/>
        <v>296.53283288925957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9">
        <f t="shared" si="0"/>
        <v>422.94472797765172</v>
      </c>
      <c r="S27" s="59">
        <f ca="1">AVERAGE(OFFSET($R$3,0,0,'Données projet'!$E$9+1,1))-AVERAGE(OFFSET($H$3,0,0,'Données projet'!$E$9+1,1))</f>
        <v>681.47578137804555</v>
      </c>
      <c r="T27" s="59">
        <f t="shared" si="34"/>
        <v>300.88511065995885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2.8</v>
      </c>
      <c r="AI27" s="13">
        <f>IF('Données projet'!$A$62&gt;35,AI26+AH27-AQ26,IF(A27&lt;'Données projet'!$A$62,$AF$205^A27,IF(A27='Données projet'!$A$62,'Données projet'!$B$62,AI26+AH27-AQ26)))</f>
        <v>59.060091900479499</v>
      </c>
      <c r="AJ27" s="13">
        <f>AI27*VLOOKUP('Données projet'!$B$10,Paramètres!$A$1:$I$89,3,0)*VLOOKUP('Données projet'!$B$10,Paramètres!$A$1:$I$89,5,0)</f>
        <v>56.201583452496287</v>
      </c>
      <c r="AK27" s="13">
        <f t="shared" si="35"/>
        <v>16.204285458829325</v>
      </c>
      <c r="AL27" s="20">
        <f t="shared" si="4"/>
        <v>126.10688835389209</v>
      </c>
      <c r="AM27" s="59">
        <f t="shared" si="5"/>
        <v>351.87759653751186</v>
      </c>
      <c r="AN27" s="59">
        <f ca="1">AVERAGE(OFFSET($AM$3,0,0,'Données projet'!$E$10+1,1))-AVERAGE(OFFSET($H$3,0,0,'Données projet'!$E$10+1,1))</f>
        <v>423.80243030843661</v>
      </c>
      <c r="AO27" s="59">
        <f t="shared" si="36"/>
        <v>260.29028006191834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15.782</v>
      </c>
      <c r="BD27" s="12">
        <f>IF('Données projet'!$A$88&gt;35,BD26+BC27-BL26,IF(A27&lt;'Données projet'!$A$88,$BA$205^A27,IF(A27='Données projet'!$A$88,'Données projet'!$B$88,BD26+BC27-BL26)))</f>
        <v>108.504</v>
      </c>
      <c r="BE27" s="13">
        <f>BD27*VLOOKUP('Données projet'!$B$11,Paramètres!$A$1:$I$89,3,0)*VLOOKUP('Données projet'!$B$11,Paramètres!$A$1:$I$89,5,0)</f>
        <v>64.88539200000001</v>
      </c>
      <c r="BF27" s="13">
        <f t="shared" si="37"/>
        <v>18.397766162676771</v>
      </c>
      <c r="BG27" s="20">
        <f t="shared" si="7"/>
        <v>145.05150046666205</v>
      </c>
      <c r="BH27" s="59">
        <f t="shared" si="8"/>
        <v>370.82220865028182</v>
      </c>
      <c r="BI27" s="59">
        <f ca="1">AVERAGE(OFFSET($BH$3,0,0,'Données projet'!$E$11+1,1))-AVERAGE(OFFSET($H$3,0,0,'Données projet'!$E$11+1,1))</f>
        <v>373.61861223558259</v>
      </c>
      <c r="BJ27" s="59">
        <f t="shared" si="38"/>
        <v>277.62293009761049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4.5136844307530462</v>
      </c>
      <c r="BQ27" s="21">
        <f>EXP(-LN(2)/25)*BQ26+(1-EXP(-LN(2)/25))/(LN(2)/25)*Calculateur!BL27*Calculateur!BN27*VLOOKUP('Données projet'!$B$11,Paramètres!$A$1:$I$89,3,0)*0.475*44/12</f>
        <v>6.5493600178434352</v>
      </c>
      <c r="BR27" s="21">
        <f>EXP(-LN(2)/2)*BR26+(1-EXP(-LN(2)/2))/(LN(2)/2)*BL27*BO27*VLOOKUP('Données projet'!$B$11,Paramètres!$A$1:$I$89,3,0)*0.475*44/12</f>
        <v>6.7692595743976414</v>
      </c>
      <c r="BS27" s="22">
        <f t="shared" si="9"/>
        <v>17.832304022994123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5.8974358974358978</v>
      </c>
      <c r="BY27" s="12">
        <f>IF('Données projet'!$A$114&gt;35,BY26+BX27-CG26,IF(A27&lt;'Données projet'!$A$114,$BV$205^A27,IF(A27='Données projet'!$A$114,'Données projet'!$B$114,BY26+BX27-CG26)))</f>
        <v>66.538461538461533</v>
      </c>
      <c r="BZ27" s="13">
        <f>BY27*VLOOKUP('Données projet'!$B$12,Paramètres!$A$1:$I$89,3,0)*VLOOKUP('Données projet'!$B$12,Paramètres!$A$1:$I$89,5,0)</f>
        <v>58.128000000000007</v>
      </c>
      <c r="CA27" s="13">
        <f t="shared" si="39"/>
        <v>16.694099094284901</v>
      </c>
      <c r="CB27" s="20">
        <f t="shared" si="10"/>
        <v>130.31515592254621</v>
      </c>
      <c r="CC27" s="59">
        <f t="shared" si="11"/>
        <v>356.08586410616601</v>
      </c>
      <c r="CD27" s="59">
        <f ca="1">AVERAGE(OFFSET($CC$3,0,0,'Données projet'!$E$12+1,1))-AVERAGE(OFFSET($H$3,0,0,'Données projet'!$E$12+1,1))</f>
        <v>251.30277097589737</v>
      </c>
      <c r="CE27" s="59">
        <f t="shared" si="40"/>
        <v>224.11983819941796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4.8649602549376771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4.8649602549376771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</v>
      </c>
      <c r="CT27" s="12">
        <f>IF('Données projet'!$A$140&gt;35,CT26+CS27-DB26,IF(A27&lt;'Données projet'!$A$140,$CQ$205^A27,IF(A27='Données projet'!$A$140,'Données projet'!$B$140,CT26+CS27-DB26)))</f>
        <v>76</v>
      </c>
      <c r="CU27" s="17">
        <f>CT27*VLOOKUP('Données projet'!$B$13,Paramètres!$A$1:$I$89,3,0)*VLOOKUP('Données projet'!$B$13,Paramètres!$A$1:$I$89,5,0)</f>
        <v>66.393600000000006</v>
      </c>
      <c r="CV27" s="13">
        <f t="shared" si="41"/>
        <v>18.775122997078544</v>
      </c>
      <c r="CW27" s="20">
        <f t="shared" si="13"/>
        <v>148.33552588657844</v>
      </c>
      <c r="CX27" s="59">
        <f t="shared" si="14"/>
        <v>374.10623407019824</v>
      </c>
      <c r="CY27" s="59">
        <f ca="1">AVERAGE(OFFSET($CX$3,0,0,'Données projet'!$E$13+1,1))-AVERAGE(OFFSET($H$3,0,0,'Données projet'!$E$13+1,1))</f>
        <v>287.28439432670405</v>
      </c>
      <c r="CZ27" s="59">
        <f t="shared" si="42"/>
        <v>276.01618888357268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2.3956134972896175</v>
      </c>
      <c r="DH27" s="21">
        <f>EXP(-LN(2)/2)*DH26+(1-EXP(-LN(2)/2))/(LN(2)/2)*DB27*DE27*VLOOKUP('Données projet'!$B$13,Paramètres!$A$1:$I$89,3,0)*0.475*44/12</f>
        <v>1.0818479602865387</v>
      </c>
      <c r="DI27" s="22">
        <f t="shared" si="15"/>
        <v>3.4774614575761564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1.153846153846154</v>
      </c>
      <c r="DO27" s="12">
        <f>IF('Données projet'!$A$166&gt;35,DO26+DN27-DW26,IF(A27&lt;'Données projet'!$A$166,$DL$205^A27,IF(A27='Données projet'!$A$166,'Données projet'!$B$166,DO26+DN27-DW26)))</f>
        <v>25.216476286652476</v>
      </c>
      <c r="DP27" s="17">
        <f>DO27*VLOOKUP('Données projet'!$B$14,Paramètres!$A$1:$I$89,3,0)*VLOOKUP('Données projet'!$B$14,Paramètres!$A$1:$I$89,5,0)</f>
        <v>24.389375864450276</v>
      </c>
      <c r="DQ27" s="13">
        <f t="shared" si="43"/>
        <v>7.7496589727120329</v>
      </c>
      <c r="DR27" s="20">
        <f t="shared" si="16"/>
        <v>55.975485674724347</v>
      </c>
      <c r="DS27" s="59">
        <f t="shared" si="17"/>
        <v>281.74619385834416</v>
      </c>
      <c r="DT27" s="59">
        <f ca="1">AVERAGE(OFFSET($DS$3,0,0,'Données projet'!$E$14+1,1))-AVERAGE(OFFSET($H$3,0,0,'Données projet'!$E$14+1,1))</f>
        <v>206.5245935130306</v>
      </c>
      <c r="DU27" s="59">
        <f t="shared" si="44"/>
        <v>130.57011290898546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7.7715686274509812</v>
      </c>
      <c r="EJ27" s="12">
        <f>IF('Données projet'!$A$192&gt;35,EJ26+EI27-ER26,IF(A27&lt;'Données projet'!$A$192,$EG$205^A27,IF(A27='Données projet'!$A$192,'Données projet'!$B$192,EJ26+EI27-ER26)))</f>
        <v>186.51764705882357</v>
      </c>
      <c r="EK27" s="17">
        <f>EJ27*VLOOKUP('Données projet'!$B$15,Paramètres!$A$1:$I$89,3,0)*VLOOKUP('Données projet'!$B$15,Paramètres!$A$1:$I$89,5,0)</f>
        <v>87.290258823529442</v>
      </c>
      <c r="EL27" s="13">
        <f t="shared" si="45"/>
        <v>23.910542463246056</v>
      </c>
      <c r="EM27" s="20">
        <f t="shared" si="19"/>
        <v>193.67472890780064</v>
      </c>
      <c r="EN27" s="59">
        <f t="shared" si="20"/>
        <v>419.44543709142044</v>
      </c>
      <c r="EO27" s="59">
        <f ca="1">AVERAGE(OFFSET($EN$3,0,0,'Données projet'!$E$15+1,1))-AVERAGE(OFFSET($H$3,0,0,'Données projet'!$E$15+1,1))</f>
        <v>374.38106339726073</v>
      </c>
      <c r="EP27" s="59">
        <f t="shared" si="46"/>
        <v>296.53283288925957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9">
        <f t="shared" si="0"/>
        <v>433.21837767121258</v>
      </c>
      <c r="S28" s="59">
        <f ca="1">AVERAGE(OFFSET($R$3,0,0,'Données projet'!$E$9+1,1))-AVERAGE(OFFSET($H$3,0,0,'Données projet'!$E$9+1,1))</f>
        <v>681.47578137804555</v>
      </c>
      <c r="T28" s="59">
        <f t="shared" si="34"/>
        <v>300.88511065995885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2.8</v>
      </c>
      <c r="AH28" s="12">
        <f t="array" ref="AH28">INDEX(AG:AG,MIN(IF(ISNUMBER(AG28:AG224),ROW(AG28:AG224),"")))</f>
        <v>2.8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66.611999999999995</v>
      </c>
      <c r="AK28" s="13">
        <f t="shared" si="35"/>
        <v>18.829683939536395</v>
      </c>
      <c r="AL28" s="20">
        <f t="shared" si="4"/>
        <v>148.81093286135922</v>
      </c>
      <c r="AM28" s="59">
        <f t="shared" si="5"/>
        <v>376.84870682769133</v>
      </c>
      <c r="AN28" s="59">
        <f ca="1">AVERAGE(OFFSET($AM$3,0,0,'Données projet'!$E$10+1,1))-AVERAGE(OFFSET($H$3,0,0,'Données projet'!$E$10+1,1))</f>
        <v>423.80243030843661</v>
      </c>
      <c r="AO28" s="59">
        <f t="shared" si="36"/>
        <v>260.29028006191834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0.1075</v>
      </c>
      <c r="AT28" s="16">
        <f>IF(ISNA(VLOOKUP(A28,'Données projet'!$A$61:$I$81,7,0)),0%,VLOOKUP(A28,'Données projet'!$A$61:$I$81,7,0))</f>
        <v>0.25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0.9011283163942182</v>
      </c>
      <c r="AW28" s="21">
        <f>EXP(-LN(2)/2)*AW27+(1-EXP(-LN(2)/2))/(LN(2)/2)*AQ28*AT28*VLOOKUP('Données projet'!$B$10,Paramètres!$A$1:$I$89,3,0)*0.475*44/12</f>
        <v>1.7957204238769748</v>
      </c>
      <c r="AX28" s="21">
        <f t="shared" si="6"/>
        <v>2.6968487402711929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15.782</v>
      </c>
      <c r="BD28" s="12">
        <f>IF('Données projet'!$A$88&gt;35,BD27+BC28-BL27,IF(A28&lt;'Données projet'!$A$88,$BA$205^A28,IF(A28='Données projet'!$A$88,'Données projet'!$B$88,BD27+BC28-BL27)))</f>
        <v>124.286</v>
      </c>
      <c r="BE28" s="13">
        <f>BD28*VLOOKUP('Données projet'!$B$11,Paramètres!$A$1:$I$89,3,0)*VLOOKUP('Données projet'!$B$11,Paramètres!$A$1:$I$89,5,0)</f>
        <v>74.323028000000008</v>
      </c>
      <c r="BF28" s="13">
        <f t="shared" si="37"/>
        <v>20.743244990540482</v>
      </c>
      <c r="BG28" s="20">
        <f t="shared" si="7"/>
        <v>165.57375879185801</v>
      </c>
      <c r="BH28" s="59">
        <f t="shared" si="8"/>
        <v>393.61153275819015</v>
      </c>
      <c r="BI28" s="59">
        <f ca="1">AVERAGE(OFFSET($BH$3,0,0,'Données projet'!$E$11+1,1))-AVERAGE(OFFSET($H$3,0,0,'Données projet'!$E$11+1,1))</f>
        <v>373.61861223558259</v>
      </c>
      <c r="BJ28" s="59">
        <f t="shared" si="38"/>
        <v>277.62293009761049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4.4251738321416383</v>
      </c>
      <c r="BQ28" s="21">
        <f>EXP(-LN(2)/25)*BQ27+(1-EXP(-LN(2)/25))/(LN(2)/25)*Calculateur!BL28*Calculateur!BN28*VLOOKUP('Données projet'!$B$11,Paramètres!$A$1:$I$89,3,0)*0.475*44/12</f>
        <v>6.370267423739632</v>
      </c>
      <c r="BR28" s="21">
        <f>EXP(-LN(2)/2)*BR27+(1-EXP(-LN(2)/2))/(LN(2)/2)*BL28*BO28*VLOOKUP('Données projet'!$B$11,Paramètres!$A$1:$I$89,3,0)*0.475*44/12</f>
        <v>4.7865893486685351</v>
      </c>
      <c r="BS28" s="22">
        <f t="shared" si="9"/>
        <v>15.582030604549805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72.435897435897431</v>
      </c>
      <c r="BW28" s="12">
        <f>VLOOKUP(A28,'Données projet'!$A$113:$I$133,9,0)</f>
        <v>5.8974358974358978</v>
      </c>
      <c r="BX28" s="12">
        <f t="array" ref="BX28">INDEX(BW:BW,MIN(IF(ISNUMBER(BW28:BW224),ROW(BW28:BW224),"")))</f>
        <v>5.8974358974358978</v>
      </c>
      <c r="BY28" s="12">
        <f>IF('Données projet'!$A$114&gt;35,BY27+BX28-CG27,IF(A28&lt;'Données projet'!$A$114,$BV$205^A28,IF(A28='Données projet'!$A$114,'Données projet'!$B$114,BY27+BX28-CG27)))</f>
        <v>72.435897435897431</v>
      </c>
      <c r="BZ28" s="13">
        <f>BY28*VLOOKUP('Données projet'!$B$12,Paramètres!$A$1:$I$89,3,0)*VLOOKUP('Données projet'!$B$12,Paramètres!$A$1:$I$89,5,0)</f>
        <v>63.28</v>
      </c>
      <c r="CA28" s="13">
        <f t="shared" si="39"/>
        <v>17.994969636661381</v>
      </c>
      <c r="CB28" s="20">
        <f t="shared" si="10"/>
        <v>141.55390545051856</v>
      </c>
      <c r="CC28" s="59">
        <f t="shared" si="11"/>
        <v>369.59167941685064</v>
      </c>
      <c r="CD28" s="59">
        <f ca="1">AVERAGE(OFFSET($CC$3,0,0,'Données projet'!$E$12+1,1))-AVERAGE(OFFSET($H$3,0,0,'Données projet'!$E$12+1,1))</f>
        <v>251.30277097589737</v>
      </c>
      <c r="CE28" s="59">
        <f t="shared" si="40"/>
        <v>224.11983819941796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14.743589743589743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0.215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7.781142855117352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7.781142855117352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86</v>
      </c>
      <c r="CR28" s="12">
        <f>VLOOKUP(A28,'Données projet'!$A$139:$I$159,9,0)</f>
        <v>10</v>
      </c>
      <c r="CS28" s="12">
        <f t="array" ref="CS28">INDEX(CR:CR,MIN(IF(ISNUMBER(CR28:CR224),ROW(CR28:CR224),"")))</f>
        <v>10</v>
      </c>
      <c r="CT28" s="12">
        <f>IF('Données projet'!$A$140&gt;35,CT27+CS28-DB27,IF(A28&lt;'Données projet'!$A$140,$CQ$205^A28,IF(A28='Données projet'!$A$140,'Données projet'!$B$140,CT27+CS28-DB27)))</f>
        <v>86</v>
      </c>
      <c r="CU28" s="17">
        <f>CT28*VLOOKUP('Données projet'!$B$13,Paramètres!$A$1:$I$89,3,0)*VLOOKUP('Données projet'!$B$13,Paramètres!$A$1:$I$89,5,0)</f>
        <v>75.129600000000011</v>
      </c>
      <c r="CV28" s="13">
        <f t="shared" si="41"/>
        <v>20.942027818647581</v>
      </c>
      <c r="CW28" s="20">
        <f t="shared" si="13"/>
        <v>167.32475178414452</v>
      </c>
      <c r="CX28" s="59">
        <f t="shared" si="14"/>
        <v>395.36252575047661</v>
      </c>
      <c r="CY28" s="59">
        <f ca="1">AVERAGE(OFFSET($CX$3,0,0,'Données projet'!$E$13+1,1))-AVERAGE(OFFSET($H$3,0,0,'Données projet'!$E$13+1,1))</f>
        <v>287.28439432670405</v>
      </c>
      <c r="CZ28" s="59">
        <f t="shared" si="42"/>
        <v>276.01618888357268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0.13250000000000001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5.0066934685402931</v>
      </c>
      <c r="DH28" s="21">
        <f>EXP(-LN(2)/2)*DH27+(1-EXP(-LN(2)/2))/(LN(2)/2)*DB28*DE28*VLOOKUP('Données projet'!$B$13,Paramètres!$A$1:$I$89,3,0)*0.475*44/12</f>
        <v>5.0923738700775996</v>
      </c>
      <c r="DI28" s="22">
        <f t="shared" si="15"/>
        <v>10.099067338617893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28.846153846153847</v>
      </c>
      <c r="DM28" s="12">
        <f>VLOOKUP(A28,'Données projet'!$A$165:$I$185,9,0)</f>
        <v>1.153846153846154</v>
      </c>
      <c r="DN28" s="12">
        <f t="array" ref="DN28">INDEX(DM:DM,MIN(IF(ISNUMBER(DM28:DM224),ROW(DM28:DM224),"")))</f>
        <v>1.153846153846154</v>
      </c>
      <c r="DO28" s="12">
        <f>IF('Données projet'!$A$166&gt;35,DO27+DN28-DW27,IF(A28&lt;'Données projet'!$A$166,$DL$205^A28,IF(A28='Données projet'!$A$166,'Données projet'!$B$166,DO27+DN28-DW27)))</f>
        <v>28.846153846153847</v>
      </c>
      <c r="DP28" s="17">
        <f>DO28*VLOOKUP('Données projet'!$B$14,Paramètres!$A$1:$I$89,3,0)*VLOOKUP('Données projet'!$B$14,Paramètres!$A$1:$I$89,5,0)</f>
        <v>27.9</v>
      </c>
      <c r="DQ28" s="13">
        <f t="shared" si="43"/>
        <v>8.7274614441787239</v>
      </c>
      <c r="DR28" s="20">
        <f t="shared" si="16"/>
        <v>63.792828681944599</v>
      </c>
      <c r="DS28" s="59">
        <f t="shared" si="17"/>
        <v>291.83060264827668</v>
      </c>
      <c r="DT28" s="59">
        <f ca="1">AVERAGE(OFFSET($DS$3,0,0,'Données projet'!$E$14+1,1))-AVERAGE(OFFSET($H$3,0,0,'Données projet'!$E$14+1,1))</f>
        <v>206.5245935130306</v>
      </c>
      <c r="DU28" s="59">
        <f t="shared" si="44"/>
        <v>130.57011290898546</v>
      </c>
      <c r="DV28" s="15">
        <f>IF(ISNA(VLOOKUP(A28,'Données projet'!$A$165:$I$185,3,0)),0,VLOOKUP(A28,'Données projet'!$A$165:$I$185,3,0))</f>
        <v>1</v>
      </c>
      <c r="DW28" s="15">
        <f>IF(ISNA(VLOOKUP(A28,'Données projet'!$A$165:$I$185,4,0)),0,VLOOKUP(A28,'Données projet'!$A$165:$I$185,4,0))</f>
        <v>5.7692307692307692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0.1075</v>
      </c>
      <c r="DZ28" s="16">
        <f>IF(ISNA(VLOOKUP(A28,'Données projet'!$A$165:$I$185,7,0)),0%,VLOOKUP(A28,'Données projet'!$A$165:$I$185,7,0))</f>
        <v>0.25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0.66050546520068021</v>
      </c>
      <c r="EC28" s="21">
        <f>EXP(-LN(2)/2)*EC27+(1-EXP(-LN(2)/2))/(LN(2)/2)*DW28*DZ28*VLOOKUP('Données projet'!$B$14,Paramètres!$A$1:$I$89,3,0)*0.475*44/12</f>
        <v>1.3162200458745164</v>
      </c>
      <c r="ED28" s="22">
        <f t="shared" si="18"/>
        <v>1.9767255110751965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7.7715686274509812</v>
      </c>
      <c r="EJ28" s="12">
        <f>IF('Données projet'!$A$192&gt;35,EJ27+EI28-ER27,IF(A28&lt;'Données projet'!$A$192,$EG$205^A28,IF(A28='Données projet'!$A$192,'Données projet'!$B$192,EJ27+EI28-ER27)))</f>
        <v>194.28921568627456</v>
      </c>
      <c r="EK28" s="17">
        <f>EJ28*VLOOKUP('Données projet'!$B$15,Paramètres!$A$1:$I$89,3,0)*VLOOKUP('Données projet'!$B$15,Paramètres!$A$1:$I$89,5,0)</f>
        <v>90.92735294117648</v>
      </c>
      <c r="EL28" s="13">
        <f t="shared" si="45"/>
        <v>24.788746580819698</v>
      </c>
      <c r="EM28" s="20">
        <f t="shared" si="19"/>
        <v>201.53887333414332</v>
      </c>
      <c r="EN28" s="59">
        <f t="shared" si="20"/>
        <v>429.57664730047543</v>
      </c>
      <c r="EO28" s="59">
        <f ca="1">AVERAGE(OFFSET($EN$3,0,0,'Données projet'!$E$15+1,1))-AVERAGE(OFFSET($H$3,0,0,'Données projet'!$E$15+1,1))</f>
        <v>374.38106339726073</v>
      </c>
      <c r="EP28" s="59">
        <f t="shared" si="46"/>
        <v>296.53283288925957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9">
        <f t="shared" si="0"/>
        <v>443.46667841009798</v>
      </c>
      <c r="S29" s="59">
        <f ca="1">AVERAGE(OFFSET($R$3,0,0,'Données projet'!$E$9+1,1))-AVERAGE(OFFSET($H$3,0,0,'Données projet'!$E$9+1,1))</f>
        <v>681.47578137804555</v>
      </c>
      <c r="T29" s="59">
        <f t="shared" si="34"/>
        <v>300.88511065995885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65.660399999999996</v>
      </c>
      <c r="AK29" s="13">
        <f t="shared" si="35"/>
        <v>18.591800852927584</v>
      </c>
      <c r="AL29" s="20">
        <f t="shared" si="4"/>
        <v>146.73924981884886</v>
      </c>
      <c r="AM29" s="59">
        <f t="shared" si="5"/>
        <v>377.02596386803907</v>
      </c>
      <c r="AN29" s="59">
        <f ca="1">AVERAGE(OFFSET($AM$3,0,0,'Données projet'!$E$10+1,1))-AVERAGE(OFFSET($H$3,0,0,'Données projet'!$E$10+1,1))</f>
        <v>423.80243030843661</v>
      </c>
      <c r="AO29" s="59">
        <f t="shared" si="36"/>
        <v>260.29028006191834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0.87648691519413968</v>
      </c>
      <c r="AW29" s="21">
        <f>EXP(-LN(2)/2)*AW28+(1-EXP(-LN(2)/2))/(LN(2)/2)*AQ29*AT29*VLOOKUP('Données projet'!$B$10,Paramètres!$A$1:$I$89,3,0)*0.475*44/12</f>
        <v>1.2697660888385904</v>
      </c>
      <c r="AX29" s="21">
        <f t="shared" si="6"/>
        <v>2.1462530040327303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15.782</v>
      </c>
      <c r="BD29" s="12">
        <f>IF('Données projet'!$A$88&gt;35,BD28+BC29-BL28,IF(A29&lt;'Données projet'!$A$88,$BA$205^A29,IF(A29='Données projet'!$A$88,'Données projet'!$B$88,BD28+BC29-BL28)))</f>
        <v>140.06800000000001</v>
      </c>
      <c r="BE29" s="13">
        <f>BD29*VLOOKUP('Données projet'!$B$11,Paramètres!$A$1:$I$89,3,0)*VLOOKUP('Données projet'!$B$11,Paramètres!$A$1:$I$89,5,0)</f>
        <v>83.76066400000002</v>
      </c>
      <c r="BF29" s="13">
        <f t="shared" si="37"/>
        <v>23.054213321234659</v>
      </c>
      <c r="BG29" s="20">
        <f t="shared" si="7"/>
        <v>186.0359113344837</v>
      </c>
      <c r="BH29" s="59">
        <f t="shared" si="8"/>
        <v>416.32262538367388</v>
      </c>
      <c r="BI29" s="59">
        <f ca="1">AVERAGE(OFFSET($BH$3,0,0,'Données projet'!$E$11+1,1))-AVERAGE(OFFSET($H$3,0,0,'Données projet'!$E$11+1,1))</f>
        <v>373.61861223558259</v>
      </c>
      <c r="BJ29" s="59">
        <f t="shared" si="38"/>
        <v>277.62293009761049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4.3383988723828653</v>
      </c>
      <c r="BQ29" s="21">
        <f>EXP(-LN(2)/25)*BQ28+(1-EXP(-LN(2)/25))/(LN(2)/25)*Calculateur!BL29*Calculateur!BN29*VLOOKUP('Données projet'!$B$11,Paramètres!$A$1:$I$89,3,0)*0.475*44/12</f>
        <v>6.1960721260396676</v>
      </c>
      <c r="BR29" s="21">
        <f>EXP(-LN(2)/2)*BR28+(1-EXP(-LN(2)/2))/(LN(2)/2)*BL29*BO29*VLOOKUP('Données projet'!$B$11,Paramètres!$A$1:$I$89,3,0)*0.475*44/12</f>
        <v>3.3846297871988211</v>
      </c>
      <c r="BS29" s="22">
        <f t="shared" si="9"/>
        <v>13.919100785621353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5.7692307692307692</v>
      </c>
      <c r="BY29" s="12">
        <f>IF('Données projet'!$A$114&gt;35,BY28+BX29-CG28,IF(A29&lt;'Données projet'!$A$114,$BV$205^A29,IF(A29='Données projet'!$A$114,'Données projet'!$B$114,BY28+BX29-CG28)))</f>
        <v>63.46153846153846</v>
      </c>
      <c r="BZ29" s="13">
        <f>BY29*VLOOKUP('Données projet'!$B$12,Paramètres!$A$1:$I$89,3,0)*VLOOKUP('Données projet'!$B$12,Paramètres!$A$1:$I$89,5,0)</f>
        <v>55.440000000000005</v>
      </c>
      <c r="CA29" s="13">
        <f t="shared" si="39"/>
        <v>16.010108070503204</v>
      </c>
      <c r="CB29" s="20">
        <f t="shared" si="10"/>
        <v>124.4422715561264</v>
      </c>
      <c r="CC29" s="59">
        <f t="shared" si="11"/>
        <v>354.72898560531655</v>
      </c>
      <c r="CD29" s="59">
        <f ca="1">AVERAGE(OFFSET($CC$3,0,0,'Données projet'!$E$12+1,1))-AVERAGE(OFFSET($H$3,0,0,'Données projet'!$E$12+1,1))</f>
        <v>251.30277097589737</v>
      </c>
      <c r="CE29" s="59">
        <f t="shared" si="40"/>
        <v>224.11983819941796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7.5683670945516495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7.5683670945516495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74.8</v>
      </c>
      <c r="CU29" s="17">
        <f>CT29*VLOOKUP('Données projet'!$B$13,Paramètres!$A$1:$I$89,3,0)*VLOOKUP('Données projet'!$B$13,Paramètres!$A$1:$I$89,5,0)</f>
        <v>65.345280000000017</v>
      </c>
      <c r="CV29" s="13">
        <f t="shared" si="41"/>
        <v>18.512938248561991</v>
      </c>
      <c r="CW29" s="20">
        <f t="shared" si="13"/>
        <v>146.05306344957884</v>
      </c>
      <c r="CX29" s="59">
        <f t="shared" si="14"/>
        <v>376.33977749876902</v>
      </c>
      <c r="CY29" s="59">
        <f ca="1">AVERAGE(OFFSET($CX$3,0,0,'Données projet'!$E$13+1,1))-AVERAGE(OFFSET($H$3,0,0,'Données projet'!$E$13+1,1))</f>
        <v>287.28439432670405</v>
      </c>
      <c r="CZ29" s="59">
        <f t="shared" si="42"/>
        <v>276.01618888357268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4.8697851723524925</v>
      </c>
      <c r="DH29" s="21">
        <f>EXP(-LN(2)/2)*DH28+(1-EXP(-LN(2)/2))/(LN(2)/2)*DB29*DE29*VLOOKUP('Données projet'!$B$13,Paramètres!$A$1:$I$89,3,0)*0.475*44/12</f>
        <v>3.6008520958690537</v>
      </c>
      <c r="DI29" s="22">
        <f t="shared" si="15"/>
        <v>8.4706372682215463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2.1794871794871802</v>
      </c>
      <c r="DO29" s="12">
        <f>IF('Données projet'!$A$166&gt;35,DO28+DN29-DW28,IF(A29&lt;'Données projet'!$A$166,$DL$205^A29,IF(A29='Données projet'!$A$166,'Données projet'!$B$166,DO28+DN29-DW28)))</f>
        <v>25.256410256410255</v>
      </c>
      <c r="DP29" s="17">
        <f>DO29*VLOOKUP('Données projet'!$B$14,Paramètres!$A$1:$I$89,3,0)*VLOOKUP('Données projet'!$B$14,Paramètres!$A$1:$I$89,5,0)</f>
        <v>24.428000000000001</v>
      </c>
      <c r="DQ29" s="13">
        <f t="shared" si="43"/>
        <v>7.7605021454974521</v>
      </c>
      <c r="DR29" s="20">
        <f t="shared" si="16"/>
        <v>56.061641236741394</v>
      </c>
      <c r="DS29" s="59">
        <f t="shared" si="17"/>
        <v>286.34835528593158</v>
      </c>
      <c r="DT29" s="59">
        <f ca="1">AVERAGE(OFFSET($DS$3,0,0,'Données projet'!$E$14+1,1))-AVERAGE(OFFSET($H$3,0,0,'Données projet'!$E$14+1,1))</f>
        <v>206.5245935130306</v>
      </c>
      <c r="DU29" s="59">
        <f t="shared" si="44"/>
        <v>130.57011290898546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0.64244390852029476</v>
      </c>
      <c r="EC29" s="21">
        <f>EXP(-LN(2)/2)*EC28+(1-EXP(-LN(2)/2))/(LN(2)/2)*DW29*DZ29*VLOOKUP('Données projet'!$B$14,Paramètres!$A$1:$I$89,3,0)*0.475*44/12</f>
        <v>0.93070811997153924</v>
      </c>
      <c r="ED29" s="22">
        <f t="shared" si="18"/>
        <v>1.5731520284918341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7.7715686274509812</v>
      </c>
      <c r="EJ29" s="12">
        <f>IF('Données projet'!$A$192&gt;35,EJ28+EI29-ER28,IF(A29&lt;'Données projet'!$A$192,$EG$205^A29,IF(A29='Données projet'!$A$192,'Données projet'!$B$192,EJ28+EI29-ER28)))</f>
        <v>202.06078431372555</v>
      </c>
      <c r="EK29" s="17">
        <f>EJ29*VLOOKUP('Données projet'!$B$15,Paramètres!$A$1:$I$89,3,0)*VLOOKUP('Données projet'!$B$15,Paramètres!$A$1:$I$89,5,0)</f>
        <v>94.564447058823546</v>
      </c>
      <c r="EL29" s="13">
        <f t="shared" si="45"/>
        <v>25.662870135019691</v>
      </c>
      <c r="EM29" s="20">
        <f t="shared" si="19"/>
        <v>209.39591077927696</v>
      </c>
      <c r="EN29" s="59">
        <f t="shared" si="20"/>
        <v>439.68262482846717</v>
      </c>
      <c r="EO29" s="59">
        <f ca="1">AVERAGE(OFFSET($EN$3,0,0,'Données projet'!$E$15+1,1))-AVERAGE(OFFSET($H$3,0,0,'Données projet'!$E$15+1,1))</f>
        <v>374.38106339726073</v>
      </c>
      <c r="EP29" s="59">
        <f t="shared" si="46"/>
        <v>296.53283288925957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9">
        <f t="shared" si="0"/>
        <v>453.69025425233235</v>
      </c>
      <c r="S30" s="59">
        <f ca="1">AVERAGE(OFFSET($R$3,0,0,'Données projet'!$E$9+1,1))-AVERAGE(OFFSET($H$3,0,0,'Données projet'!$E$9+1,1))</f>
        <v>681.47578137804555</v>
      </c>
      <c r="T30" s="59">
        <f t="shared" si="34"/>
        <v>300.88511065995885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72.321600000000004</v>
      </c>
      <c r="AK30" s="13">
        <f t="shared" si="35"/>
        <v>20.248893319861061</v>
      </c>
      <c r="AL30" s="20">
        <f t="shared" si="4"/>
        <v>161.22694253209136</v>
      </c>
      <c r="AM30" s="59">
        <f t="shared" si="5"/>
        <v>393.74478540465486</v>
      </c>
      <c r="AN30" s="59">
        <f ca="1">AVERAGE(OFFSET($AM$3,0,0,'Données projet'!$E$10+1,1))-AVERAGE(OFFSET($H$3,0,0,'Données projet'!$E$10+1,1))</f>
        <v>423.80243030843661</v>
      </c>
      <c r="AO30" s="59">
        <f t="shared" si="36"/>
        <v>260.29028006191834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0.85251933440571226</v>
      </c>
      <c r="AW30" s="21">
        <f>EXP(-LN(2)/2)*AW29+(1-EXP(-LN(2)/2))/(LN(2)/2)*AQ30*AT30*VLOOKUP('Données projet'!$B$10,Paramètres!$A$1:$I$89,3,0)*0.475*44/12</f>
        <v>0.89786021193848753</v>
      </c>
      <c r="AX30" s="21">
        <f t="shared" si="6"/>
        <v>1.7503795463441998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>
        <f>VLOOKUP(A30,'Données projet'!$A$87:$I$107,2,0)</f>
        <v>155.85</v>
      </c>
      <c r="BB30" s="12">
        <f>VLOOKUP(A30,'Données projet'!$A$87:$I$107,9,0)</f>
        <v>15.782</v>
      </c>
      <c r="BC30" s="12">
        <f t="array" ref="BC30">INDEX(BB:BB,MIN(IF(ISNUMBER(BB30:BB226),ROW(BB30:BB226),"")))</f>
        <v>15.782</v>
      </c>
      <c r="BD30" s="12">
        <f>IF('Données projet'!$A$88&gt;35,BD29+BC30-BL29,IF(A30&lt;'Données projet'!$A$88,$BA$205^A30,IF(A30='Données projet'!$A$88,'Données projet'!$B$88,BD29+BC30-BL29)))</f>
        <v>155.85000000000002</v>
      </c>
      <c r="BE30" s="13">
        <f>BD30*VLOOKUP('Données projet'!$B$11,Paramètres!$A$1:$I$89,3,0)*VLOOKUP('Données projet'!$B$11,Paramètres!$A$1:$I$89,5,0)</f>
        <v>93.198300000000032</v>
      </c>
      <c r="BF30" s="13">
        <f t="shared" si="37"/>
        <v>25.335003309876146</v>
      </c>
      <c r="BG30" s="20">
        <f t="shared" si="7"/>
        <v>206.44550326470099</v>
      </c>
      <c r="BH30" s="59">
        <f t="shared" si="8"/>
        <v>438.96334613726447</v>
      </c>
      <c r="BI30" s="59">
        <f ca="1">AVERAGE(OFFSET($BH$3,0,0,'Données projet'!$E$11+1,1))-AVERAGE(OFFSET($H$3,0,0,'Données projet'!$E$11+1,1))</f>
        <v>373.61861223558259</v>
      </c>
      <c r="BJ30" s="59">
        <f t="shared" si="38"/>
        <v>277.62293009761049</v>
      </c>
      <c r="BK30" s="15">
        <f>IF(ISNA(VLOOKUP(A30,'Données projet'!$A$87:$I$107,3,0)),0,VLOOKUP(A30,'Données projet'!$A$87:$I$107,3,0))</f>
        <v>2</v>
      </c>
      <c r="BL30" s="15">
        <f>IF(ISNA(VLOOKUP(A30,'Données projet'!$A$87:$I$107,4,0)),0,VLOOKUP(A30,'Données projet'!$A$87:$I$107,4,0))</f>
        <v>37.929999999999993</v>
      </c>
      <c r="BM30" s="16">
        <f>IF(ISNA(VLOOKUP(A30,'Données projet'!$A$87:$I$107,5,0)),0%,VLOOKUP(A30,'Données projet'!$A$87:$I$107,5,0)*VLOOKUP('Données projet'!$B$11,Paramètres!$A$1:$I$89,7,0))</f>
        <v>0.1125</v>
      </c>
      <c r="BN30" s="16">
        <f>IF(ISNA(VLOOKUP(A30,'Données projet'!$A$87:$I$107,6,0)),0%,VLOOKUP(A30,'Données projet'!$A$87:$I$107,6,0)*VLOOKUP('Données projet'!$B$11,Paramètres!$A$1:$I$89,7,0))</f>
        <v>0.16650000000000001</v>
      </c>
      <c r="BO30" s="16">
        <f>IF(ISNA(VLOOKUP(A30,'Données projet'!$A$87:$I$107,7,0)),0%,VLOOKUP(A30,'Données projet'!$A$87:$I$107,7,0))</f>
        <v>0.38</v>
      </c>
      <c r="BP30" s="21">
        <f>EXP(-LN(2)/35)*BP29+(1-EXP(-LN(2)/35))/(LN(2)/35)*BL30*BM30*VLOOKUP('Données projet'!$B$11,Paramètres!$A$1:$I$89,3,0)*0.475*44/12</f>
        <v>7.6383740951040968</v>
      </c>
      <c r="BQ30" s="21">
        <f>EXP(-LN(2)/25)*BQ29+(1-EXP(-LN(2)/25))/(LN(2)/25)*Calculateur!BL30*Calculateur!BN30*VLOOKUP('Données projet'!$B$11,Paramètres!$A$1:$I$89,3,0)*0.475*44/12</f>
        <v>11.016786329451062</v>
      </c>
      <c r="BR30" s="21">
        <f>EXP(-LN(2)/2)*BR29+(1-EXP(-LN(2)/2))/(LN(2)/2)*BL30*BO30*VLOOKUP('Données projet'!$B$11,Paramètres!$A$1:$I$89,3,0)*0.475*44/12</f>
        <v>12.152246238640709</v>
      </c>
      <c r="BS30" s="22">
        <f t="shared" si="9"/>
        <v>30.80740666319587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5.7692307692307692</v>
      </c>
      <c r="BY30" s="12">
        <f>IF('Données projet'!$A$114&gt;35,BY29+BX30-CG29,IF(A30&lt;'Données projet'!$A$114,$BV$205^A30,IF(A30='Données projet'!$A$114,'Données projet'!$B$114,BY29+BX30-CG29)))</f>
        <v>69.230769230769226</v>
      </c>
      <c r="BZ30" s="13">
        <f>BY30*VLOOKUP('Données projet'!$B$12,Paramètres!$A$1:$I$89,3,0)*VLOOKUP('Données projet'!$B$12,Paramètres!$A$1:$I$89,5,0)</f>
        <v>60.480000000000011</v>
      </c>
      <c r="CA30" s="13">
        <f t="shared" si="39"/>
        <v>17.289571735224513</v>
      </c>
      <c r="CB30" s="20">
        <f t="shared" si="10"/>
        <v>135.44867077218274</v>
      </c>
      <c r="CC30" s="59">
        <f t="shared" si="11"/>
        <v>367.96651364474621</v>
      </c>
      <c r="CD30" s="59">
        <f ca="1">AVERAGE(OFFSET($CC$3,0,0,'Données projet'!$E$12+1,1))-AVERAGE(OFFSET($H$3,0,0,'Données projet'!$E$12+1,1))</f>
        <v>251.30277097589737</v>
      </c>
      <c r="CE30" s="59">
        <f t="shared" si="40"/>
        <v>224.11983819941796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7.3614096983480071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7.3614096983480071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84.6</v>
      </c>
      <c r="CU30" s="17">
        <f>CT30*VLOOKUP('Données projet'!$B$13,Paramètres!$A$1:$I$89,3,0)*VLOOKUP('Données projet'!$B$13,Paramètres!$A$1:$I$89,5,0)</f>
        <v>73.906560000000013</v>
      </c>
      <c r="CV30" s="13">
        <f t="shared" si="41"/>
        <v>20.640506648584481</v>
      </c>
      <c r="CW30" s="20">
        <f t="shared" si="13"/>
        <v>164.6694744129513</v>
      </c>
      <c r="CX30" s="59">
        <f t="shared" si="14"/>
        <v>397.18731728551484</v>
      </c>
      <c r="CY30" s="59">
        <f ca="1">AVERAGE(OFFSET($CX$3,0,0,'Données projet'!$E$13+1,1))-AVERAGE(OFFSET($H$3,0,0,'Données projet'!$E$13+1,1))</f>
        <v>287.28439432670405</v>
      </c>
      <c r="CZ30" s="59">
        <f t="shared" si="42"/>
        <v>276.01618888357268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4.7366206407236415</v>
      </c>
      <c r="DH30" s="21">
        <f>EXP(-LN(2)/2)*DH29+(1-EXP(-LN(2)/2))/(LN(2)/2)*DB30*DE30*VLOOKUP('Données projet'!$B$13,Paramètres!$A$1:$I$89,3,0)*0.475*44/12</f>
        <v>2.5461869350388002</v>
      </c>
      <c r="DI30" s="22">
        <f t="shared" si="15"/>
        <v>7.2828075757624422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2.1794871794871802</v>
      </c>
      <c r="DO30" s="12">
        <f>IF('Données projet'!$A$166&gt;35,DO29+DN30-DW29,IF(A30&lt;'Données projet'!$A$166,$DL$205^A30,IF(A30='Données projet'!$A$166,'Données projet'!$B$166,DO29+DN30-DW29)))</f>
        <v>27.435897435897434</v>
      </c>
      <c r="DP30" s="17">
        <f>DO30*VLOOKUP('Données projet'!$B$14,Paramètres!$A$1:$I$89,3,0)*VLOOKUP('Données projet'!$B$14,Paramètres!$A$1:$I$89,5,0)</f>
        <v>26.536000000000001</v>
      </c>
      <c r="DQ30" s="13">
        <f t="shared" si="43"/>
        <v>8.3493578668609789</v>
      </c>
      <c r="DR30" s="20">
        <f t="shared" si="16"/>
        <v>60.758664951449532</v>
      </c>
      <c r="DS30" s="59">
        <f t="shared" si="17"/>
        <v>293.27650782401304</v>
      </c>
      <c r="DT30" s="59">
        <f ca="1">AVERAGE(OFFSET($DS$3,0,0,'Données projet'!$E$14+1,1))-AVERAGE(OFFSET($H$3,0,0,'Données projet'!$E$14+1,1))</f>
        <v>206.5245935130306</v>
      </c>
      <c r="DU30" s="59">
        <f t="shared" si="44"/>
        <v>130.57011290898546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0.62487624605715053</v>
      </c>
      <c r="EC30" s="21">
        <f>EXP(-LN(2)/2)*EC29+(1-EXP(-LN(2)/2))/(LN(2)/2)*DW30*DZ30*VLOOKUP('Données projet'!$B$14,Paramètres!$A$1:$I$89,3,0)*0.475*44/12</f>
        <v>0.65811002293725829</v>
      </c>
      <c r="ED30" s="22">
        <f t="shared" si="18"/>
        <v>1.2829862689944087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7.7715686274509812</v>
      </c>
      <c r="EJ30" s="12">
        <f>IF('Données projet'!$A$192&gt;35,EJ29+EI30-ER29,IF(A30&lt;'Données projet'!$A$192,$EG$205^A30,IF(A30='Données projet'!$A$192,'Données projet'!$B$192,EJ29+EI30-ER29)))</f>
        <v>209.83235294117654</v>
      </c>
      <c r="EK30" s="17">
        <f>EJ30*VLOOKUP('Données projet'!$B$15,Paramètres!$A$1:$I$89,3,0)*VLOOKUP('Données projet'!$B$15,Paramètres!$A$1:$I$89,5,0)</f>
        <v>98.201541176470613</v>
      </c>
      <c r="EL30" s="13">
        <f t="shared" si="45"/>
        <v>26.533088035148577</v>
      </c>
      <c r="EM30" s="20">
        <f t="shared" si="19"/>
        <v>217.2461458769034</v>
      </c>
      <c r="EN30" s="59">
        <f t="shared" si="20"/>
        <v>449.76398874946688</v>
      </c>
      <c r="EO30" s="59">
        <f ca="1">AVERAGE(OFFSET($EN$3,0,0,'Données projet'!$E$15+1,1))-AVERAGE(OFFSET($H$3,0,0,'Données projet'!$E$15+1,1))</f>
        <v>374.38106339726073</v>
      </c>
      <c r="EP30" s="59">
        <f t="shared" si="46"/>
        <v>296.53283288925957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9">
        <f t="shared" si="0"/>
        <v>463.88969956699088</v>
      </c>
      <c r="S31" s="59">
        <f ca="1">AVERAGE(OFFSET($R$3,0,0,'Données projet'!$E$9+1,1))-AVERAGE(OFFSET($H$3,0,0,'Données projet'!$E$9+1,1))</f>
        <v>681.47578137804555</v>
      </c>
      <c r="T31" s="59">
        <f t="shared" si="34"/>
        <v>300.88511065995885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78.982799999999997</v>
      </c>
      <c r="AK31" s="13">
        <f t="shared" si="35"/>
        <v>21.888288514633821</v>
      </c>
      <c r="AL31" s="20">
        <f t="shared" si="4"/>
        <v>175.68381249632054</v>
      </c>
      <c r="AM31" s="59">
        <f t="shared" si="5"/>
        <v>410.41528191830463</v>
      </c>
      <c r="AN31" s="59">
        <f ca="1">AVERAGE(OFFSET($AM$3,0,0,'Données projet'!$E$10+1,1))-AVERAGE(OFFSET($H$3,0,0,'Données projet'!$E$10+1,1))</f>
        <v>423.80243030843661</v>
      </c>
      <c r="AO31" s="59">
        <f t="shared" si="36"/>
        <v>260.29028006191834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0.82920714837434473</v>
      </c>
      <c r="AW31" s="21">
        <f>EXP(-LN(2)/2)*AW30+(1-EXP(-LN(2)/2))/(LN(2)/2)*AQ31*AT31*VLOOKUP('Données projet'!$B$10,Paramètres!$A$1:$I$89,3,0)*0.475*44/12</f>
        <v>0.63488304441929533</v>
      </c>
      <c r="AX31" s="21">
        <f t="shared" si="6"/>
        <v>1.4640901927936401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16.621666666666666</v>
      </c>
      <c r="BD31" s="12">
        <f>IF('Données projet'!$A$88&gt;35,BD30+BC31-BL30,IF(A31&lt;'Données projet'!$A$88,$BA$205^A31,IF(A31='Données projet'!$A$88,'Données projet'!$B$88,BD30+BC31-BL30)))</f>
        <v>134.54166666666669</v>
      </c>
      <c r="BE31" s="13">
        <f>BD31*VLOOKUP('Données projet'!$B$11,Paramètres!$A$1:$I$89,3,0)*VLOOKUP('Données projet'!$B$11,Paramètres!$A$1:$I$89,5,0)</f>
        <v>80.455916666666681</v>
      </c>
      <c r="BF31" s="13">
        <f t="shared" si="37"/>
        <v>22.248621228387805</v>
      </c>
      <c r="BG31" s="20">
        <f t="shared" si="7"/>
        <v>178.8770701672199</v>
      </c>
      <c r="BH31" s="59">
        <f t="shared" si="8"/>
        <v>413.60853958920399</v>
      </c>
      <c r="BI31" s="59">
        <f ca="1">AVERAGE(OFFSET($BH$3,0,0,'Données projet'!$E$11+1,1))-AVERAGE(OFFSET($H$3,0,0,'Données projet'!$E$11+1,1))</f>
        <v>373.61861223558259</v>
      </c>
      <c r="BJ31" s="59">
        <f t="shared" si="38"/>
        <v>277.62293009761049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7.4885902380472702</v>
      </c>
      <c r="BQ31" s="21">
        <f>EXP(-LN(2)/25)*BQ30+(1-EXP(-LN(2)/25))/(LN(2)/25)*Calculateur!BL31*Calculateur!BN31*VLOOKUP('Données projet'!$B$11,Paramètres!$A$1:$I$89,3,0)*0.475*44/12</f>
        <v>10.715531727924608</v>
      </c>
      <c r="BR31" s="21">
        <f>EXP(-LN(2)/2)*BR30+(1-EXP(-LN(2)/2))/(LN(2)/2)*BL31*BO31*VLOOKUP('Données projet'!$B$11,Paramètres!$A$1:$I$89,3,0)*0.475*44/12</f>
        <v>8.5929357219915623</v>
      </c>
      <c r="BS31" s="22">
        <f t="shared" si="9"/>
        <v>26.797057687963441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5.7692307692307692</v>
      </c>
      <c r="BY31" s="12">
        <f>IF('Données projet'!$A$114&gt;35,BY30+BX31-CG30,IF(A31&lt;'Données projet'!$A$114,$BV$205^A31,IF(A31='Données projet'!$A$114,'Données projet'!$B$114,BY30+BX31-CG30)))</f>
        <v>75</v>
      </c>
      <c r="BZ31" s="13">
        <f>BY31*VLOOKUP('Données projet'!$B$12,Paramètres!$A$1:$I$89,3,0)*VLOOKUP('Données projet'!$B$12,Paramètres!$A$1:$I$89,5,0)</f>
        <v>65.52000000000001</v>
      </c>
      <c r="CA31" s="13">
        <f t="shared" si="39"/>
        <v>18.556669503136725</v>
      </c>
      <c r="CB31" s="20">
        <f t="shared" si="10"/>
        <v>146.43353271796315</v>
      </c>
      <c r="CC31" s="59">
        <f t="shared" si="11"/>
        <v>381.16500213994721</v>
      </c>
      <c r="CD31" s="59">
        <f ca="1">AVERAGE(OFFSET($CC$3,0,0,'Données projet'!$E$12+1,1))-AVERAGE(OFFSET($H$3,0,0,'Données projet'!$E$12+1,1))</f>
        <v>251.30277097589737</v>
      </c>
      <c r="CE31" s="59">
        <f t="shared" si="40"/>
        <v>224.11983819941796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7.1601115630269696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7.1601115630269696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94.399999999999991</v>
      </c>
      <c r="CU31" s="17">
        <f>CT31*VLOOKUP('Données projet'!$B$13,Paramètres!$A$1:$I$89,3,0)*VLOOKUP('Données projet'!$B$13,Paramètres!$A$1:$I$89,5,0)</f>
        <v>82.467839999999995</v>
      </c>
      <c r="CV31" s="13">
        <f t="shared" si="41"/>
        <v>22.739512759227473</v>
      </c>
      <c r="CW31" s="20">
        <f t="shared" si="13"/>
        <v>183.23613938898782</v>
      </c>
      <c r="CX31" s="59">
        <f t="shared" si="14"/>
        <v>417.96760881097191</v>
      </c>
      <c r="CY31" s="59">
        <f ca="1">AVERAGE(OFFSET($CX$3,0,0,'Données projet'!$E$13+1,1))-AVERAGE(OFFSET($H$3,0,0,'Données projet'!$E$13+1,1))</f>
        <v>287.28439432670405</v>
      </c>
      <c r="CZ31" s="59">
        <f t="shared" si="42"/>
        <v>276.01618888357268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4.6070975002149996</v>
      </c>
      <c r="DH31" s="21">
        <f>EXP(-LN(2)/2)*DH30+(1-EXP(-LN(2)/2))/(LN(2)/2)*DB31*DE31*VLOOKUP('Données projet'!$B$13,Paramètres!$A$1:$I$89,3,0)*0.475*44/12</f>
        <v>1.8004260479345271</v>
      </c>
      <c r="DI31" s="22">
        <f t="shared" si="15"/>
        <v>6.407523548149527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2.1794871794871802</v>
      </c>
      <c r="DO31" s="12">
        <f>IF('Données projet'!$A$166&gt;35,DO30+DN31-DW30,IF(A31&lt;'Données projet'!$A$166,$DL$205^A31,IF(A31='Données projet'!$A$166,'Données projet'!$B$166,DO30+DN31-DW30)))</f>
        <v>29.615384615384613</v>
      </c>
      <c r="DP31" s="17">
        <f>DO31*VLOOKUP('Données projet'!$B$14,Paramètres!$A$1:$I$89,3,0)*VLOOKUP('Données projet'!$B$14,Paramètres!$A$1:$I$89,5,0)</f>
        <v>28.643999999999995</v>
      </c>
      <c r="DQ31" s="13">
        <f t="shared" si="43"/>
        <v>8.9327876754519622</v>
      </c>
      <c r="DR31" s="20">
        <f t="shared" si="16"/>
        <v>65.446238534745476</v>
      </c>
      <c r="DS31" s="59">
        <f t="shared" si="17"/>
        <v>300.17770795672959</v>
      </c>
      <c r="DT31" s="59">
        <f ca="1">AVERAGE(OFFSET($DS$3,0,0,'Données projet'!$E$14+1,1))-AVERAGE(OFFSET($H$3,0,0,'Données projet'!$E$14+1,1))</f>
        <v>206.5245935130306</v>
      </c>
      <c r="DU31" s="59">
        <f t="shared" si="44"/>
        <v>130.57011290898546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0.60778897224790418</v>
      </c>
      <c r="EC31" s="21">
        <f>EXP(-LN(2)/2)*EC30+(1-EXP(-LN(2)/2))/(LN(2)/2)*DW31*DZ31*VLOOKUP('Données projet'!$B$14,Paramètres!$A$1:$I$89,3,0)*0.475*44/12</f>
        <v>0.46535405998576967</v>
      </c>
      <c r="ED31" s="22">
        <f t="shared" si="18"/>
        <v>1.0731430322336739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7.7715686274509812</v>
      </c>
      <c r="EJ31" s="12">
        <f>IF('Données projet'!$A$192&gt;35,EJ30+EI31-ER30,IF(A31&lt;'Données projet'!$A$192,$EG$205^A31,IF(A31='Données projet'!$A$192,'Données projet'!$B$192,EJ30+EI31-ER30)))</f>
        <v>217.60392156862753</v>
      </c>
      <c r="EK31" s="17">
        <f>EJ31*VLOOKUP('Données projet'!$B$15,Paramètres!$A$1:$I$89,3,0)*VLOOKUP('Données projet'!$B$15,Paramètres!$A$1:$I$89,5,0)</f>
        <v>101.83863529411768</v>
      </c>
      <c r="EL31" s="13">
        <f t="shared" si="45"/>
        <v>27.39956150016679</v>
      </c>
      <c r="EM31" s="20">
        <f t="shared" si="19"/>
        <v>225.08985941671213</v>
      </c>
      <c r="EN31" s="59">
        <f t="shared" si="20"/>
        <v>459.82132883869622</v>
      </c>
      <c r="EO31" s="59">
        <f ca="1">AVERAGE(OFFSET($EN$3,0,0,'Données projet'!$E$15+1,1))-AVERAGE(OFFSET($H$3,0,0,'Données projet'!$E$15+1,1))</f>
        <v>374.38106339726073</v>
      </c>
      <c r="EP31" s="59">
        <f t="shared" si="46"/>
        <v>296.53283288925957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9">
        <f t="shared" si="0"/>
        <v>474.0655818228372</v>
      </c>
      <c r="S32" s="59">
        <f ca="1">AVERAGE(OFFSET($R$3,0,0,'Données projet'!$E$9+1,1))-AVERAGE(OFFSET($H$3,0,0,'Données projet'!$E$9+1,1))</f>
        <v>681.47578137804555</v>
      </c>
      <c r="T32" s="59">
        <f t="shared" si="34"/>
        <v>300.88511065995885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85.644000000000005</v>
      </c>
      <c r="AK32" s="13">
        <f t="shared" si="35"/>
        <v>23.511648669822069</v>
      </c>
      <c r="AL32" s="20">
        <f t="shared" si="4"/>
        <v>190.1127547666068</v>
      </c>
      <c r="AM32" s="59">
        <f t="shared" si="5"/>
        <v>427.04065208938266</v>
      </c>
      <c r="AN32" s="59">
        <f ca="1">AVERAGE(OFFSET($AM$3,0,0,'Données projet'!$E$10+1,1))-AVERAGE(OFFSET($H$3,0,0,'Données projet'!$E$10+1,1))</f>
        <v>423.80243030843661</v>
      </c>
      <c r="AO32" s="59">
        <f t="shared" si="36"/>
        <v>260.29028006191834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0.80653243529593954</v>
      </c>
      <c r="AW32" s="21">
        <f>EXP(-LN(2)/2)*AW31+(1-EXP(-LN(2)/2))/(LN(2)/2)*AQ32*AT32*VLOOKUP('Données projet'!$B$10,Paramètres!$A$1:$I$89,3,0)*0.475*44/12</f>
        <v>0.44893010596924382</v>
      </c>
      <c r="AX32" s="21">
        <f t="shared" si="6"/>
        <v>1.2554625412651834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16.621666666666666</v>
      </c>
      <c r="BD32" s="12">
        <f>IF('Données projet'!$A$88&gt;35,BD31+BC32-BL31,IF(A32&lt;'Données projet'!$A$88,$BA$205^A32,IF(A32='Données projet'!$A$88,'Données projet'!$B$88,BD31+BC32-BL31)))</f>
        <v>151.16333333333336</v>
      </c>
      <c r="BE32" s="13">
        <f>BD32*VLOOKUP('Données projet'!$B$11,Paramètres!$A$1:$I$89,3,0)*VLOOKUP('Données projet'!$B$11,Paramètres!$A$1:$I$89,5,0)</f>
        <v>90.395673333333363</v>
      </c>
      <c r="BF32" s="13">
        <f t="shared" si="37"/>
        <v>24.660627497212822</v>
      </c>
      <c r="BG32" s="20">
        <f t="shared" si="7"/>
        <v>200.38972394653459</v>
      </c>
      <c r="BH32" s="59">
        <f t="shared" si="8"/>
        <v>437.31762126931039</v>
      </c>
      <c r="BI32" s="59">
        <f ca="1">AVERAGE(OFFSET($BH$3,0,0,'Données projet'!$E$11+1,1))-AVERAGE(OFFSET($H$3,0,0,'Données projet'!$E$11+1,1))</f>
        <v>373.61861223558259</v>
      </c>
      <c r="BJ32" s="59">
        <f t="shared" si="38"/>
        <v>277.62293009761049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7.3417435510681965</v>
      </c>
      <c r="BQ32" s="21">
        <f>EXP(-LN(2)/25)*BQ31+(1-EXP(-LN(2)/25))/(LN(2)/25)*Calculateur!BL32*Calculateur!BN32*VLOOKUP('Données projet'!$B$11,Paramètres!$A$1:$I$89,3,0)*0.475*44/12</f>
        <v>10.422514949319186</v>
      </c>
      <c r="BR32" s="21">
        <f>EXP(-LN(2)/2)*BR31+(1-EXP(-LN(2)/2))/(LN(2)/2)*BL32*BO32*VLOOKUP('Données projet'!$B$11,Paramètres!$A$1:$I$89,3,0)*0.475*44/12</f>
        <v>6.0761231193203562</v>
      </c>
      <c r="BS32" s="22">
        <f t="shared" si="9"/>
        <v>23.840381619707742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5.7692307692307692</v>
      </c>
      <c r="BY32" s="12">
        <f>IF('Données projet'!$A$114&gt;35,BY31+BX32-CG31,IF(A32&lt;'Données projet'!$A$114,$BV$205^A32,IF(A32='Données projet'!$A$114,'Données projet'!$B$114,BY31+BX32-CG31)))</f>
        <v>80.769230769230774</v>
      </c>
      <c r="BZ32" s="13">
        <f>BY32*VLOOKUP('Données projet'!$B$12,Paramètres!$A$1:$I$89,3,0)*VLOOKUP('Données projet'!$B$12,Paramètres!$A$1:$I$89,5,0)</f>
        <v>70.560000000000016</v>
      </c>
      <c r="CA32" s="13">
        <f t="shared" si="39"/>
        <v>19.812460750274294</v>
      </c>
      <c r="CB32" s="20">
        <f t="shared" si="10"/>
        <v>157.39870247339442</v>
      </c>
      <c r="CC32" s="59">
        <f t="shared" si="11"/>
        <v>394.32659979617029</v>
      </c>
      <c r="CD32" s="59">
        <f ca="1">AVERAGE(OFFSET($CC$3,0,0,'Données projet'!$E$12+1,1))-AVERAGE(OFFSET($H$3,0,0,'Données projet'!$E$12+1,1))</f>
        <v>251.30277097589737</v>
      </c>
      <c r="CE32" s="59">
        <f t="shared" si="40"/>
        <v>224.11983819941796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6.9643179358020948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6.9643179358020948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104.19999999999999</v>
      </c>
      <c r="CU32" s="17">
        <f>CT32*VLOOKUP('Données projet'!$B$13,Paramètres!$A$1:$I$89,3,0)*VLOOKUP('Données projet'!$B$13,Paramètres!$A$1:$I$89,5,0)</f>
        <v>91.029119999999992</v>
      </c>
      <c r="CV32" s="13">
        <f t="shared" si="41"/>
        <v>24.813259479575809</v>
      </c>
      <c r="CW32" s="20">
        <f t="shared" si="13"/>
        <v>201.75881092692782</v>
      </c>
      <c r="CX32" s="59">
        <f t="shared" si="14"/>
        <v>438.68670824970366</v>
      </c>
      <c r="CY32" s="59">
        <f ca="1">AVERAGE(OFFSET($CX$3,0,0,'Données projet'!$E$13+1,1))-AVERAGE(OFFSET($H$3,0,0,'Données projet'!$E$13+1,1))</f>
        <v>287.28439432670405</v>
      </c>
      <c r="CZ32" s="59">
        <f t="shared" si="42"/>
        <v>276.01618888357268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4.4811161767948926</v>
      </c>
      <c r="DH32" s="21">
        <f>EXP(-LN(2)/2)*DH31+(1-EXP(-LN(2)/2))/(LN(2)/2)*DB32*DE32*VLOOKUP('Données projet'!$B$13,Paramètres!$A$1:$I$89,3,0)*0.475*44/12</f>
        <v>1.2730934675194003</v>
      </c>
      <c r="DI32" s="22">
        <f t="shared" si="15"/>
        <v>5.7542096443142929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2.1794871794871802</v>
      </c>
      <c r="DO32" s="12">
        <f>IF('Données projet'!$A$166&gt;35,DO31+DN32-DW31,IF(A32&lt;'Données projet'!$A$166,$DL$205^A32,IF(A32='Données projet'!$A$166,'Données projet'!$B$166,DO31+DN32-DW31)))</f>
        <v>31.794871794871792</v>
      </c>
      <c r="DP32" s="17">
        <f>DO32*VLOOKUP('Données projet'!$B$14,Paramètres!$A$1:$I$89,3,0)*VLOOKUP('Données projet'!$B$14,Paramètres!$A$1:$I$89,5,0)</f>
        <v>30.751999999999995</v>
      </c>
      <c r="DQ32" s="13">
        <f t="shared" si="43"/>
        <v>9.5112362891889681</v>
      </c>
      <c r="DR32" s="20">
        <f t="shared" si="16"/>
        <v>70.12513653700411</v>
      </c>
      <c r="DS32" s="59">
        <f t="shared" si="17"/>
        <v>307.05303385977993</v>
      </c>
      <c r="DT32" s="59">
        <f ca="1">AVERAGE(OFFSET($DS$3,0,0,'Données projet'!$E$14+1,1))-AVERAGE(OFFSET($H$3,0,0,'Données projet'!$E$14+1,1))</f>
        <v>206.5245935130306</v>
      </c>
      <c r="DU32" s="59">
        <f t="shared" si="44"/>
        <v>130.57011290898546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0.59116895083955234</v>
      </c>
      <c r="EC32" s="21">
        <f>EXP(-LN(2)/2)*EC31+(1-EXP(-LN(2)/2))/(LN(2)/2)*DW32*DZ32*VLOOKUP('Données projet'!$B$14,Paramètres!$A$1:$I$89,3,0)*0.475*44/12</f>
        <v>0.32905501146862914</v>
      </c>
      <c r="ED32" s="22">
        <f t="shared" si="18"/>
        <v>0.92022396230818149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7.7715686274509812</v>
      </c>
      <c r="EJ32" s="12">
        <f>IF('Données projet'!$A$192&gt;35,EJ31+EI32-ER31,IF(A32&lt;'Données projet'!$A$192,$EG$205^A32,IF(A32='Données projet'!$A$192,'Données projet'!$B$192,EJ31+EI32-ER31)))</f>
        <v>225.37549019607852</v>
      </c>
      <c r="EK32" s="17">
        <f>EJ32*VLOOKUP('Données projet'!$B$15,Paramètres!$A$1:$I$89,3,0)*VLOOKUP('Données projet'!$B$15,Paramètres!$A$1:$I$89,5,0)</f>
        <v>105.47572941176475</v>
      </c>
      <c r="EL32" s="13">
        <f t="shared" si="45"/>
        <v>28.262439580592901</v>
      </c>
      <c r="EM32" s="20">
        <f t="shared" si="19"/>
        <v>232.92731099502291</v>
      </c>
      <c r="EN32" s="59">
        <f t="shared" si="20"/>
        <v>469.85520831779877</v>
      </c>
      <c r="EO32" s="59">
        <f ca="1">AVERAGE(OFFSET($EN$3,0,0,'Données projet'!$E$15+1,1))-AVERAGE(OFFSET($H$3,0,0,'Données projet'!$E$15+1,1))</f>
        <v>374.38106339726073</v>
      </c>
      <c r="EP32" s="59">
        <f t="shared" si="46"/>
        <v>296.53283288925957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9">
        <f t="shared" si="0"/>
        <v>484.21844399329223</v>
      </c>
      <c r="S33" s="59">
        <f ca="1">AVERAGE(OFFSET($R$3,0,0,'Données projet'!$E$9+1,1))-AVERAGE(OFFSET($H$3,0,0,'Données projet'!$E$9+1,1))</f>
        <v>681.47578137804555</v>
      </c>
      <c r="T33" s="59">
        <f t="shared" si="34"/>
        <v>300.88511065995885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92.305199999999999</v>
      </c>
      <c r="AK33" s="13">
        <f t="shared" si="35"/>
        <v>25.12036275342183</v>
      </c>
      <c r="AL33" s="20">
        <f t="shared" si="4"/>
        <v>204.51618846220967</v>
      </c>
      <c r="AM33" s="59">
        <f t="shared" si="5"/>
        <v>443.62361339525165</v>
      </c>
      <c r="AN33" s="59">
        <f ca="1">AVERAGE(OFFSET($AM$3,0,0,'Données projet'!$E$10+1,1))-AVERAGE(OFFSET($H$3,0,0,'Données projet'!$E$10+1,1))</f>
        <v>423.80243030843661</v>
      </c>
      <c r="AO33" s="59">
        <f t="shared" si="36"/>
        <v>260.29028006191834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3.149939593973897</v>
      </c>
      <c r="AW33" s="21">
        <f>EXP(-LN(2)/2)*AW32+(1-EXP(-LN(2)/2))/(LN(2)/2)*AQ33*AT33*VLOOKUP('Données projet'!$B$10,Paramètres!$A$1:$I$89,3,0)*0.475*44/12</f>
        <v>5.031207634886707</v>
      </c>
      <c r="AX33" s="21">
        <f t="shared" si="6"/>
        <v>8.1811472288606044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16.621666666666666</v>
      </c>
      <c r="BD33" s="12">
        <f>IF('Données projet'!$A$88&gt;35,BD32+BC33-BL32,IF(A33&lt;'Données projet'!$A$88,$BA$205^A33,IF(A33='Données projet'!$A$88,'Données projet'!$B$88,BD32+BC33-BL32)))</f>
        <v>167.78500000000003</v>
      </c>
      <c r="BE33" s="13">
        <f>BD33*VLOOKUP('Données projet'!$B$11,Paramètres!$A$1:$I$89,3,0)*VLOOKUP('Données projet'!$B$11,Paramètres!$A$1:$I$89,5,0)</f>
        <v>100.33543000000002</v>
      </c>
      <c r="BF33" s="13">
        <f t="shared" si="37"/>
        <v>27.041893539465132</v>
      </c>
      <c r="BG33" s="20">
        <f t="shared" si="7"/>
        <v>221.84883849790182</v>
      </c>
      <c r="BH33" s="59">
        <f t="shared" si="8"/>
        <v>460.95626343094381</v>
      </c>
      <c r="BI33" s="59">
        <f ca="1">AVERAGE(OFFSET($BH$3,0,0,'Données projet'!$E$11+1,1))-AVERAGE(OFFSET($H$3,0,0,'Données projet'!$E$11+1,1))</f>
        <v>373.61861223558259</v>
      </c>
      <c r="BJ33" s="59">
        <f t="shared" si="38"/>
        <v>277.62293009761049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7.1977764380531477</v>
      </c>
      <c r="BQ33" s="21">
        <f>EXP(-LN(2)/25)*BQ32+(1-EXP(-LN(2)/25))/(LN(2)/25)*Calculateur!BL33*Calculateur!BN33*VLOOKUP('Données projet'!$B$11,Paramètres!$A$1:$I$89,3,0)*0.475*44/12</f>
        <v>10.137510729933814</v>
      </c>
      <c r="BR33" s="21">
        <f>EXP(-LN(2)/2)*BR32+(1-EXP(-LN(2)/2))/(LN(2)/2)*BL33*BO33*VLOOKUP('Données projet'!$B$11,Paramètres!$A$1:$I$89,3,0)*0.475*44/12</f>
        <v>4.296467860995782</v>
      </c>
      <c r="BS33" s="22">
        <f t="shared" si="9"/>
        <v>21.631755028982745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86.538461538461533</v>
      </c>
      <c r="BW33" s="12">
        <f>VLOOKUP(A33,'Données projet'!$A$113:$I$133,9,0)</f>
        <v>5.7692307692307692</v>
      </c>
      <c r="BX33" s="12">
        <f t="array" ref="BX33">INDEX(BW:BW,MIN(IF(ISNUMBER(BW33:BW229),ROW(BW33:BW229),"")))</f>
        <v>5.7692307692307692</v>
      </c>
      <c r="BY33" s="12">
        <f>IF('Données projet'!$A$114&gt;35,BY32+BX33-CG32,IF(A33&lt;'Données projet'!$A$114,$BV$205^A33,IF(A33='Données projet'!$A$114,'Données projet'!$B$114,BY32+BX33-CG32)))</f>
        <v>86.538461538461547</v>
      </c>
      <c r="BZ33" s="13">
        <f>BY33*VLOOKUP('Données projet'!$B$12,Paramètres!$A$1:$I$89,3,0)*VLOOKUP('Données projet'!$B$12,Paramètres!$A$1:$I$89,5,0)</f>
        <v>75.600000000000023</v>
      </c>
      <c r="CA33" s="13">
        <f t="shared" si="39"/>
        <v>21.057844937632133</v>
      </c>
      <c r="CB33" s="20">
        <f t="shared" si="10"/>
        <v>168.34574659970932</v>
      </c>
      <c r="CC33" s="59">
        <f t="shared" si="11"/>
        <v>407.4531715327513</v>
      </c>
      <c r="CD33" s="59">
        <f ca="1">AVERAGE(OFFSET($CC$3,0,0,'Données projet'!$E$12+1,1))-AVERAGE(OFFSET($H$3,0,0,'Données projet'!$E$12+1,1))</f>
        <v>251.30277097589737</v>
      </c>
      <c r="CE33" s="59">
        <f t="shared" si="40"/>
        <v>224.11983819941796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15.384615384615383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0.215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9.9556680634584609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9.9556680634584609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114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113.99999999999999</v>
      </c>
      <c r="CU33" s="17">
        <f>CT33*VLOOKUP('Données projet'!$B$13,Paramètres!$A$1:$I$89,3,0)*VLOOKUP('Données projet'!$B$13,Paramètres!$A$1:$I$89,5,0)</f>
        <v>99.590400000000002</v>
      </c>
      <c r="CV33" s="13">
        <f t="shared" si="41"/>
        <v>26.864392698869324</v>
      </c>
      <c r="CW33" s="20">
        <f t="shared" si="13"/>
        <v>220.24209728386407</v>
      </c>
      <c r="CX33" s="59">
        <f t="shared" si="14"/>
        <v>459.34952221690605</v>
      </c>
      <c r="CY33" s="59">
        <f ca="1">AVERAGE(OFFSET($CX$3,0,0,'Données projet'!$E$13+1,1))-AVERAGE(OFFSET($H$3,0,0,'Données projet'!$E$13+1,1))</f>
        <v>287.28439432670405</v>
      </c>
      <c r="CZ33" s="59">
        <f t="shared" si="42"/>
        <v>276.01618888357268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7.0351679676026766</v>
      </c>
      <c r="DH33" s="21">
        <f>EXP(-LN(2)/2)*DH32+(1-EXP(-LN(2)/2))/(LN(2)/2)*DB33*DE33*VLOOKUP('Données projet'!$B$13,Paramètres!$A$1:$I$89,3,0)*0.475*44/12</f>
        <v>5.2276048651134168</v>
      </c>
      <c r="DI33" s="22">
        <f t="shared" si="15"/>
        <v>12.262772832716093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33.974358974358978</v>
      </c>
      <c r="DM33" s="12">
        <f>VLOOKUP(A33,'Données projet'!$A$165:$I$185,9,0)</f>
        <v>2.1794871794871802</v>
      </c>
      <c r="DN33" s="12">
        <f t="array" ref="DN33">INDEX(DM:DM,MIN(IF(ISNUMBER(DM33:DM229),ROW(DM33:DM229),"")))</f>
        <v>2.1794871794871802</v>
      </c>
      <c r="DO33" s="12">
        <f>IF('Données projet'!$A$166&gt;35,DO32+DN33-DW32,IF(A33&lt;'Données projet'!$A$166,$DL$205^A33,IF(A33='Données projet'!$A$166,'Données projet'!$B$166,DO32+DN33-DW32)))</f>
        <v>33.974358974358971</v>
      </c>
      <c r="DP33" s="17">
        <f>DO33*VLOOKUP('Données projet'!$B$14,Paramètres!$A$1:$I$89,3,0)*VLOOKUP('Données projet'!$B$14,Paramètres!$A$1:$I$89,5,0)</f>
        <v>32.86</v>
      </c>
      <c r="DQ33" s="13">
        <f t="shared" si="43"/>
        <v>10.085084005326417</v>
      </c>
      <c r="DR33" s="20">
        <f t="shared" si="16"/>
        <v>74.796021309276838</v>
      </c>
      <c r="DS33" s="59">
        <f t="shared" si="17"/>
        <v>313.90344624231881</v>
      </c>
      <c r="DT33" s="59">
        <f ca="1">AVERAGE(OFFSET($DS$3,0,0,'Données projet'!$E$14+1,1))-AVERAGE(OFFSET($H$3,0,0,'Données projet'!$E$14+1,1))</f>
        <v>206.5245935130306</v>
      </c>
      <c r="DU33" s="59">
        <f t="shared" si="44"/>
        <v>130.57011290898546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5.1282051282051277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0.1075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1.1621193738578919</v>
      </c>
      <c r="EC33" s="21">
        <f>EXP(-LN(2)/2)*EC32+(1-EXP(-LN(2)/2))/(LN(2)/2)*DW33*DZ33*VLOOKUP('Données projet'!$B$14,Paramètres!$A$1:$I$89,3,0)*0.475*44/12</f>
        <v>1.4026504041035663</v>
      </c>
      <c r="ED33" s="22">
        <f t="shared" si="18"/>
        <v>2.564769777961458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7.7715686274509812</v>
      </c>
      <c r="EJ33" s="12">
        <f>IF('Données projet'!$A$192&gt;35,EJ32+EI33-ER32,IF(A33&lt;'Données projet'!$A$192,$EG$205^A33,IF(A33='Données projet'!$A$192,'Données projet'!$B$192,EJ32+EI33-ER32)))</f>
        <v>233.14705882352951</v>
      </c>
      <c r="EK33" s="17">
        <f>EJ33*VLOOKUP('Données projet'!$B$15,Paramètres!$A$1:$I$89,3,0)*VLOOKUP('Données projet'!$B$15,Paramètres!$A$1:$I$89,5,0)</f>
        <v>109.11282352941181</v>
      </c>
      <c r="EL33" s="13">
        <f t="shared" si="45"/>
        <v>29.121860464588686</v>
      </c>
      <c r="EM33" s="20">
        <f t="shared" si="19"/>
        <v>240.7587412895509</v>
      </c>
      <c r="EN33" s="59">
        <f t="shared" si="20"/>
        <v>479.86616622259288</v>
      </c>
      <c r="EO33" s="59">
        <f ca="1">AVERAGE(OFFSET($EN$3,0,0,'Données projet'!$E$15+1,1))-AVERAGE(OFFSET($H$3,0,0,'Données projet'!$E$15+1,1))</f>
        <v>374.38106339726073</v>
      </c>
      <c r="EP33" s="59">
        <f t="shared" si="46"/>
        <v>296.53283288925957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9">
        <f t="shared" si="0"/>
        <v>493.12658442064401</v>
      </c>
      <c r="S34" s="59">
        <f ca="1">AVERAGE(OFFSET($R$3,0,0,'Données projet'!$E$9+1,1))-AVERAGE(OFFSET($H$3,0,0,'Données projet'!$E$9+1,1))</f>
        <v>681.47578137804555</v>
      </c>
      <c r="T34" s="59">
        <f t="shared" si="34"/>
        <v>300.88511065995885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79.934400000000011</v>
      </c>
      <c r="AK34" s="13">
        <f t="shared" si="35"/>
        <v>22.121143821921812</v>
      </c>
      <c r="AL34" s="20">
        <f t="shared" si="4"/>
        <v>177.74673882318049</v>
      </c>
      <c r="AM34" s="59">
        <f t="shared" si="5"/>
        <v>417.79486203599805</v>
      </c>
      <c r="AN34" s="59">
        <f ca="1">AVERAGE(OFFSET($AM$3,0,0,'Données projet'!$E$10+1,1))-AVERAGE(OFFSET($H$3,0,0,'Données projet'!$E$10+1,1))</f>
        <v>423.80243030843661</v>
      </c>
      <c r="AO34" s="59">
        <f t="shared" si="36"/>
        <v>260.29028006191834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3.0638043301285567</v>
      </c>
      <c r="AW34" s="21">
        <f>EXP(-LN(2)/2)*AW33+(1-EXP(-LN(2)/2))/(LN(2)/2)*AQ34*AT34*VLOOKUP('Données projet'!$B$10,Paramètres!$A$1:$I$89,3,0)*0.475*44/12</f>
        <v>3.5576010361859223</v>
      </c>
      <c r="AX34" s="21">
        <f t="shared" si="6"/>
        <v>6.6214053663144785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16.621666666666666</v>
      </c>
      <c r="BD34" s="12">
        <f>IF('Données projet'!$A$88&gt;35,BD33+BC34-BL33,IF(A34&lt;'Données projet'!$A$88,$BA$205^A34,IF(A34='Données projet'!$A$88,'Données projet'!$B$88,BD33+BC34-BL33)))</f>
        <v>184.40666666666669</v>
      </c>
      <c r="BE34" s="13">
        <f>BD34*VLOOKUP('Données projet'!$B$11,Paramètres!$A$1:$I$89,3,0)*VLOOKUP('Données projet'!$B$11,Paramètres!$A$1:$I$89,5,0)</f>
        <v>110.27518666666668</v>
      </c>
      <c r="BF34" s="13">
        <f t="shared" si="37"/>
        <v>29.395811266319566</v>
      </c>
      <c r="BG34" s="20">
        <f t="shared" si="7"/>
        <v>243.26032139995104</v>
      </c>
      <c r="BH34" s="59">
        <f t="shared" si="8"/>
        <v>483.3084446127686</v>
      </c>
      <c r="BI34" s="59">
        <f ca="1">AVERAGE(OFFSET($BH$3,0,0,'Données projet'!$E$11+1,1))-AVERAGE(OFFSET($H$3,0,0,'Données projet'!$E$11+1,1))</f>
        <v>373.61861223558259</v>
      </c>
      <c r="BJ34" s="59">
        <f t="shared" si="38"/>
        <v>277.62293009761049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7.0566324323130551</v>
      </c>
      <c r="BQ34" s="21">
        <f>EXP(-LN(2)/25)*BQ33+(1-EXP(-LN(2)/25))/(LN(2)/25)*Calculateur!BL34*Calculateur!BN34*VLOOKUP('Données projet'!$B$11,Paramètres!$A$1:$I$89,3,0)*0.475*44/12</f>
        <v>9.860299965915253</v>
      </c>
      <c r="BR34" s="21">
        <f>EXP(-LN(2)/2)*BR33+(1-EXP(-LN(2)/2))/(LN(2)/2)*BL34*BO34*VLOOKUP('Données projet'!$B$11,Paramètres!$A$1:$I$89,3,0)*0.475*44/12</f>
        <v>3.0380615596601785</v>
      </c>
      <c r="BS34" s="22">
        <f t="shared" si="9"/>
        <v>19.954993957888487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5.3846153846153868</v>
      </c>
      <c r="BY34" s="12">
        <f>IF('Données projet'!$A$114&gt;35,BY33+BX34-CG33,IF(A34&lt;'Données projet'!$A$114,$BV$205^A34,IF(A34='Données projet'!$A$114,'Données projet'!$B$114,BY33+BX34-CG33)))</f>
        <v>76.538461538461547</v>
      </c>
      <c r="BZ34" s="13">
        <f>BY34*VLOOKUP('Données projet'!$B$12,Paramètres!$A$1:$I$89,3,0)*VLOOKUP('Données projet'!$B$12,Paramètres!$A$1:$I$89,5,0)</f>
        <v>66.864000000000019</v>
      </c>
      <c r="CA34" s="13">
        <f t="shared" si="39"/>
        <v>18.892613008635955</v>
      </c>
      <c r="CB34" s="20">
        <f t="shared" si="10"/>
        <v>149.35943432337433</v>
      </c>
      <c r="CC34" s="59">
        <f t="shared" si="11"/>
        <v>389.40755753619192</v>
      </c>
      <c r="CD34" s="59">
        <f ca="1">AVERAGE(OFFSET($CC$3,0,0,'Données projet'!$E$12+1,1))-AVERAGE(OFFSET($H$3,0,0,'Données projet'!$E$12+1,1))</f>
        <v>251.30277097589737</v>
      </c>
      <c r="CE34" s="59">
        <f t="shared" si="40"/>
        <v>224.11983819941796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9.683429796717359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9.683429796717359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8.6</v>
      </c>
      <c r="CT34" s="12">
        <f>IF('Données projet'!$A$140&gt;35,CT33+CS34-DB33,IF(A34&lt;'Données projet'!$A$140,$CQ$205^A34,IF(A34='Données projet'!$A$140,'Données projet'!$B$140,CT33+CS34-DB33)))</f>
        <v>101.59999999999998</v>
      </c>
      <c r="CU34" s="17">
        <f>CT34*VLOOKUP('Données projet'!$B$13,Paramètres!$A$1:$I$89,3,0)*VLOOKUP('Données projet'!$B$13,Paramètres!$A$1:$I$89,5,0)</f>
        <v>88.75775999999999</v>
      </c>
      <c r="CV34" s="13">
        <f t="shared" si="41"/>
        <v>24.265384701755004</v>
      </c>
      <c r="CW34" s="20">
        <f t="shared" si="13"/>
        <v>196.84864368888995</v>
      </c>
      <c r="CX34" s="59">
        <f t="shared" si="14"/>
        <v>436.89676690170751</v>
      </c>
      <c r="CY34" s="59">
        <f ca="1">AVERAGE(OFFSET($CX$3,0,0,'Données projet'!$E$13+1,1))-AVERAGE(OFFSET($H$3,0,0,'Données projet'!$E$13+1,1))</f>
        <v>287.28439432670405</v>
      </c>
      <c r="CZ34" s="59">
        <f t="shared" si="42"/>
        <v>276.01618888357268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6.8427909295651768</v>
      </c>
      <c r="DH34" s="21">
        <f>EXP(-LN(2)/2)*DH33+(1-EXP(-LN(2)/2))/(LN(2)/2)*DB34*DE34*VLOOKUP('Données projet'!$B$13,Paramètres!$A$1:$I$89,3,0)*0.475*44/12</f>
        <v>3.6964748494854844</v>
      </c>
      <c r="DI34" s="22">
        <f t="shared" si="15"/>
        <v>10.539265779050661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2.4358974358974343</v>
      </c>
      <c r="DO34" s="12">
        <f>IF('Données projet'!$A$166&gt;35,DO33+DN34-DW33,IF(A34&lt;'Données projet'!$A$166,$DL$205^A34,IF(A34='Données projet'!$A$166,'Données projet'!$B$166,DO33+DN34-DW33)))</f>
        <v>31.282051282051281</v>
      </c>
      <c r="DP34" s="17">
        <f>DO34*VLOOKUP('Données projet'!$B$14,Paramètres!$A$1:$I$89,3,0)*VLOOKUP('Données projet'!$B$14,Paramètres!$A$1:$I$89,5,0)</f>
        <v>30.256</v>
      </c>
      <c r="DQ34" s="13">
        <f t="shared" si="43"/>
        <v>9.3755578185251789</v>
      </c>
      <c r="DR34" s="20">
        <f t="shared" si="16"/>
        <v>69.024963200598023</v>
      </c>
      <c r="DS34" s="59">
        <f t="shared" si="17"/>
        <v>309.07308641341558</v>
      </c>
      <c r="DT34" s="59">
        <f ca="1">AVERAGE(OFFSET($DS$3,0,0,'Données projet'!$E$14+1,1))-AVERAGE(OFFSET($H$3,0,0,'Données projet'!$E$14+1,1))</f>
        <v>206.5245935130306</v>
      </c>
      <c r="DU34" s="59">
        <f t="shared" si="44"/>
        <v>130.57011290898546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1.1303411584665459</v>
      </c>
      <c r="EC34" s="21">
        <f>EXP(-LN(2)/2)*EC33+(1-EXP(-LN(2)/2))/(LN(2)/2)*DW34*DZ34*VLOOKUP('Données projet'!$B$14,Paramètres!$A$1:$I$89,3,0)*0.475*44/12</f>
        <v>0.99182361237568306</v>
      </c>
      <c r="ED34" s="22">
        <f t="shared" si="18"/>
        <v>2.1221647708422289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7.7715686274509812</v>
      </c>
      <c r="EJ34" s="12">
        <f>IF('Données projet'!$A$192&gt;35,EJ33+EI34-ER33,IF(A34&lt;'Données projet'!$A$192,$EG$205^A34,IF(A34='Données projet'!$A$192,'Données projet'!$B$192,EJ33+EI34-ER33)))</f>
        <v>240.91862745098049</v>
      </c>
      <c r="EK34" s="17">
        <f>EJ34*VLOOKUP('Données projet'!$B$15,Paramètres!$A$1:$I$89,3,0)*VLOOKUP('Données projet'!$B$15,Paramètres!$A$1:$I$89,5,0)</f>
        <v>112.74991764705888</v>
      </c>
      <c r="EL34" s="13">
        <f t="shared" si="45"/>
        <v>29.977952605007669</v>
      </c>
      <c r="EM34" s="20">
        <f t="shared" si="19"/>
        <v>248.58437402234924</v>
      </c>
      <c r="EN34" s="59">
        <f t="shared" si="20"/>
        <v>488.6324972351668</v>
      </c>
      <c r="EO34" s="59">
        <f ca="1">AVERAGE(OFFSET($EN$3,0,0,'Données projet'!$E$15+1,1))-AVERAGE(OFFSET($H$3,0,0,'Données projet'!$E$15+1,1))</f>
        <v>374.38106339726073</v>
      </c>
      <c r="EP34" s="59">
        <f t="shared" si="46"/>
        <v>296.53283288925957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9">
        <f t="shared" si="0"/>
        <v>502.0127253029035</v>
      </c>
      <c r="S35" s="59">
        <f ca="1">AVERAGE(OFFSET($R$3,0,0,'Données projet'!$E$9+1,1))-AVERAGE(OFFSET($H$3,0,0,'Données projet'!$E$9+1,1))</f>
        <v>681.47578137804555</v>
      </c>
      <c r="T35" s="59">
        <f t="shared" si="34"/>
        <v>300.88511065995885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87.547200000000004</v>
      </c>
      <c r="AK35" s="13">
        <f t="shared" si="35"/>
        <v>23.972720748088616</v>
      </c>
      <c r="AL35" s="20">
        <f t="shared" si="4"/>
        <v>194.23052863625435</v>
      </c>
      <c r="AM35" s="59">
        <f t="shared" si="5"/>
        <v>435.2030311167797</v>
      </c>
      <c r="AN35" s="59">
        <f ca="1">AVERAGE(OFFSET($AM$3,0,0,'Données projet'!$E$10+1,1))-AVERAGE(OFFSET($H$3,0,0,'Données projet'!$E$10+1,1))</f>
        <v>423.80243030843661</v>
      </c>
      <c r="AO35" s="59">
        <f t="shared" si="36"/>
        <v>260.29028006191834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2.9800244396027238</v>
      </c>
      <c r="AW35" s="21">
        <f>EXP(-LN(2)/2)*AW34+(1-EXP(-LN(2)/2))/(LN(2)/2)*AQ35*AT35*VLOOKUP('Données projet'!$B$10,Paramètres!$A$1:$I$89,3,0)*0.475*44/12</f>
        <v>2.5156038174433539</v>
      </c>
      <c r="AX35" s="21">
        <f t="shared" si="6"/>
        <v>5.4956282570460777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16.621666666666666</v>
      </c>
      <c r="BD35" s="12">
        <f>IF('Données projet'!$A$88&gt;35,BD34+BC35-BL34,IF(A35&lt;'Données projet'!$A$88,$BA$205^A35,IF(A35='Données projet'!$A$88,'Données projet'!$B$88,BD34+BC35-BL34)))</f>
        <v>201.02833333333336</v>
      </c>
      <c r="BE35" s="13">
        <f>BD35*VLOOKUP('Données projet'!$B$11,Paramètres!$A$1:$I$89,3,0)*VLOOKUP('Données projet'!$B$11,Paramètres!$A$1:$I$89,5,0)</f>
        <v>120.21494333333335</v>
      </c>
      <c r="BF35" s="13">
        <f t="shared" si="37"/>
        <v>31.725126074196275</v>
      </c>
      <c r="BG35" s="20">
        <f t="shared" si="7"/>
        <v>264.62895421811407</v>
      </c>
      <c r="BH35" s="59">
        <f t="shared" si="8"/>
        <v>505.60145669863937</v>
      </c>
      <c r="BI35" s="59">
        <f ca="1">AVERAGE(OFFSET($BH$3,0,0,'Données projet'!$E$11+1,1))-AVERAGE(OFFSET($H$3,0,0,'Données projet'!$E$11+1,1))</f>
        <v>373.61861223558259</v>
      </c>
      <c r="BJ35" s="59">
        <f t="shared" si="38"/>
        <v>277.62293009761049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6.9182561744361832</v>
      </c>
      <c r="BQ35" s="21">
        <f>EXP(-LN(2)/25)*BQ34+(1-EXP(-LN(2)/25))/(LN(2)/25)*Calculateur!BL35*Calculateur!BN35*VLOOKUP('Données projet'!$B$11,Paramètres!$A$1:$I$89,3,0)*0.475*44/12</f>
        <v>9.5906695448166612</v>
      </c>
      <c r="BR35" s="21">
        <f>EXP(-LN(2)/2)*BR34+(1-EXP(-LN(2)/2))/(LN(2)/2)*BL35*BO35*VLOOKUP('Données projet'!$B$11,Paramètres!$A$1:$I$89,3,0)*0.475*44/12</f>
        <v>2.1482339304978915</v>
      </c>
      <c r="BS35" s="22">
        <f t="shared" si="9"/>
        <v>18.657159649750735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5.3846153846153868</v>
      </c>
      <c r="BY35" s="12">
        <f>IF('Données projet'!$A$114&gt;35,BY34+BX35-CG34,IF(A35&lt;'Données projet'!$A$114,$BV$205^A35,IF(A35='Données projet'!$A$114,'Données projet'!$B$114,BY34+BX35-CG34)))</f>
        <v>81.923076923076934</v>
      </c>
      <c r="BZ35" s="13">
        <f>BY35*VLOOKUP('Données projet'!$B$12,Paramètres!$A$1:$I$89,3,0)*VLOOKUP('Données projet'!$B$12,Paramètres!$A$1:$I$89,5,0)</f>
        <v>71.568000000000012</v>
      </c>
      <c r="CA35" s="13">
        <f t="shared" si="39"/>
        <v>20.062343777240784</v>
      </c>
      <c r="CB35" s="20">
        <f t="shared" si="10"/>
        <v>159.58951541202774</v>
      </c>
      <c r="CC35" s="59">
        <f t="shared" si="11"/>
        <v>400.56201789255306</v>
      </c>
      <c r="CD35" s="59">
        <f ca="1">AVERAGE(OFFSET($CC$3,0,0,'Données projet'!$E$12+1,1))-AVERAGE(OFFSET($H$3,0,0,'Données projet'!$E$12+1,1))</f>
        <v>251.30277097589737</v>
      </c>
      <c r="CE35" s="59">
        <f t="shared" si="40"/>
        <v>224.11983819941796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9.4186358996966817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9.4186358996966817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8.6</v>
      </c>
      <c r="CT35" s="12">
        <f>IF('Données projet'!$A$140&gt;35,CT34+CS35-DB34,IF(A35&lt;'Données projet'!$A$140,$CQ$205^A35,IF(A35='Données projet'!$A$140,'Données projet'!$B$140,CT34+CS35-DB34)))</f>
        <v>110.19999999999997</v>
      </c>
      <c r="CU35" s="17">
        <f>CT35*VLOOKUP('Données projet'!$B$13,Paramètres!$A$1:$I$89,3,0)*VLOOKUP('Données projet'!$B$13,Paramètres!$A$1:$I$89,5,0)</f>
        <v>96.270719999999983</v>
      </c>
      <c r="CV35" s="13">
        <f t="shared" si="41"/>
        <v>26.071592384845928</v>
      </c>
      <c r="CW35" s="20">
        <f t="shared" si="13"/>
        <v>213.07952740360665</v>
      </c>
      <c r="CX35" s="59">
        <f t="shared" si="14"/>
        <v>454.05202988413197</v>
      </c>
      <c r="CY35" s="59">
        <f ca="1">AVERAGE(OFFSET($CX$3,0,0,'Données projet'!$E$13+1,1))-AVERAGE(OFFSET($H$3,0,0,'Données projet'!$E$13+1,1))</f>
        <v>287.28439432670405</v>
      </c>
      <c r="CZ35" s="59">
        <f t="shared" si="42"/>
        <v>276.01618888357268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6.6556744517494817</v>
      </c>
      <c r="DH35" s="21">
        <f>EXP(-LN(2)/2)*DH34+(1-EXP(-LN(2)/2))/(LN(2)/2)*DB35*DE35*VLOOKUP('Données projet'!$B$13,Paramètres!$A$1:$I$89,3,0)*0.475*44/12</f>
        <v>2.6138024325567089</v>
      </c>
      <c r="DI35" s="22">
        <f t="shared" si="15"/>
        <v>9.2694768843061901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2.4358974358974343</v>
      </c>
      <c r="DO35" s="12">
        <f>IF('Données projet'!$A$166&gt;35,DO34+DN35-DW34,IF(A35&lt;'Données projet'!$A$166,$DL$205^A35,IF(A35='Données projet'!$A$166,'Données projet'!$B$166,DO34+DN35-DW34)))</f>
        <v>33.717948717948715</v>
      </c>
      <c r="DP35" s="17">
        <f>DO35*VLOOKUP('Données projet'!$B$14,Paramètres!$A$1:$I$89,3,0)*VLOOKUP('Données projet'!$B$14,Paramètres!$A$1:$I$89,5,0)</f>
        <v>32.612000000000002</v>
      </c>
      <c r="DQ35" s="13">
        <f t="shared" si="43"/>
        <v>10.017800190546676</v>
      </c>
      <c r="DR35" s="20">
        <f t="shared" si="16"/>
        <v>74.246901998535463</v>
      </c>
      <c r="DS35" s="59">
        <f t="shared" si="17"/>
        <v>315.21940447906081</v>
      </c>
      <c r="DT35" s="59">
        <f ca="1">AVERAGE(OFFSET($DS$3,0,0,'Données projet'!$E$14+1,1))-AVERAGE(OFFSET($H$3,0,0,'Données projet'!$E$14+1,1))</f>
        <v>206.5245935130306</v>
      </c>
      <c r="DU35" s="59">
        <f t="shared" si="44"/>
        <v>130.57011290898546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1.0994319200462201</v>
      </c>
      <c r="EC35" s="21">
        <f>EXP(-LN(2)/2)*EC34+(1-EXP(-LN(2)/2))/(LN(2)/2)*DW35*DZ35*VLOOKUP('Données projet'!$B$14,Paramètres!$A$1:$I$89,3,0)*0.475*44/12</f>
        <v>0.70132520205178328</v>
      </c>
      <c r="ED35" s="22">
        <f t="shared" si="18"/>
        <v>1.8007571220980034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7.7715686274509812</v>
      </c>
      <c r="EJ35" s="12">
        <f>IF('Données projet'!$A$192&gt;35,EJ34+EI35-ER34,IF(A35&lt;'Données projet'!$A$192,$EG$205^A35,IF(A35='Données projet'!$A$192,'Données projet'!$B$192,EJ34+EI35-ER34)))</f>
        <v>248.69019607843148</v>
      </c>
      <c r="EK35" s="17">
        <f>EJ35*VLOOKUP('Données projet'!$B$15,Paramètres!$A$1:$I$89,3,0)*VLOOKUP('Données projet'!$B$15,Paramètres!$A$1:$I$89,5,0)</f>
        <v>116.38701176470595</v>
      </c>
      <c r="EL35" s="13">
        <f t="shared" si="45"/>
        <v>30.830835696933189</v>
      </c>
      <c r="EM35" s="20">
        <f t="shared" si="19"/>
        <v>256.40441766235483</v>
      </c>
      <c r="EN35" s="59">
        <f t="shared" si="20"/>
        <v>497.37692014288018</v>
      </c>
      <c r="EO35" s="59">
        <f ca="1">AVERAGE(OFFSET($EN$3,0,0,'Données projet'!$E$15+1,1))-AVERAGE(OFFSET($H$3,0,0,'Données projet'!$E$15+1,1))</f>
        <v>374.38106339726073</v>
      </c>
      <c r="EP35" s="59">
        <f t="shared" si="46"/>
        <v>296.53283288925957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9">
        <f t="shared" si="0"/>
        <v>510.87734762339267</v>
      </c>
      <c r="S36" s="59">
        <f ca="1">AVERAGE(OFFSET($R$3,0,0,'Données projet'!$E$9+1,1))-AVERAGE(OFFSET($H$3,0,0,'Données projet'!$E$9+1,1))</f>
        <v>681.47578137804555</v>
      </c>
      <c r="T36" s="59">
        <f t="shared" si="34"/>
        <v>300.88511065995885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95.16</v>
      </c>
      <c r="AK36" s="13">
        <f t="shared" si="35"/>
        <v>25.80562620332617</v>
      </c>
      <c r="AL36" s="20">
        <f t="shared" si="4"/>
        <v>210.68179897079304</v>
      </c>
      <c r="AM36" s="59">
        <f t="shared" si="5"/>
        <v>452.56264480533378</v>
      </c>
      <c r="AN36" s="59">
        <f ca="1">AVERAGE(OFFSET($AM$3,0,0,'Données projet'!$E$10+1,1))-AVERAGE(OFFSET($H$3,0,0,'Données projet'!$E$10+1,1))</f>
        <v>423.80243030843661</v>
      </c>
      <c r="AO36" s="59">
        <f t="shared" si="36"/>
        <v>260.29028006191834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2.898535514589113</v>
      </c>
      <c r="AW36" s="21">
        <f>EXP(-LN(2)/2)*AW35+(1-EXP(-LN(2)/2))/(LN(2)/2)*AQ36*AT36*VLOOKUP('Données projet'!$B$10,Paramètres!$A$1:$I$89,3,0)*0.475*44/12</f>
        <v>1.7788005180929614</v>
      </c>
      <c r="AX36" s="21">
        <f t="shared" si="6"/>
        <v>4.6773360326820743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>
        <f>VLOOKUP(A36,'Données projet'!$A$87:$I$107,2,0)</f>
        <v>217.65</v>
      </c>
      <c r="BB36" s="12">
        <f>VLOOKUP(A36,'Données projet'!$A$87:$I$107,9,0)</f>
        <v>16.621666666666666</v>
      </c>
      <c r="BC36" s="12">
        <f t="array" ref="BC36">INDEX(BB:BB,MIN(IF(ISNUMBER(BB36:BB232),ROW(BB36:BB232),"")))</f>
        <v>16.621666666666666</v>
      </c>
      <c r="BD36" s="12">
        <f>IF('Données projet'!$A$88&gt;35,BD35+BC36-BL35,IF(A36&lt;'Données projet'!$A$88,$BA$205^A36,IF(A36='Données projet'!$A$88,'Données projet'!$B$88,BD35+BC36-BL35)))</f>
        <v>217.65000000000003</v>
      </c>
      <c r="BE36" s="13">
        <f>BD36*VLOOKUP('Données projet'!$B$11,Paramètres!$A$1:$I$89,3,0)*VLOOKUP('Données projet'!$B$11,Paramètres!$A$1:$I$89,5,0)</f>
        <v>130.15470000000002</v>
      </c>
      <c r="BF36" s="13">
        <f t="shared" si="37"/>
        <v>34.032103485601695</v>
      </c>
      <c r="BG36" s="20">
        <f t="shared" si="7"/>
        <v>285.95868273742298</v>
      </c>
      <c r="BH36" s="59">
        <f t="shared" si="8"/>
        <v>527.83952857196368</v>
      </c>
      <c r="BI36" s="59">
        <f ca="1">AVERAGE(OFFSET($BH$3,0,0,'Données projet'!$E$11+1,1))-AVERAGE(OFFSET($H$3,0,0,'Données projet'!$E$11+1,1))</f>
        <v>373.61861223558259</v>
      </c>
      <c r="BJ36" s="59">
        <f t="shared" si="38"/>
        <v>277.62293009761049</v>
      </c>
      <c r="BK36" s="15">
        <f>IF(ISNA(VLOOKUP(A36,'Données projet'!$A$87:$I$107,3,0)),0,VLOOKUP(A36,'Données projet'!$A$87:$I$107,3,0))</f>
        <v>3</v>
      </c>
      <c r="BL36" s="15">
        <f>IF(ISNA(VLOOKUP(A36,'Données projet'!$A$87:$I$107,4,0)),0,VLOOKUP(A36,'Données projet'!$A$87:$I$107,4,0))</f>
        <v>50.460000000000008</v>
      </c>
      <c r="BM36" s="16">
        <f>IF(ISNA(VLOOKUP(A36,'Données projet'!$A$87:$I$107,5,0)),0%,VLOOKUP(A36,'Données projet'!$A$87:$I$107,5,0)*VLOOKUP('Données projet'!$B$11,Paramètres!$A$1:$I$89,7,0))</f>
        <v>0.1125</v>
      </c>
      <c r="BN36" s="16">
        <f>IF(ISNA(VLOOKUP(A36,'Données projet'!$A$87:$I$107,6,0)),0%,VLOOKUP(A36,'Données projet'!$A$87:$I$107,6,0)*VLOOKUP('Données projet'!$B$11,Paramètres!$A$1:$I$89,7,0))</f>
        <v>0.16650000000000001</v>
      </c>
      <c r="BO36" s="16">
        <f>IF(ISNA(VLOOKUP(A36,'Données projet'!$A$87:$I$107,7,0)),0%,VLOOKUP(A36,'Données projet'!$A$87:$I$107,7,0))</f>
        <v>0.38</v>
      </c>
      <c r="BP36" s="21">
        <f>EXP(-LN(2)/35)*BP35+(1-EXP(-LN(2)/35))/(LN(2)/35)*BL36*BM36*VLOOKUP('Données projet'!$B$11,Paramètres!$A$1:$I$89,3,0)*0.475*44/12</f>
        <v>11.285877104480107</v>
      </c>
      <c r="BQ36" s="21">
        <f>EXP(-LN(2)/25)*BQ35+(1-EXP(-LN(2)/25))/(LN(2)/25)*Calculateur!BL36*Calculateur!BN36*VLOOKUP('Données projet'!$B$11,Paramètres!$A$1:$I$89,3,0)*0.475*44/12</f>
        <v>15.967029985418133</v>
      </c>
      <c r="BR36" s="21">
        <f>EXP(-LN(2)/2)*BR35+(1-EXP(-LN(2)/2))/(LN(2)/2)*BL36*BO36*VLOOKUP('Données projet'!$B$11,Paramètres!$A$1:$I$89,3,0)*0.475*44/12</f>
        <v>14.501806839279157</v>
      </c>
      <c r="BS36" s="22">
        <f t="shared" si="9"/>
        <v>41.754713929177399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5.3846153846153868</v>
      </c>
      <c r="BY36" s="12">
        <f>IF('Données projet'!$A$114&gt;35,BY35+BX36-CG35,IF(A36&lt;'Données projet'!$A$114,$BV$205^A36,IF(A36='Données projet'!$A$114,'Données projet'!$B$114,BY35+BX36-CG35)))</f>
        <v>87.307692307692321</v>
      </c>
      <c r="BZ36" s="13">
        <f>BY36*VLOOKUP('Données projet'!$B$12,Paramètres!$A$1:$I$89,3,0)*VLOOKUP('Données projet'!$B$12,Paramètres!$A$1:$I$89,5,0)</f>
        <v>76.27200000000002</v>
      </c>
      <c r="CA36" s="13">
        <f t="shared" si="39"/>
        <v>21.223152649691638</v>
      </c>
      <c r="CB36" s="20">
        <f t="shared" si="10"/>
        <v>169.80405753154631</v>
      </c>
      <c r="CC36" s="59">
        <f t="shared" si="11"/>
        <v>411.68490336608704</v>
      </c>
      <c r="CD36" s="59">
        <f ca="1">AVERAGE(OFFSET($CC$3,0,0,'Données projet'!$E$12+1,1))-AVERAGE(OFFSET($H$3,0,0,'Données projet'!$E$12+1,1))</f>
        <v>251.30277097589737</v>
      </c>
      <c r="CE36" s="59">
        <f t="shared" si="40"/>
        <v>224.11983819941796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9.1610828057149405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9.1610828057149405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8.6</v>
      </c>
      <c r="CT36" s="12">
        <f>IF('Données projet'!$A$140&gt;35,CT35+CS36-DB35,IF(A36&lt;'Données projet'!$A$140,$CQ$205^A36,IF(A36='Données projet'!$A$140,'Données projet'!$B$140,CT35+CS36-DB35)))</f>
        <v>118.79999999999997</v>
      </c>
      <c r="CU36" s="17">
        <f>CT36*VLOOKUP('Données projet'!$B$13,Paramètres!$A$1:$I$89,3,0)*VLOOKUP('Données projet'!$B$13,Paramètres!$A$1:$I$89,5,0)</f>
        <v>103.78367999999999</v>
      </c>
      <c r="CV36" s="13">
        <f t="shared" si="41"/>
        <v>27.861449539780477</v>
      </c>
      <c r="CW36" s="20">
        <f t="shared" si="13"/>
        <v>229.28193394845096</v>
      </c>
      <c r="CX36" s="59">
        <f t="shared" si="14"/>
        <v>471.16277978299172</v>
      </c>
      <c r="CY36" s="59">
        <f ca="1">AVERAGE(OFFSET($CX$3,0,0,'Données projet'!$E$13+1,1))-AVERAGE(OFFSET($H$3,0,0,'Données projet'!$E$13+1,1))</f>
        <v>287.28439432670405</v>
      </c>
      <c r="CZ36" s="59">
        <f t="shared" si="42"/>
        <v>276.01618888357268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6.4736746838596844</v>
      </c>
      <c r="DH36" s="21">
        <f>EXP(-LN(2)/2)*DH35+(1-EXP(-LN(2)/2))/(LN(2)/2)*DB36*DE36*VLOOKUP('Données projet'!$B$13,Paramètres!$A$1:$I$89,3,0)*0.475*44/12</f>
        <v>1.8482374247427424</v>
      </c>
      <c r="DI36" s="22">
        <f t="shared" si="15"/>
        <v>8.3219121086024259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2.4358974358974343</v>
      </c>
      <c r="DO36" s="12">
        <f>IF('Données projet'!$A$166&gt;35,DO35+DN36-DW35,IF(A36&lt;'Données projet'!$A$166,$DL$205^A36,IF(A36='Données projet'!$A$166,'Données projet'!$B$166,DO35+DN36-DW35)))</f>
        <v>36.153846153846146</v>
      </c>
      <c r="DP36" s="17">
        <f>DO36*VLOOKUP('Données projet'!$B$14,Paramètres!$A$1:$I$89,3,0)*VLOOKUP('Données projet'!$B$14,Paramètres!$A$1:$I$89,5,0)</f>
        <v>34.967999999999996</v>
      </c>
      <c r="DQ36" s="13">
        <f t="shared" si="43"/>
        <v>10.654659569561517</v>
      </c>
      <c r="DR36" s="20">
        <f t="shared" si="16"/>
        <v>79.459465416986305</v>
      </c>
      <c r="DS36" s="59">
        <f t="shared" si="17"/>
        <v>321.34031125152705</v>
      </c>
      <c r="DT36" s="59">
        <f ca="1">AVERAGE(OFFSET($DS$3,0,0,'Données projet'!$E$14+1,1))-AVERAGE(OFFSET($H$3,0,0,'Données projet'!$E$14+1,1))</f>
        <v>206.5245935130306</v>
      </c>
      <c r="DU36" s="59">
        <f t="shared" si="44"/>
        <v>130.57011290898546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1.0693678963759443</v>
      </c>
      <c r="EC36" s="21">
        <f>EXP(-LN(2)/2)*EC35+(1-EXP(-LN(2)/2))/(LN(2)/2)*DW36*DZ36*VLOOKUP('Données projet'!$B$14,Paramètres!$A$1:$I$89,3,0)*0.475*44/12</f>
        <v>0.49591180618784159</v>
      </c>
      <c r="ED36" s="22">
        <f t="shared" si="18"/>
        <v>1.5652797025637859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7.7715686274509812</v>
      </c>
      <c r="EJ36" s="12">
        <f>IF('Données projet'!$A$192&gt;35,EJ35+EI36-ER35,IF(A36&lt;'Données projet'!$A$192,$EG$205^A36,IF(A36='Données projet'!$A$192,'Données projet'!$B$192,EJ35+EI36-ER35)))</f>
        <v>256.46176470588244</v>
      </c>
      <c r="EK36" s="17">
        <f>EJ36*VLOOKUP('Données projet'!$B$15,Paramètres!$A$1:$I$89,3,0)*VLOOKUP('Données projet'!$B$15,Paramètres!$A$1:$I$89,5,0)</f>
        <v>120.02410588235298</v>
      </c>
      <c r="EL36" s="13">
        <f t="shared" si="45"/>
        <v>31.680621529590983</v>
      </c>
      <c r="EM36" s="20">
        <f t="shared" si="19"/>
        <v>264.21906690913573</v>
      </c>
      <c r="EN36" s="59">
        <f t="shared" si="20"/>
        <v>506.09991274367644</v>
      </c>
      <c r="EO36" s="59">
        <f ca="1">AVERAGE(OFFSET($EN$3,0,0,'Données projet'!$E$15+1,1))-AVERAGE(OFFSET($H$3,0,0,'Données projet'!$E$15+1,1))</f>
        <v>374.38106339726073</v>
      </c>
      <c r="EP36" s="59">
        <f t="shared" si="46"/>
        <v>296.53283288925957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9">
        <f t="shared" si="0"/>
        <v>519.72091477976437</v>
      </c>
      <c r="S37" s="59">
        <f ca="1">AVERAGE(OFFSET($R$3,0,0,'Données projet'!$E$9+1,1))-AVERAGE(OFFSET($H$3,0,0,'Données projet'!$E$9+1,1))</f>
        <v>681.47578137804555</v>
      </c>
      <c r="T37" s="59">
        <f t="shared" si="34"/>
        <v>300.88511065995885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102.77279999999999</v>
      </c>
      <c r="AK37" s="13">
        <f t="shared" si="35"/>
        <v>27.621523727415045</v>
      </c>
      <c r="AL37" s="20">
        <f t="shared" si="4"/>
        <v>227.10344715858119</v>
      </c>
      <c r="AM37" s="59">
        <f t="shared" si="5"/>
        <v>469.87687862069674</v>
      </c>
      <c r="AN37" s="59">
        <f ca="1">AVERAGE(OFFSET($AM$3,0,0,'Données projet'!$E$10+1,1))-AVERAGE(OFFSET($H$3,0,0,'Données projet'!$E$10+1,1))</f>
        <v>423.80243030843661</v>
      </c>
      <c r="AO37" s="59">
        <f t="shared" si="36"/>
        <v>260.29028006191834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2.8192749085153155</v>
      </c>
      <c r="AW37" s="21">
        <f>EXP(-LN(2)/2)*AW36+(1-EXP(-LN(2)/2))/(LN(2)/2)*AQ37*AT37*VLOOKUP('Données projet'!$B$10,Paramètres!$A$1:$I$89,3,0)*0.475*44/12</f>
        <v>1.2578019087216772</v>
      </c>
      <c r="AX37" s="21">
        <f t="shared" si="6"/>
        <v>4.0770768172369927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16.693750000000001</v>
      </c>
      <c r="BD37" s="12">
        <f>IF('Données projet'!$A$88&gt;35,BD36+BC37-BL36,IF(A37&lt;'Données projet'!$A$88,$BA$205^A37,IF(A37='Données projet'!$A$88,'Données projet'!$B$88,BD36+BC37-BL36)))</f>
        <v>183.88375000000002</v>
      </c>
      <c r="BE37" s="13">
        <f>BD37*VLOOKUP('Données projet'!$B$11,Paramètres!$A$1:$I$89,3,0)*VLOOKUP('Données projet'!$B$11,Paramètres!$A$1:$I$89,5,0)</f>
        <v>109.96248250000002</v>
      </c>
      <c r="BF37" s="13">
        <f t="shared" si="37"/>
        <v>29.322144981447174</v>
      </c>
      <c r="BG37" s="20">
        <f t="shared" si="7"/>
        <v>242.58739286352048</v>
      </c>
      <c r="BH37" s="59">
        <f t="shared" si="8"/>
        <v>485.36082432563603</v>
      </c>
      <c r="BI37" s="59">
        <f ca="1">AVERAGE(OFFSET($BH$3,0,0,'Données projet'!$E$11+1,1))-AVERAGE(OFFSET($H$3,0,0,'Données projet'!$E$11+1,1))</f>
        <v>373.61861223558259</v>
      </c>
      <c r="BJ37" s="59">
        <f t="shared" si="38"/>
        <v>277.62293009761049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11.064567938166578</v>
      </c>
      <c r="BQ37" s="21">
        <f>EXP(-LN(2)/25)*BQ36+(1-EXP(-LN(2)/25))/(LN(2)/25)*Calculateur!BL37*Calculateur!BN37*VLOOKUP('Données projet'!$B$11,Paramètres!$A$1:$I$89,3,0)*0.475*44/12</f>
        <v>15.530410710797261</v>
      </c>
      <c r="BR37" s="21">
        <f>EXP(-LN(2)/2)*BR36+(1-EXP(-LN(2)/2))/(LN(2)/2)*BL37*BO37*VLOOKUP('Données projet'!$B$11,Paramètres!$A$1:$I$89,3,0)*0.475*44/12</f>
        <v>10.254325955511746</v>
      </c>
      <c r="BS37" s="22">
        <f t="shared" si="9"/>
        <v>36.849304604475584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5.3846153846153868</v>
      </c>
      <c r="BY37" s="12">
        <f>IF('Données projet'!$A$114&gt;35,BY36+BX37-CG36,IF(A37&lt;'Données projet'!$A$114,$BV$205^A37,IF(A37='Données projet'!$A$114,'Données projet'!$B$114,BY36+BX37-CG36)))</f>
        <v>92.692307692307708</v>
      </c>
      <c r="BZ37" s="13">
        <f>BY37*VLOOKUP('Données projet'!$B$12,Paramètres!$A$1:$I$89,3,0)*VLOOKUP('Données projet'!$B$12,Paramètres!$A$1:$I$89,5,0)</f>
        <v>80.976000000000028</v>
      </c>
      <c r="CA37" s="13">
        <f t="shared" si="39"/>
        <v>22.375652525067999</v>
      </c>
      <c r="CB37" s="20">
        <f t="shared" si="10"/>
        <v>180.0041281478268</v>
      </c>
      <c r="CC37" s="59">
        <f t="shared" si="11"/>
        <v>422.77755960994239</v>
      </c>
      <c r="CD37" s="59">
        <f ca="1">AVERAGE(OFFSET($CC$3,0,0,'Données projet'!$E$12+1,1))-AVERAGE(OFFSET($H$3,0,0,'Données projet'!$E$12+1,1))</f>
        <v>251.30277097589737</v>
      </c>
      <c r="CE37" s="59">
        <f t="shared" si="40"/>
        <v>224.11983819941796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8.9105725146322587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8.9105725146322587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8.6</v>
      </c>
      <c r="CT37" s="12">
        <f>IF('Données projet'!$A$140&gt;35,CT36+CS37-DB36,IF(A37&lt;'Données projet'!$A$140,$CQ$205^A37,IF(A37='Données projet'!$A$140,'Données projet'!$B$140,CT36+CS37-DB36)))</f>
        <v>127.39999999999996</v>
      </c>
      <c r="CU37" s="17">
        <f>CT37*VLOOKUP('Données projet'!$B$13,Paramètres!$A$1:$I$89,3,0)*VLOOKUP('Données projet'!$B$13,Paramètres!$A$1:$I$89,5,0)</f>
        <v>111.29663999999997</v>
      </c>
      <c r="CV37" s="13">
        <f t="shared" si="41"/>
        <v>29.636274399319749</v>
      </c>
      <c r="CW37" s="20">
        <f t="shared" si="13"/>
        <v>245.45815924548182</v>
      </c>
      <c r="CX37" s="59">
        <f t="shared" si="14"/>
        <v>488.23159070759743</v>
      </c>
      <c r="CY37" s="59">
        <f ca="1">AVERAGE(OFFSET($CX$3,0,0,'Données projet'!$E$13+1,1))-AVERAGE(OFFSET($H$3,0,0,'Données projet'!$E$13+1,1))</f>
        <v>287.28439432670405</v>
      </c>
      <c r="CZ37" s="59">
        <f t="shared" si="42"/>
        <v>276.01618888357268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6.2966517091937853</v>
      </c>
      <c r="DH37" s="21">
        <f>EXP(-LN(2)/2)*DH36+(1-EXP(-LN(2)/2))/(LN(2)/2)*DB37*DE37*VLOOKUP('Données projet'!$B$13,Paramètres!$A$1:$I$89,3,0)*0.475*44/12</f>
        <v>1.3069012162783546</v>
      </c>
      <c r="DI37" s="22">
        <f t="shared" si="15"/>
        <v>7.6035529254721403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2.4358974358974343</v>
      </c>
      <c r="DO37" s="12">
        <f>IF('Données projet'!$A$166&gt;35,DO36+DN37-DW36,IF(A37&lt;'Données projet'!$A$166,$DL$205^A37,IF(A37='Données projet'!$A$166,'Données projet'!$B$166,DO36+DN37-DW36)))</f>
        <v>38.589743589743577</v>
      </c>
      <c r="DP37" s="17">
        <f>DO37*VLOOKUP('Données projet'!$B$14,Paramètres!$A$1:$I$89,3,0)*VLOOKUP('Données projet'!$B$14,Paramètres!$A$1:$I$89,5,0)</f>
        <v>37.323999999999991</v>
      </c>
      <c r="DQ37" s="13">
        <f t="shared" si="43"/>
        <v>11.286539904062446</v>
      </c>
      <c r="DR37" s="20">
        <f t="shared" si="16"/>
        <v>84.663356999575399</v>
      </c>
      <c r="DS37" s="59">
        <f t="shared" si="17"/>
        <v>327.43678846169098</v>
      </c>
      <c r="DT37" s="59">
        <f ca="1">AVERAGE(OFFSET($DS$3,0,0,'Données projet'!$E$14+1,1))-AVERAGE(OFFSET($H$3,0,0,'Données projet'!$E$14+1,1))</f>
        <v>206.5245935130306</v>
      </c>
      <c r="DU37" s="59">
        <f t="shared" si="44"/>
        <v>130.57011290898546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1.0401259750139304</v>
      </c>
      <c r="EC37" s="21">
        <f>EXP(-LN(2)/2)*EC36+(1-EXP(-LN(2)/2))/(LN(2)/2)*DW37*DZ37*VLOOKUP('Données projet'!$B$14,Paramètres!$A$1:$I$89,3,0)*0.475*44/12</f>
        <v>0.3506626010258917</v>
      </c>
      <c r="ED37" s="22">
        <f t="shared" si="18"/>
        <v>1.3907885760398222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7.7715686274509812</v>
      </c>
      <c r="EJ37" s="12">
        <f>IF('Données projet'!$A$192&gt;35,EJ36+EI37-ER36,IF(A37&lt;'Données projet'!$A$192,$EG$205^A37,IF(A37='Données projet'!$A$192,'Données projet'!$B$192,EJ36+EI37-ER36)))</f>
        <v>264.23333333333341</v>
      </c>
      <c r="EK37" s="17">
        <f>EJ37*VLOOKUP('Données projet'!$B$15,Paramètres!$A$1:$I$89,3,0)*VLOOKUP('Données projet'!$B$15,Paramètres!$A$1:$I$89,5,0)</f>
        <v>123.66120000000004</v>
      </c>
      <c r="EL37" s="13">
        <f t="shared" si="45"/>
        <v>32.527414732098869</v>
      </c>
      <c r="EM37" s="20">
        <f t="shared" si="19"/>
        <v>272.02850399173889</v>
      </c>
      <c r="EN37" s="59">
        <f t="shared" si="20"/>
        <v>514.80193545385441</v>
      </c>
      <c r="EO37" s="59">
        <f ca="1">AVERAGE(OFFSET($EN$3,0,0,'Données projet'!$E$15+1,1))-AVERAGE(OFFSET($H$3,0,0,'Données projet'!$E$15+1,1))</f>
        <v>374.38106339726073</v>
      </c>
      <c r="EP37" s="59">
        <f t="shared" si="46"/>
        <v>296.53283288925957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9">
        <f t="shared" si="0"/>
        <v>528.54387382962682</v>
      </c>
      <c r="S38" s="59">
        <f ca="1">AVERAGE(OFFSET($R$3,0,0,'Données projet'!$E$9+1,1))-AVERAGE(OFFSET($H$3,0,0,'Données projet'!$E$9+1,1))</f>
        <v>681.47578137804555</v>
      </c>
      <c r="T38" s="59">
        <f t="shared" si="34"/>
        <v>300.88511065995885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110.38560000000001</v>
      </c>
      <c r="AK38" s="13">
        <f t="shared" si="35"/>
        <v>29.421816429201407</v>
      </c>
      <c r="AL38" s="20">
        <f t="shared" si="4"/>
        <v>243.49791694752579</v>
      </c>
      <c r="AM38" s="59">
        <f t="shared" si="5"/>
        <v>487.1484496721003</v>
      </c>
      <c r="AN38" s="59">
        <f ca="1">AVERAGE(OFFSET($AM$3,0,0,'Données projet'!$E$10+1,1))-AVERAGE(OFFSET($H$3,0,0,'Données projet'!$E$10+1,1))</f>
        <v>423.80243030843661</v>
      </c>
      <c r="AO38" s="59">
        <f t="shared" si="36"/>
        <v>260.29028006191834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0.1075</v>
      </c>
      <c r="AT38" s="16">
        <f>IF(ISNA(VLOOKUP(A38,'Données projet'!$A$61:$I$81,7,0)),0%,VLOOKUP(A38,'Données projet'!$A$61:$I$81,7,0))</f>
        <v>0.25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5.1076435184175626</v>
      </c>
      <c r="AW38" s="21">
        <f>EXP(-LN(2)/2)*AW37+(1-EXP(-LN(2)/2))/(LN(2)/2)*AQ38*AT38*VLOOKUP('Données projet'!$B$10,Paramètres!$A$1:$I$89,3,0)*0.475*44/12</f>
        <v>5.6031663717235407</v>
      </c>
      <c r="AX38" s="21">
        <f t="shared" si="6"/>
        <v>10.710809890141103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16.693750000000001</v>
      </c>
      <c r="BD38" s="12">
        <f>IF('Données projet'!$A$88&gt;35,BD37+BC38-BL37,IF(A38&lt;'Données projet'!$A$88,$BA$205^A38,IF(A38='Données projet'!$A$88,'Données projet'!$B$88,BD37+BC38-BL37)))</f>
        <v>200.57750000000001</v>
      </c>
      <c r="BE38" s="13">
        <f>BD38*VLOOKUP('Données projet'!$B$11,Paramètres!$A$1:$I$89,3,0)*VLOOKUP('Données projet'!$B$11,Paramètres!$A$1:$I$89,5,0)</f>
        <v>119.94534500000002</v>
      </c>
      <c r="BF38" s="13">
        <f t="shared" si="37"/>
        <v>31.662251574949313</v>
      </c>
      <c r="BG38" s="20">
        <f t="shared" si="7"/>
        <v>264.04989736803674</v>
      </c>
      <c r="BH38" s="59">
        <f t="shared" si="8"/>
        <v>507.70043009261121</v>
      </c>
      <c r="BI38" s="59">
        <f ca="1">AVERAGE(OFFSET($BH$3,0,0,'Données projet'!$E$11+1,1))-AVERAGE(OFFSET($H$3,0,0,'Données projet'!$E$11+1,1))</f>
        <v>373.61861223558259</v>
      </c>
      <c r="BJ38" s="59">
        <f t="shared" si="38"/>
        <v>277.62293009761049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10.847598509619193</v>
      </c>
      <c r="BQ38" s="21">
        <f>EXP(-LN(2)/25)*BQ37+(1-EXP(-LN(2)/25))/(LN(2)/25)*Calculateur!BL38*Calculateur!BN38*VLOOKUP('Données projet'!$B$11,Paramètres!$A$1:$I$89,3,0)*0.475*44/12</f>
        <v>15.105730813201706</v>
      </c>
      <c r="BR38" s="21">
        <f>EXP(-LN(2)/2)*BR37+(1-EXP(-LN(2)/2))/(LN(2)/2)*BL38*BO38*VLOOKUP('Données projet'!$B$11,Paramètres!$A$1:$I$89,3,0)*0.475*44/12</f>
        <v>7.2509034196395792</v>
      </c>
      <c r="BS38" s="22">
        <f t="shared" si="9"/>
        <v>33.204232742460476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98.07692307692308</v>
      </c>
      <c r="BW38" s="12">
        <f>VLOOKUP(A38,'Données projet'!$A$113:$I$133,9,0)</f>
        <v>5.3846153846153868</v>
      </c>
      <c r="BX38" s="12">
        <f t="array" ref="BX38">INDEX(BW:BW,MIN(IF(ISNUMBER(BW38:BW234),ROW(BW38:BW234),"")))</f>
        <v>5.3846153846153868</v>
      </c>
      <c r="BY38" s="12">
        <f>IF('Données projet'!$A$114&gt;35,BY37+BX38-CG37,IF(A38&lt;'Données projet'!$A$114,$BV$205^A38,IF(A38='Données projet'!$A$114,'Données projet'!$B$114,BY37+BX38-CG37)))</f>
        <v>98.076923076923094</v>
      </c>
      <c r="BZ38" s="13">
        <f>BY38*VLOOKUP('Données projet'!$B$12,Paramètres!$A$1:$I$89,3,0)*VLOOKUP('Données projet'!$B$12,Paramètres!$A$1:$I$89,5,0)</f>
        <v>85.680000000000035</v>
      </c>
      <c r="CA38" s="13">
        <f t="shared" si="39"/>
        <v>23.520381071926291</v>
      </c>
      <c r="CB38" s="20">
        <f t="shared" si="10"/>
        <v>190.19066370027167</v>
      </c>
      <c r="CC38" s="59">
        <f t="shared" si="11"/>
        <v>433.8411964248462</v>
      </c>
      <c r="CD38" s="59">
        <f ca="1">AVERAGE(OFFSET($CC$3,0,0,'Données projet'!$E$12+1,1))-AVERAGE(OFFSET($H$3,0,0,'Données projet'!$E$12+1,1))</f>
        <v>251.30277097589737</v>
      </c>
      <c r="CE38" s="59">
        <f t="shared" si="40"/>
        <v>224.11983819941796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15.384615384615383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0.215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11.848702208481434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11.848702208481434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136</v>
      </c>
      <c r="CR38" s="12">
        <f>VLOOKUP(A38,'Données projet'!$A$139:$I$159,9,0)</f>
        <v>8.6</v>
      </c>
      <c r="CS38" s="12">
        <f t="array" ref="CS38">INDEX(CR:CR,MIN(IF(ISNUMBER(CR38:CR234),ROW(CR38:CR234),"")))</f>
        <v>8.6</v>
      </c>
      <c r="CT38" s="12">
        <f>IF('Données projet'!$A$140&gt;35,CT37+CS38-DB37,IF(A38&lt;'Données projet'!$A$140,$CQ$205^A38,IF(A38='Données projet'!$A$140,'Données projet'!$B$140,CT37+CS38-DB37)))</f>
        <v>135.99999999999997</v>
      </c>
      <c r="CU38" s="17">
        <f>CT38*VLOOKUP('Données projet'!$B$13,Paramètres!$A$1:$I$89,3,0)*VLOOKUP('Données projet'!$B$13,Paramètres!$A$1:$I$89,5,0)</f>
        <v>118.8096</v>
      </c>
      <c r="CV38" s="13">
        <f t="shared" si="41"/>
        <v>31.39719715333722</v>
      </c>
      <c r="CW38" s="20">
        <f t="shared" si="13"/>
        <v>261.61017170872896</v>
      </c>
      <c r="CX38" s="59">
        <f t="shared" si="14"/>
        <v>505.26070443330343</v>
      </c>
      <c r="CY38" s="59">
        <f ca="1">AVERAGE(OFFSET($CX$3,0,0,'Données projet'!$E$13+1,1))-AVERAGE(OFFSET($H$3,0,0,'Données projet'!$E$13+1,1))</f>
        <v>287.28439432670405</v>
      </c>
      <c r="CZ38" s="59">
        <f t="shared" si="42"/>
        <v>276.01618888357268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0.13250000000000001</v>
      </c>
      <c r="DE38" s="16">
        <f>IF(ISNA(VLOOKUP(A38,'Données projet'!$A$139:$I$159,7,0)),0%,VLOOKUP(A38,'Données projet'!$A$139:$I$159,7,0))</f>
        <v>0.25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8.8010575853932576</v>
      </c>
      <c r="DH38" s="21">
        <f>EXP(-LN(2)/2)*DH37+(1-EXP(-LN(2)/2))/(LN(2)/2)*DB38*DE38*VLOOKUP('Données projet'!$B$13,Paramètres!$A$1:$I$89,3,0)*0.475*44/12</f>
        <v>5.2515105535175248</v>
      </c>
      <c r="DI38" s="22">
        <f t="shared" si="15"/>
        <v>14.052568138910782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41.025641025641022</v>
      </c>
      <c r="DM38" s="12">
        <f>VLOOKUP(A38,'Données projet'!$A$165:$I$185,9,0)</f>
        <v>2.4358974358974343</v>
      </c>
      <c r="DN38" s="12">
        <f t="array" ref="DN38">INDEX(DM:DM,MIN(IF(ISNUMBER(DM38:DM234),ROW(DM38:DM234),"")))</f>
        <v>2.4358974358974343</v>
      </c>
      <c r="DO38" s="12">
        <f>IF('Données projet'!$A$166&gt;35,DO37+DN38-DW37,IF(A38&lt;'Données projet'!$A$166,$DL$205^A38,IF(A38='Données projet'!$A$166,'Données projet'!$B$166,DO37+DN38-DW37)))</f>
        <v>41.025641025641008</v>
      </c>
      <c r="DP38" s="17">
        <f>DO38*VLOOKUP('Données projet'!$B$14,Paramètres!$A$1:$I$89,3,0)*VLOOKUP('Données projet'!$B$14,Paramètres!$A$1:$I$89,5,0)</f>
        <v>39.679999999999986</v>
      </c>
      <c r="DQ38" s="13">
        <f t="shared" si="43"/>
        <v>11.913791263030925</v>
      </c>
      <c r="DR38" s="20">
        <f t="shared" si="16"/>
        <v>89.859186449778818</v>
      </c>
      <c r="DS38" s="59">
        <f t="shared" si="17"/>
        <v>333.50971917435334</v>
      </c>
      <c r="DT38" s="59">
        <f ca="1">AVERAGE(OFFSET($DS$3,0,0,'Données projet'!$E$14+1,1))-AVERAGE(OFFSET($H$3,0,0,'Données projet'!$E$14+1,1))</f>
        <v>206.5245935130306</v>
      </c>
      <c r="DU38" s="59">
        <f t="shared" si="44"/>
        <v>130.57011290898546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5.7692307692307692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0.1075</v>
      </c>
      <c r="DZ38" s="16">
        <f>IF(ISNA(VLOOKUP(A38,'Données projet'!$A$165:$I$185,7,0)),0%,VLOOKUP(A38,'Données projet'!$A$165:$I$185,7,0))</f>
        <v>0.25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1.6721891407300071</v>
      </c>
      <c r="EC38" s="21">
        <f>EXP(-LN(2)/2)*EC37+(1-EXP(-LN(2)/2))/(LN(2)/2)*DW38*DZ38*VLOOKUP('Données projet'!$B$14,Paramètres!$A$1:$I$89,3,0)*0.475*44/12</f>
        <v>1.5641759489684373</v>
      </c>
      <c r="ED38" s="22">
        <f t="shared" si="18"/>
        <v>3.2363650896984444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7.7715686274509812</v>
      </c>
      <c r="EJ38" s="12">
        <f>IF('Données projet'!$A$192&gt;35,EJ37+EI38-ER37,IF(A38&lt;'Données projet'!$A$192,$EG$205^A38,IF(A38='Données projet'!$A$192,'Données projet'!$B$192,EJ37+EI38-ER37)))</f>
        <v>272.00490196078437</v>
      </c>
      <c r="EK38" s="17">
        <f>EJ38*VLOOKUP('Données projet'!$B$15,Paramètres!$A$1:$I$89,3,0)*VLOOKUP('Données projet'!$B$15,Paramètres!$A$1:$I$89,5,0)</f>
        <v>127.29829411764709</v>
      </c>
      <c r="EL38" s="13">
        <f t="shared" si="45"/>
        <v>33.371313429015686</v>
      </c>
      <c r="EM38" s="20">
        <f t="shared" si="19"/>
        <v>279.83289981043765</v>
      </c>
      <c r="EN38" s="59">
        <f t="shared" si="20"/>
        <v>523.48343253501218</v>
      </c>
      <c r="EO38" s="59">
        <f ca="1">AVERAGE(OFFSET($EN$3,0,0,'Données projet'!$E$15+1,1))-AVERAGE(OFFSET($H$3,0,0,'Données projet'!$E$15+1,1))</f>
        <v>374.38106339726073</v>
      </c>
      <c r="EP38" s="59">
        <f t="shared" si="46"/>
        <v>296.53283288925957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9">
        <f t="shared" si="0"/>
        <v>537.3466565983415</v>
      </c>
      <c r="S39" s="59">
        <f ca="1">AVERAGE(OFFSET($R$3,0,0,'Données projet'!$E$9+1,1))-AVERAGE(OFFSET($H$3,0,0,'Données projet'!$E$9+1,1))</f>
        <v>681.47578137804555</v>
      </c>
      <c r="T39" s="59">
        <f t="shared" si="34"/>
        <v>300.88511065995885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98.395440000000008</v>
      </c>
      <c r="AK39" s="13">
        <f t="shared" si="35"/>
        <v>26.57937412584554</v>
      </c>
      <c r="AL39" s="20">
        <f t="shared" si="4"/>
        <v>217.66446793584763</v>
      </c>
      <c r="AM39" s="59">
        <f t="shared" si="5"/>
        <v>462.17688617688202</v>
      </c>
      <c r="AN39" s="59">
        <f ca="1">AVERAGE(OFFSET($AM$3,0,0,'Données projet'!$E$10+1,1))-AVERAGE(OFFSET($H$3,0,0,'Données projet'!$E$10+1,1))</f>
        <v>423.80243030843661</v>
      </c>
      <c r="AO39" s="59">
        <f t="shared" si="36"/>
        <v>260.29028006191834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4.9679747378071353</v>
      </c>
      <c r="AW39" s="21">
        <f>EXP(-LN(2)/2)*AW38+(1-EXP(-LN(2)/2))/(LN(2)/2)*AQ39*AT39*VLOOKUP('Données projet'!$B$10,Paramètres!$A$1:$I$89,3,0)*0.475*44/12</f>
        <v>3.9620369375621394</v>
      </c>
      <c r="AX39" s="21">
        <f t="shared" si="6"/>
        <v>8.9300116753692755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16.693750000000001</v>
      </c>
      <c r="BD39" s="12">
        <f>IF('Données projet'!$A$88&gt;35,BD38+BC39-BL38,IF(A39&lt;'Données projet'!$A$88,$BA$205^A39,IF(A39='Données projet'!$A$88,'Données projet'!$B$88,BD38+BC39-BL38)))</f>
        <v>217.27125000000001</v>
      </c>
      <c r="BE39" s="13">
        <f>BD39*VLOOKUP('Données projet'!$B$11,Paramètres!$A$1:$I$89,3,0)*VLOOKUP('Données projet'!$B$11,Paramètres!$A$1:$I$89,5,0)</f>
        <v>129.92820750000001</v>
      </c>
      <c r="BF39" s="13">
        <f t="shared" si="37"/>
        <v>33.97976966017913</v>
      </c>
      <c r="BG39" s="20">
        <f t="shared" si="7"/>
        <v>285.47306022064532</v>
      </c>
      <c r="BH39" s="59">
        <f t="shared" si="8"/>
        <v>529.9854784616798</v>
      </c>
      <c r="BI39" s="59">
        <f ca="1">AVERAGE(OFFSET($BH$3,0,0,'Données projet'!$E$11+1,1))-AVERAGE(OFFSET($H$3,0,0,'Données projet'!$E$11+1,1))</f>
        <v>373.61861223558259</v>
      </c>
      <c r="BJ39" s="59">
        <f t="shared" si="38"/>
        <v>277.62293009761049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10.634883719227338</v>
      </c>
      <c r="BQ39" s="21">
        <f>EXP(-LN(2)/25)*BQ38+(1-EXP(-LN(2)/25))/(LN(2)/25)*Calculateur!BL39*Calculateur!BN39*VLOOKUP('Données projet'!$B$11,Paramètres!$A$1:$I$89,3,0)*0.475*44/12</f>
        <v>14.692663809738846</v>
      </c>
      <c r="BR39" s="21">
        <f>EXP(-LN(2)/2)*BR38+(1-EXP(-LN(2)/2))/(LN(2)/2)*BL39*BO39*VLOOKUP('Données projet'!$B$11,Paramètres!$A$1:$I$89,3,0)*0.475*44/12</f>
        <v>5.1271629777558738</v>
      </c>
      <c r="BS39" s="22">
        <f t="shared" si="9"/>
        <v>30.454710506722058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4.9999999999999973</v>
      </c>
      <c r="BY39" s="12">
        <f>IF('Données projet'!$A$114&gt;35,BY38+BX39-CG38,IF(A39&lt;'Données projet'!$A$114,$BV$205^A39,IF(A39='Données projet'!$A$114,'Données projet'!$B$114,BY38+BX39-CG38)))</f>
        <v>87.692307692307708</v>
      </c>
      <c r="BZ39" s="13">
        <f>BY39*VLOOKUP('Données projet'!$B$12,Paramètres!$A$1:$I$89,3,0)*VLOOKUP('Données projet'!$B$12,Paramètres!$A$1:$I$89,5,0)</f>
        <v>76.608000000000018</v>
      </c>
      <c r="CA39" s="13">
        <f t="shared" si="39"/>
        <v>21.305742859224864</v>
      </c>
      <c r="CB39" s="20">
        <f t="shared" si="10"/>
        <v>170.53310214648332</v>
      </c>
      <c r="CC39" s="59">
        <f t="shared" si="11"/>
        <v>415.04552038751774</v>
      </c>
      <c r="CD39" s="59">
        <f ca="1">AVERAGE(OFFSET($CC$3,0,0,'Données projet'!$E$12+1,1))-AVERAGE(OFFSET($H$3,0,0,'Données projet'!$E$12+1,1))</f>
        <v>251.30277097589737</v>
      </c>
      <c r="CE39" s="59">
        <f t="shared" si="40"/>
        <v>224.11983819941796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11.52469882349434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11.52469882349434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7.6</v>
      </c>
      <c r="CT39" s="12">
        <f>IF('Données projet'!$A$140&gt;35,CT38+CS39-DB38,IF(A39&lt;'Données projet'!$A$140,$CQ$205^A39,IF(A39='Données projet'!$A$140,'Données projet'!$B$140,CT38+CS39-DB38)))</f>
        <v>122.59999999999997</v>
      </c>
      <c r="CU39" s="17">
        <f>CT39*VLOOKUP('Données projet'!$B$13,Paramètres!$A$1:$I$89,3,0)*VLOOKUP('Données projet'!$B$13,Paramètres!$A$1:$I$89,5,0)</f>
        <v>107.10336</v>
      </c>
      <c r="CV39" s="13">
        <f t="shared" si="41"/>
        <v>28.647457255358184</v>
      </c>
      <c r="CW39" s="20">
        <f t="shared" si="13"/>
        <v>236.43267338641553</v>
      </c>
      <c r="CX39" s="59">
        <f t="shared" si="14"/>
        <v>480.94509162744998</v>
      </c>
      <c r="CY39" s="59">
        <f ca="1">AVERAGE(OFFSET($CX$3,0,0,'Données projet'!$E$13+1,1))-AVERAGE(OFFSET($H$3,0,0,'Données projet'!$E$13+1,1))</f>
        <v>287.28439432670405</v>
      </c>
      <c r="CZ39" s="59">
        <f t="shared" si="42"/>
        <v>276.01618888357268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8.5603922028931763</v>
      </c>
      <c r="DH39" s="21">
        <f>EXP(-LN(2)/2)*DH38+(1-EXP(-LN(2)/2))/(LN(2)/2)*DB39*DE39*VLOOKUP('Données projet'!$B$13,Paramètres!$A$1:$I$89,3,0)*0.475*44/12</f>
        <v>3.7133787238649618</v>
      </c>
      <c r="DI39" s="22">
        <f t="shared" si="15"/>
        <v>12.273770926758138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2.5641025641025634</v>
      </c>
      <c r="DO39" s="12">
        <f>IF('Données projet'!$A$166&gt;35,DO38+DN39-DW38,IF(A39&lt;'Données projet'!$A$166,$DL$205^A39,IF(A39='Données projet'!$A$166,'Données projet'!$B$166,DO38+DN39-DW38)))</f>
        <v>37.820512820512803</v>
      </c>
      <c r="DP39" s="17">
        <f>DO39*VLOOKUP('Données projet'!$B$14,Paramètres!$A$1:$I$89,3,0)*VLOOKUP('Données projet'!$B$14,Paramètres!$A$1:$I$89,5,0)</f>
        <v>36.579999999999984</v>
      </c>
      <c r="DQ39" s="13">
        <f t="shared" si="43"/>
        <v>11.087514459064737</v>
      </c>
      <c r="DR39" s="20">
        <f t="shared" si="16"/>
        <v>83.020921016204383</v>
      </c>
      <c r="DS39" s="59">
        <f t="shared" si="17"/>
        <v>327.53333925723882</v>
      </c>
      <c r="DT39" s="59">
        <f ca="1">AVERAGE(OFFSET($DS$3,0,0,'Données projet'!$E$14+1,1))-AVERAGE(OFFSET($H$3,0,0,'Données projet'!$E$14+1,1))</f>
        <v>206.5245935130306</v>
      </c>
      <c r="DU39" s="59">
        <f t="shared" si="44"/>
        <v>130.57011290898546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1.6264630407401399</v>
      </c>
      <c r="EC39" s="21">
        <f>EXP(-LN(2)/2)*EC38+(1-EXP(-LN(2)/2))/(LN(2)/2)*DW39*DZ39*VLOOKUP('Données projet'!$B$14,Paramètres!$A$1:$I$89,3,0)*0.475*44/12</f>
        <v>1.1060394204844852</v>
      </c>
      <c r="ED39" s="22">
        <f t="shared" si="18"/>
        <v>2.7325024612246249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7.7715686274509812</v>
      </c>
      <c r="EJ39" s="12">
        <f>IF('Données projet'!$A$192&gt;35,EJ38+EI39-ER38,IF(A39&lt;'Données projet'!$A$192,$EG$205^A39,IF(A39='Données projet'!$A$192,'Données projet'!$B$192,EJ38+EI39-ER38)))</f>
        <v>279.77647058823533</v>
      </c>
      <c r="EK39" s="17">
        <f>EJ39*VLOOKUP('Données projet'!$B$15,Paramètres!$A$1:$I$89,3,0)*VLOOKUP('Données projet'!$B$15,Paramètres!$A$1:$I$89,5,0)</f>
        <v>130.93538823529414</v>
      </c>
      <c r="EL39" s="13">
        <f t="shared" si="45"/>
        <v>34.212409818864202</v>
      </c>
      <c r="EM39" s="20">
        <f t="shared" si="19"/>
        <v>287.63241494432572</v>
      </c>
      <c r="EN39" s="59">
        <f t="shared" si="20"/>
        <v>532.14483318536008</v>
      </c>
      <c r="EO39" s="59">
        <f ca="1">AVERAGE(OFFSET($EN$3,0,0,'Données projet'!$E$15+1,1))-AVERAGE(OFFSET($H$3,0,0,'Données projet'!$E$15+1,1))</f>
        <v>374.38106339726073</v>
      </c>
      <c r="EP39" s="59">
        <f t="shared" si="46"/>
        <v>296.53283288925957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9">
        <f t="shared" si="0"/>
        <v>546.12968066838414</v>
      </c>
      <c r="S40" s="59">
        <f ca="1">AVERAGE(OFFSET($R$3,0,0,'Données projet'!$E$9+1,1))-AVERAGE(OFFSET($H$3,0,0,'Données projet'!$E$9+1,1))</f>
        <v>681.47578137804555</v>
      </c>
      <c r="T40" s="59">
        <f t="shared" si="34"/>
        <v>300.88511065995885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106.38888000000001</v>
      </c>
      <c r="AK40" s="13">
        <f t="shared" si="35"/>
        <v>28.478530760975403</v>
      </c>
      <c r="AL40" s="20">
        <f t="shared" si="4"/>
        <v>234.89407374203219</v>
      </c>
      <c r="AM40" s="59">
        <f t="shared" si="5"/>
        <v>480.25342571270329</v>
      </c>
      <c r="AN40" s="59">
        <f ca="1">AVERAGE(OFFSET($AM$3,0,0,'Données projet'!$E$10+1,1))-AVERAGE(OFFSET($H$3,0,0,'Données projet'!$E$10+1,1))</f>
        <v>423.80243030843661</v>
      </c>
      <c r="AO40" s="59">
        <f t="shared" si="36"/>
        <v>260.29028006191834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4.832125207347362</v>
      </c>
      <c r="AW40" s="21">
        <f>EXP(-LN(2)/2)*AW39+(1-EXP(-LN(2)/2))/(LN(2)/2)*AQ40*AT40*VLOOKUP('Données projet'!$B$10,Paramètres!$A$1:$I$89,3,0)*0.475*44/12</f>
        <v>2.8015831858617708</v>
      </c>
      <c r="AX40" s="21">
        <f t="shared" si="6"/>
        <v>7.6337083932091332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16.693750000000001</v>
      </c>
      <c r="BD40" s="12">
        <f>IF('Données projet'!$A$88&gt;35,BD39+BC40-BL39,IF(A40&lt;'Données projet'!$A$88,$BA$205^A40,IF(A40='Données projet'!$A$88,'Données projet'!$B$88,BD39+BC40-BL39)))</f>
        <v>233.965</v>
      </c>
      <c r="BE40" s="13">
        <f>BD40*VLOOKUP('Données projet'!$B$11,Paramètres!$A$1:$I$89,3,0)*VLOOKUP('Données projet'!$B$11,Paramètres!$A$1:$I$89,5,0)</f>
        <v>139.91107000000002</v>
      </c>
      <c r="BF40" s="13">
        <f t="shared" si="37"/>
        <v>36.276632127461212</v>
      </c>
      <c r="BG40" s="20">
        <f t="shared" si="7"/>
        <v>306.860247871995</v>
      </c>
      <c r="BH40" s="59">
        <f t="shared" si="8"/>
        <v>552.21959984266607</v>
      </c>
      <c r="BI40" s="59">
        <f ca="1">AVERAGE(OFFSET($BH$3,0,0,'Données projet'!$E$11+1,1))-AVERAGE(OFFSET($H$3,0,0,'Données projet'!$E$11+1,1))</f>
        <v>373.61861223558259</v>
      </c>
      <c r="BJ40" s="59">
        <f t="shared" si="38"/>
        <v>277.62293009761049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10.426340136131856</v>
      </c>
      <c r="BQ40" s="21">
        <f>EXP(-LN(2)/25)*BQ39+(1-EXP(-LN(2)/25))/(LN(2)/25)*Calculateur!BL40*Calculateur!BN40*VLOOKUP('Données projet'!$B$11,Paramètres!$A$1:$I$89,3,0)*0.475*44/12</f>
        <v>14.290892145207929</v>
      </c>
      <c r="BR40" s="21">
        <f>EXP(-LN(2)/2)*BR39+(1-EXP(-LN(2)/2))/(LN(2)/2)*BL40*BO40*VLOOKUP('Données projet'!$B$11,Paramètres!$A$1:$I$89,3,0)*0.475*44/12</f>
        <v>3.6254517098197905</v>
      </c>
      <c r="BS40" s="22">
        <f t="shared" si="9"/>
        <v>28.342683991159575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4.9999999999999973</v>
      </c>
      <c r="BY40" s="12">
        <f>IF('Données projet'!$A$114&gt;35,BY39+BX40-CG39,IF(A40&lt;'Données projet'!$A$114,$BV$205^A40,IF(A40='Données projet'!$A$114,'Données projet'!$B$114,BY39+BX40-CG39)))</f>
        <v>92.692307692307708</v>
      </c>
      <c r="BZ40" s="13">
        <f>BY40*VLOOKUP('Données projet'!$B$12,Paramètres!$A$1:$I$89,3,0)*VLOOKUP('Données projet'!$B$12,Paramètres!$A$1:$I$89,5,0)</f>
        <v>80.976000000000028</v>
      </c>
      <c r="CA40" s="13">
        <f t="shared" si="39"/>
        <v>22.375652525067999</v>
      </c>
      <c r="CB40" s="20">
        <f t="shared" si="10"/>
        <v>180.0041281478268</v>
      </c>
      <c r="CC40" s="59">
        <f t="shared" si="11"/>
        <v>425.36348011849793</v>
      </c>
      <c r="CD40" s="59">
        <f ca="1">AVERAGE(OFFSET($CC$3,0,0,'Données projet'!$E$12+1,1))-AVERAGE(OFFSET($H$3,0,0,'Données projet'!$E$12+1,1))</f>
        <v>251.30277097589737</v>
      </c>
      <c r="CE40" s="59">
        <f t="shared" si="40"/>
        <v>224.11983819941796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11.209555328108316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11.209555328108316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7.6</v>
      </c>
      <c r="CT40" s="12">
        <f>IF('Données projet'!$A$140&gt;35,CT39+CS40-DB39,IF(A40&lt;'Données projet'!$A$140,$CQ$205^A40,IF(A40='Données projet'!$A$140,'Données projet'!$B$140,CT39+CS40-DB39)))</f>
        <v>130.19999999999996</v>
      </c>
      <c r="CU40" s="17">
        <f>CT40*VLOOKUP('Données projet'!$B$13,Paramètres!$A$1:$I$89,3,0)*VLOOKUP('Données projet'!$B$13,Paramètres!$A$1:$I$89,5,0)</f>
        <v>113.74271999999996</v>
      </c>
      <c r="CV40" s="13">
        <f t="shared" si="41"/>
        <v>30.211074114233345</v>
      </c>
      <c r="CW40" s="20">
        <f t="shared" si="13"/>
        <v>250.71952474895636</v>
      </c>
      <c r="CX40" s="59">
        <f t="shared" si="14"/>
        <v>496.07887671962749</v>
      </c>
      <c r="CY40" s="59">
        <f ca="1">AVERAGE(OFFSET($CX$3,0,0,'Données projet'!$E$13+1,1))-AVERAGE(OFFSET($H$3,0,0,'Données projet'!$E$13+1,1))</f>
        <v>287.28439432670405</v>
      </c>
      <c r="CZ40" s="59">
        <f t="shared" si="42"/>
        <v>276.01618888357268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8.3263078279336007</v>
      </c>
      <c r="DH40" s="21">
        <f>EXP(-LN(2)/2)*DH39+(1-EXP(-LN(2)/2))/(LN(2)/2)*DB40*DE40*VLOOKUP('Données projet'!$B$13,Paramètres!$A$1:$I$89,3,0)*0.475*44/12</f>
        <v>2.6257552767587629</v>
      </c>
      <c r="DI40" s="22">
        <f t="shared" si="15"/>
        <v>10.952063104692364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2.5641025641025634</v>
      </c>
      <c r="DO40" s="12">
        <f>IF('Données projet'!$A$166&gt;35,DO39+DN40-DW39,IF(A40&lt;'Données projet'!$A$166,$DL$205^A40,IF(A40='Données projet'!$A$166,'Données projet'!$B$166,DO39+DN40-DW39)))</f>
        <v>40.384615384615365</v>
      </c>
      <c r="DP40" s="17">
        <f>DO40*VLOOKUP('Données projet'!$B$14,Paramètres!$A$1:$I$89,3,0)*VLOOKUP('Données projet'!$B$14,Paramètres!$A$1:$I$89,5,0)</f>
        <v>39.059999999999981</v>
      </c>
      <c r="DQ40" s="13">
        <f t="shared" si="43"/>
        <v>11.749156027061501</v>
      </c>
      <c r="DR40" s="20">
        <f t="shared" si="16"/>
        <v>88.492613413798736</v>
      </c>
      <c r="DS40" s="59">
        <f t="shared" si="17"/>
        <v>333.85196538446985</v>
      </c>
      <c r="DT40" s="59">
        <f ca="1">AVERAGE(OFFSET($DS$3,0,0,'Données projet'!$E$14+1,1))-AVERAGE(OFFSET($H$3,0,0,'Données projet'!$E$14+1,1))</f>
        <v>206.5245935130306</v>
      </c>
      <c r="DU40" s="59">
        <f t="shared" si="44"/>
        <v>130.57011290898546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1.5819873233591268</v>
      </c>
      <c r="EC40" s="21">
        <f>EXP(-LN(2)/2)*EC39+(1-EXP(-LN(2)/2))/(LN(2)/2)*DW40*DZ40*VLOOKUP('Données projet'!$B$14,Paramètres!$A$1:$I$89,3,0)*0.475*44/12</f>
        <v>0.78208797448421874</v>
      </c>
      <c r="ED40" s="22">
        <f t="shared" si="18"/>
        <v>2.3640752978433457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7.7715686274509812</v>
      </c>
      <c r="EJ40" s="12">
        <f>IF('Données projet'!$A$192&gt;35,EJ39+EI40-ER39,IF(A40&lt;'Données projet'!$A$192,$EG$205^A40,IF(A40='Données projet'!$A$192,'Données projet'!$B$192,EJ39+EI40-ER39)))</f>
        <v>287.54803921568629</v>
      </c>
      <c r="EK40" s="17">
        <f>EJ40*VLOOKUP('Données projet'!$B$15,Paramètres!$A$1:$I$89,3,0)*VLOOKUP('Données projet'!$B$15,Paramètres!$A$1:$I$89,5,0)</f>
        <v>134.57248235294117</v>
      </c>
      <c r="EL40" s="13">
        <f t="shared" si="45"/>
        <v>35.050790686567069</v>
      </c>
      <c r="EM40" s="20">
        <f t="shared" si="19"/>
        <v>295.42720054381022</v>
      </c>
      <c r="EN40" s="59">
        <f t="shared" si="20"/>
        <v>540.78655251448129</v>
      </c>
      <c r="EO40" s="59">
        <f ca="1">AVERAGE(OFFSET($EN$3,0,0,'Données projet'!$E$15+1,1))-AVERAGE(OFFSET($H$3,0,0,'Données projet'!$E$15+1,1))</f>
        <v>374.38106339726073</v>
      </c>
      <c r="EP40" s="59">
        <f t="shared" si="46"/>
        <v>296.53283288925957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9">
        <f t="shared" si="0"/>
        <v>554.89335026645574</v>
      </c>
      <c r="S41" s="59">
        <f ca="1">AVERAGE(OFFSET($R$3,0,0,'Données projet'!$E$9+1,1))-AVERAGE(OFFSET($H$3,0,0,'Données projet'!$E$9+1,1))</f>
        <v>681.47578137804555</v>
      </c>
      <c r="T41" s="59">
        <f t="shared" si="34"/>
        <v>300.88511065995885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114.38232000000001</v>
      </c>
      <c r="AK41" s="13">
        <f t="shared" si="35"/>
        <v>30.361134085955022</v>
      </c>
      <c r="AL41" s="20">
        <f t="shared" si="4"/>
        <v>252.09484919970498</v>
      </c>
      <c r="AM41" s="59">
        <f t="shared" si="5"/>
        <v>498.28644249326373</v>
      </c>
      <c r="AN41" s="59">
        <f ca="1">AVERAGE(OFFSET($AM$3,0,0,'Données projet'!$E$10+1,1))-AVERAGE(OFFSET($H$3,0,0,'Données projet'!$E$10+1,1))</f>
        <v>423.80243030843661</v>
      </c>
      <c r="AO41" s="59">
        <f t="shared" si="36"/>
        <v>260.29028006191834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4.6999904894420279</v>
      </c>
      <c r="AW41" s="21">
        <f>EXP(-LN(2)/2)*AW40+(1-EXP(-LN(2)/2))/(LN(2)/2)*AQ41*AT41*VLOOKUP('Données projet'!$B$10,Paramètres!$A$1:$I$89,3,0)*0.475*44/12</f>
        <v>1.9810184687810699</v>
      </c>
      <c r="AX41" s="21">
        <f t="shared" si="6"/>
        <v>6.6810089582230976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16.693750000000001</v>
      </c>
      <c r="BD41" s="12">
        <f>IF('Données projet'!$A$88&gt;35,BD40+BC41-BL40,IF(A41&lt;'Données projet'!$A$88,$BA$205^A41,IF(A41='Données projet'!$A$88,'Données projet'!$B$88,BD40+BC41-BL40)))</f>
        <v>250.65875</v>
      </c>
      <c r="BE41" s="13">
        <f>BD41*VLOOKUP('Données projet'!$B$11,Paramètres!$A$1:$I$89,3,0)*VLOOKUP('Données projet'!$B$11,Paramètres!$A$1:$I$89,5,0)</f>
        <v>149.89393250000001</v>
      </c>
      <c r="BF41" s="13">
        <f t="shared" si="37"/>
        <v>38.554480408619099</v>
      </c>
      <c r="BG41" s="20">
        <f t="shared" si="7"/>
        <v>328.21431914917827</v>
      </c>
      <c r="BH41" s="59">
        <f t="shared" si="8"/>
        <v>574.40591244273696</v>
      </c>
      <c r="BI41" s="59">
        <f ca="1">AVERAGE(OFFSET($BH$3,0,0,'Données projet'!$E$11+1,1))-AVERAGE(OFFSET($H$3,0,0,'Données projet'!$E$11+1,1))</f>
        <v>373.61861223558259</v>
      </c>
      <c r="BJ41" s="59">
        <f t="shared" si="38"/>
        <v>277.62293009761049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10.221885965501851</v>
      </c>
      <c r="BQ41" s="21">
        <f>EXP(-LN(2)/25)*BQ40+(1-EXP(-LN(2)/25))/(LN(2)/25)*Calculateur!BL41*Calculateur!BN41*VLOOKUP('Données projet'!$B$11,Paramètres!$A$1:$I$89,3,0)*0.475*44/12</f>
        <v>13.900106947971862</v>
      </c>
      <c r="BR41" s="21">
        <f>EXP(-LN(2)/2)*BR40+(1-EXP(-LN(2)/2))/(LN(2)/2)*BL41*BO41*VLOOKUP('Données projet'!$B$11,Paramètres!$A$1:$I$89,3,0)*0.475*44/12</f>
        <v>2.5635814888779374</v>
      </c>
      <c r="BS41" s="22">
        <f t="shared" si="9"/>
        <v>26.685574402351648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4.9999999999999973</v>
      </c>
      <c r="BY41" s="12">
        <f>IF('Données projet'!$A$114&gt;35,BY40+BX41-CG40,IF(A41&lt;'Données projet'!$A$114,$BV$205^A41,IF(A41='Données projet'!$A$114,'Données projet'!$B$114,BY40+BX41-CG40)))</f>
        <v>97.692307692307708</v>
      </c>
      <c r="BZ41" s="13">
        <f>BY41*VLOOKUP('Données projet'!$B$12,Paramètres!$A$1:$I$89,3,0)*VLOOKUP('Données projet'!$B$12,Paramètres!$A$1:$I$89,5,0)</f>
        <v>85.344000000000023</v>
      </c>
      <c r="CA41" s="13">
        <f t="shared" si="39"/>
        <v>23.438862017116406</v>
      </c>
      <c r="CB41" s="20">
        <f t="shared" si="10"/>
        <v>189.4634846798111</v>
      </c>
      <c r="CC41" s="59">
        <f t="shared" si="11"/>
        <v>435.65507797336983</v>
      </c>
      <c r="CD41" s="59">
        <f ca="1">AVERAGE(OFFSET($CC$3,0,0,'Données projet'!$E$12+1,1))-AVERAGE(OFFSET($H$3,0,0,'Données projet'!$E$12+1,1))</f>
        <v>251.30277097589737</v>
      </c>
      <c r="CE41" s="59">
        <f t="shared" si="40"/>
        <v>224.11983819941796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10.903029448176298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10.903029448176298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7.6</v>
      </c>
      <c r="CT41" s="12">
        <f>IF('Données projet'!$A$140&gt;35,CT40+CS41-DB40,IF(A41&lt;'Données projet'!$A$140,$CQ$205^A41,IF(A41='Données projet'!$A$140,'Données projet'!$B$140,CT40+CS41-DB40)))</f>
        <v>137.79999999999995</v>
      </c>
      <c r="CU41" s="17">
        <f>CT41*VLOOKUP('Données projet'!$B$13,Paramètres!$A$1:$I$89,3,0)*VLOOKUP('Données projet'!$B$13,Paramètres!$A$1:$I$89,5,0)</f>
        <v>120.38207999999997</v>
      </c>
      <c r="CV41" s="13">
        <f t="shared" si="41"/>
        <v>31.764096685603551</v>
      </c>
      <c r="CW41" s="20">
        <f t="shared" si="13"/>
        <v>264.98792439409277</v>
      </c>
      <c r="CX41" s="59">
        <f t="shared" si="14"/>
        <v>511.17951768765147</v>
      </c>
      <c r="CY41" s="59">
        <f ca="1">AVERAGE(OFFSET($CX$3,0,0,'Données projet'!$E$13+1,1))-AVERAGE(OFFSET($H$3,0,0,'Données projet'!$E$13+1,1))</f>
        <v>287.28439432670405</v>
      </c>
      <c r="CZ41" s="59">
        <f t="shared" si="42"/>
        <v>276.01618888357268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8.0986245025172572</v>
      </c>
      <c r="DH41" s="21">
        <f>EXP(-LN(2)/2)*DH40+(1-EXP(-LN(2)/2))/(LN(2)/2)*DB41*DE41*VLOOKUP('Données projet'!$B$13,Paramètres!$A$1:$I$89,3,0)*0.475*44/12</f>
        <v>1.8566893619324811</v>
      </c>
      <c r="DI41" s="22">
        <f t="shared" si="15"/>
        <v>9.9553138644497388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2.5641025641025634</v>
      </c>
      <c r="DO41" s="12">
        <f>IF('Données projet'!$A$166&gt;35,DO40+DN41-DW40,IF(A41&lt;'Données projet'!$A$166,$DL$205^A41,IF(A41='Données projet'!$A$166,'Données projet'!$B$166,DO40+DN41-DW40)))</f>
        <v>42.948717948717928</v>
      </c>
      <c r="DP41" s="17">
        <f>DO41*VLOOKUP('Données projet'!$B$14,Paramètres!$A$1:$I$89,3,0)*VLOOKUP('Données projet'!$B$14,Paramètres!$A$1:$I$89,5,0)</f>
        <v>41.539999999999978</v>
      </c>
      <c r="DQ41" s="13">
        <f t="shared" si="43"/>
        <v>12.405922316720835</v>
      </c>
      <c r="DR41" s="20">
        <f t="shared" si="16"/>
        <v>93.95581470162206</v>
      </c>
      <c r="DS41" s="59">
        <f t="shared" si="17"/>
        <v>340.1474079951808</v>
      </c>
      <c r="DT41" s="59">
        <f ca="1">AVERAGE(OFFSET($DS$3,0,0,'Données projet'!$E$14+1,1))-AVERAGE(OFFSET($H$3,0,0,'Données projet'!$E$14+1,1))</f>
        <v>206.5245935130306</v>
      </c>
      <c r="DU41" s="59">
        <f t="shared" si="44"/>
        <v>130.57011290898546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1.5387277968087738</v>
      </c>
      <c r="EC41" s="21">
        <f>EXP(-LN(2)/2)*EC40+(1-EXP(-LN(2)/2))/(LN(2)/2)*DW41*DZ41*VLOOKUP('Données projet'!$B$14,Paramètres!$A$1:$I$89,3,0)*0.475*44/12</f>
        <v>0.55301971024224261</v>
      </c>
      <c r="ED41" s="22">
        <f t="shared" si="18"/>
        <v>2.0917475070510165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7.7715686274509812</v>
      </c>
      <c r="EJ41" s="12">
        <f>IF('Données projet'!$A$192&gt;35,EJ40+EI41-ER40,IF(A41&lt;'Données projet'!$A$192,$EG$205^A41,IF(A41='Données projet'!$A$192,'Données projet'!$B$192,EJ40+EI41-ER40)))</f>
        <v>295.31960784313725</v>
      </c>
      <c r="EK41" s="17">
        <f>EJ41*VLOOKUP('Données projet'!$B$15,Paramètres!$A$1:$I$89,3,0)*VLOOKUP('Données projet'!$B$15,Paramètres!$A$1:$I$89,5,0)</f>
        <v>138.20957647058825</v>
      </c>
      <c r="EL41" s="13">
        <f t="shared" si="45"/>
        <v>35.886537858926076</v>
      </c>
      <c r="EM41" s="20">
        <f t="shared" si="19"/>
        <v>303.21739912390404</v>
      </c>
      <c r="EN41" s="59">
        <f t="shared" si="20"/>
        <v>549.40899241746274</v>
      </c>
      <c r="EO41" s="59">
        <f ca="1">AVERAGE(OFFSET($EN$3,0,0,'Données projet'!$E$15+1,1))-AVERAGE(OFFSET($H$3,0,0,'Données projet'!$E$15+1,1))</f>
        <v>374.38106339726073</v>
      </c>
      <c r="EP41" s="59">
        <f t="shared" si="46"/>
        <v>296.53283288925957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9">
        <f t="shared" si="0"/>
        <v>563.63805706193386</v>
      </c>
      <c r="S42" s="59">
        <f ca="1">AVERAGE(OFFSET($R$3,0,0,'Données projet'!$E$9+1,1))-AVERAGE(OFFSET($H$3,0,0,'Données projet'!$E$9+1,1))</f>
        <v>681.47578137804555</v>
      </c>
      <c r="T42" s="59">
        <f t="shared" si="34"/>
        <v>300.88511065995885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122.37576000000003</v>
      </c>
      <c r="AK42" s="13">
        <f t="shared" si="35"/>
        <v>32.22847248868726</v>
      </c>
      <c r="AL42" s="20">
        <f t="shared" si="4"/>
        <v>269.26903825113033</v>
      </c>
      <c r="AM42" s="59">
        <f t="shared" si="5"/>
        <v>516.27843534123747</v>
      </c>
      <c r="AN42" s="59">
        <f ca="1">AVERAGE(OFFSET($AM$3,0,0,'Données projet'!$E$10+1,1))-AVERAGE(OFFSET($H$3,0,0,'Données projet'!$E$10+1,1))</f>
        <v>423.80243030843661</v>
      </c>
      <c r="AO42" s="59">
        <f t="shared" si="36"/>
        <v>260.29028006191834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4.5714690023464781</v>
      </c>
      <c r="AW42" s="21">
        <f>EXP(-LN(2)/2)*AW41+(1-EXP(-LN(2)/2))/(LN(2)/2)*AQ42*AT42*VLOOKUP('Données projet'!$B$10,Paramètres!$A$1:$I$89,3,0)*0.475*44/12</f>
        <v>1.4007915929308856</v>
      </c>
      <c r="AX42" s="21">
        <f t="shared" si="6"/>
        <v>5.9722605952773637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16.693750000000001</v>
      </c>
      <c r="BD42" s="12">
        <f>IF('Données projet'!$A$88&gt;35,BD41+BC42-BL41,IF(A42&lt;'Données projet'!$A$88,$BA$205^A42,IF(A42='Données projet'!$A$88,'Données projet'!$B$88,BD41+BC42-BL41)))</f>
        <v>267.35250000000002</v>
      </c>
      <c r="BE42" s="13">
        <f>BD42*VLOOKUP('Données projet'!$B$11,Paramètres!$A$1:$I$89,3,0)*VLOOKUP('Données projet'!$B$11,Paramètres!$A$1:$I$89,5,0)</f>
        <v>159.87679500000002</v>
      </c>
      <c r="BF42" s="13">
        <f t="shared" si="37"/>
        <v>40.814724929285397</v>
      </c>
      <c r="BG42" s="20">
        <f t="shared" si="7"/>
        <v>349.5377305435054</v>
      </c>
      <c r="BH42" s="59">
        <f t="shared" si="8"/>
        <v>596.54712763361249</v>
      </c>
      <c r="BI42" s="59">
        <f ca="1">AVERAGE(OFFSET($BH$3,0,0,'Données projet'!$E$11+1,1))-AVERAGE(OFFSET($H$3,0,0,'Données projet'!$E$11+1,1))</f>
        <v>373.61861223558259</v>
      </c>
      <c r="BJ42" s="59">
        <f t="shared" si="38"/>
        <v>277.62293009761049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10.021441016453171</v>
      </c>
      <c r="BQ42" s="21">
        <f>EXP(-LN(2)/25)*BQ41+(1-EXP(-LN(2)/25))/(LN(2)/25)*Calculateur!BL42*Calculateur!BN42*VLOOKUP('Données projet'!$B$11,Paramètres!$A$1:$I$89,3,0)*0.475*44/12</f>
        <v>13.520007792504716</v>
      </c>
      <c r="BR42" s="21">
        <f>EXP(-LN(2)/2)*BR41+(1-EXP(-LN(2)/2))/(LN(2)/2)*BL42*BO42*VLOOKUP('Données projet'!$B$11,Paramètres!$A$1:$I$89,3,0)*0.475*44/12</f>
        <v>1.8127258549098955</v>
      </c>
      <c r="BS42" s="22">
        <f t="shared" si="9"/>
        <v>25.354174663867784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4.9999999999999973</v>
      </c>
      <c r="BY42" s="12">
        <f>IF('Données projet'!$A$114&gt;35,BY41+BX42-CG41,IF(A42&lt;'Données projet'!$A$114,$BV$205^A42,IF(A42='Données projet'!$A$114,'Données projet'!$B$114,BY41+BX42-CG41)))</f>
        <v>102.69230769230771</v>
      </c>
      <c r="BZ42" s="13">
        <f>BY42*VLOOKUP('Données projet'!$B$12,Paramètres!$A$1:$I$89,3,0)*VLOOKUP('Données projet'!$B$12,Paramètres!$A$1:$I$89,5,0)</f>
        <v>89.712000000000032</v>
      </c>
      <c r="CA42" s="13">
        <f t="shared" si="39"/>
        <v>24.495753377522256</v>
      </c>
      <c r="CB42" s="20">
        <f t="shared" si="10"/>
        <v>198.911837132518</v>
      </c>
      <c r="CC42" s="59">
        <f t="shared" si="11"/>
        <v>445.92123422262512</v>
      </c>
      <c r="CD42" s="59">
        <f ca="1">AVERAGE(OFFSET($CC$3,0,0,'Données projet'!$E$12+1,1))-AVERAGE(OFFSET($H$3,0,0,'Données projet'!$E$12+1,1))</f>
        <v>251.30277097589737</v>
      </c>
      <c r="CE42" s="59">
        <f t="shared" si="40"/>
        <v>224.11983819941796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10.604885534550517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10.604885534550517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7.6</v>
      </c>
      <c r="CT42" s="12">
        <f>IF('Données projet'!$A$140&gt;35,CT41+CS42-DB41,IF(A42&lt;'Données projet'!$A$140,$CQ$205^A42,IF(A42='Données projet'!$A$140,'Données projet'!$B$140,CT41+CS42-DB41)))</f>
        <v>145.39999999999995</v>
      </c>
      <c r="CU42" s="17">
        <f>CT42*VLOOKUP('Données projet'!$B$13,Paramètres!$A$1:$I$89,3,0)*VLOOKUP('Données projet'!$B$13,Paramètres!$A$1:$I$89,5,0)</f>
        <v>127.02143999999997</v>
      </c>
      <c r="CV42" s="13">
        <f t="shared" si="41"/>
        <v>33.307175870664402</v>
      </c>
      <c r="CW42" s="20">
        <f t="shared" si="13"/>
        <v>279.23900597474045</v>
      </c>
      <c r="CX42" s="59">
        <f t="shared" si="14"/>
        <v>526.24840306484759</v>
      </c>
      <c r="CY42" s="59">
        <f ca="1">AVERAGE(OFFSET($CX$3,0,0,'Données projet'!$E$13+1,1))-AVERAGE(OFFSET($H$3,0,0,'Données projet'!$E$13+1,1))</f>
        <v>287.28439432670405</v>
      </c>
      <c r="CZ42" s="59">
        <f t="shared" si="42"/>
        <v>276.01618888357268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7.8771671896077695</v>
      </c>
      <c r="DH42" s="21">
        <f>EXP(-LN(2)/2)*DH41+(1-EXP(-LN(2)/2))/(LN(2)/2)*DB42*DE42*VLOOKUP('Données projet'!$B$13,Paramètres!$A$1:$I$89,3,0)*0.475*44/12</f>
        <v>1.3128776383793817</v>
      </c>
      <c r="DI42" s="22">
        <f t="shared" si="15"/>
        <v>9.1900448279871512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2.5641025641025634</v>
      </c>
      <c r="DO42" s="12">
        <f>IF('Données projet'!$A$166&gt;35,DO41+DN42-DW41,IF(A42&lt;'Données projet'!$A$166,$DL$205^A42,IF(A42='Données projet'!$A$166,'Données projet'!$B$166,DO41+DN42-DW41)))</f>
        <v>45.51282051282049</v>
      </c>
      <c r="DP42" s="17">
        <f>DO42*VLOOKUP('Données projet'!$B$14,Paramètres!$A$1:$I$89,3,0)*VLOOKUP('Données projet'!$B$14,Paramètres!$A$1:$I$89,5,0)</f>
        <v>44.019999999999982</v>
      </c>
      <c r="DQ42" s="13">
        <f t="shared" si="43"/>
        <v>13.058137539019535</v>
      </c>
      <c r="DR42" s="20">
        <f t="shared" si="16"/>
        <v>99.411089547125641</v>
      </c>
      <c r="DS42" s="59">
        <f t="shared" si="17"/>
        <v>346.42048663723278</v>
      </c>
      <c r="DT42" s="59">
        <f ca="1">AVERAGE(OFFSET($DS$3,0,0,'Données projet'!$E$14+1,1))-AVERAGE(OFFSET($H$3,0,0,'Données projet'!$E$14+1,1))</f>
        <v>206.5245935130306</v>
      </c>
      <c r="DU42" s="59">
        <f t="shared" si="44"/>
        <v>130.57011290898546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1.4966512042868598</v>
      </c>
      <c r="EC42" s="21">
        <f>EXP(-LN(2)/2)*EC41+(1-EXP(-LN(2)/2))/(LN(2)/2)*DW42*DZ42*VLOOKUP('Données projet'!$B$14,Paramètres!$A$1:$I$89,3,0)*0.475*44/12</f>
        <v>0.39104398724210937</v>
      </c>
      <c r="ED42" s="22">
        <f t="shared" si="18"/>
        <v>1.8876951915289693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7.7715686274509812</v>
      </c>
      <c r="EJ42" s="12">
        <f>IF('Données projet'!$A$192&gt;35,EJ41+EI42-ER41,IF(A42&lt;'Données projet'!$A$192,$EG$205^A42,IF(A42='Données projet'!$A$192,'Données projet'!$B$192,EJ41+EI42-ER41)))</f>
        <v>303.09117647058821</v>
      </c>
      <c r="EK42" s="17">
        <f>EJ42*VLOOKUP('Données projet'!$B$15,Paramètres!$A$1:$I$89,3,0)*VLOOKUP('Données projet'!$B$15,Paramètres!$A$1:$I$89,5,0)</f>
        <v>141.8466705882353</v>
      </c>
      <c r="EL42" s="13">
        <f t="shared" si="45"/>
        <v>36.719728610807536</v>
      </c>
      <c r="EM42" s="20">
        <f t="shared" si="19"/>
        <v>311.00314527166626</v>
      </c>
      <c r="EN42" s="59">
        <f t="shared" si="20"/>
        <v>558.0125423617734</v>
      </c>
      <c r="EO42" s="59">
        <f ca="1">AVERAGE(OFFSET($EN$3,0,0,'Données projet'!$E$15+1,1))-AVERAGE(OFFSET($H$3,0,0,'Données projet'!$E$15+1,1))</f>
        <v>374.38106339726073</v>
      </c>
      <c r="EP42" s="59">
        <f t="shared" si="46"/>
        <v>296.53283288925957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9">
        <f t="shared" si="0"/>
        <v>572.36418088812457</v>
      </c>
      <c r="S43" s="59">
        <f ca="1">AVERAGE(OFFSET($R$3,0,0,'Données projet'!$E$9+1,1))-AVERAGE(OFFSET($H$3,0,0,'Données projet'!$E$9+1,1))</f>
        <v>681.47578137804555</v>
      </c>
      <c r="T43" s="59">
        <f t="shared" si="34"/>
        <v>300.88511065995885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130.36920000000003</v>
      </c>
      <c r="AK43" s="13">
        <f t="shared" si="35"/>
        <v>34.081656526320486</v>
      </c>
      <c r="AL43" s="20">
        <f t="shared" si="4"/>
        <v>286.4185751166749</v>
      </c>
      <c r="AM43" s="59">
        <f t="shared" si="5"/>
        <v>534.23158893579568</v>
      </c>
      <c r="AN43" s="59">
        <f ca="1">AVERAGE(OFFSET($AM$3,0,0,'Données projet'!$E$10+1,1))-AVERAGE(OFFSET($H$3,0,0,'Données projet'!$E$10+1,1))</f>
        <v>423.80243030843661</v>
      </c>
      <c r="AO43" s="59">
        <f t="shared" si="36"/>
        <v>260.29028006191834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0.1075</v>
      </c>
      <c r="AT43" s="16">
        <f>IF(ISNA(VLOOKUP(A43,'Données projet'!$A$61:$I$81,7,0)),0%,VLOOKUP(A43,'Données projet'!$A$61:$I$81,7,0))</f>
        <v>0.25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6.8119237726090294</v>
      </c>
      <c r="AW43" s="21">
        <f>EXP(-LN(2)/2)*AW42+(1-EXP(-LN(2)/2))/(LN(2)/2)*AQ43*AT43*VLOOKUP('Données projet'!$B$10,Paramètres!$A$1:$I$89,3,0)*0.475*44/12</f>
        <v>5.7042753470675942</v>
      </c>
      <c r="AX43" s="21">
        <f t="shared" si="6"/>
        <v>12.516199119676624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16.693750000000001</v>
      </c>
      <c r="BD43" s="12">
        <f>IF('Données projet'!$A$88&gt;35,BD42+BC43-BL42,IF(A43&lt;'Données projet'!$A$88,$BA$205^A43,IF(A43='Données projet'!$A$88,'Données projet'!$B$88,BD42+BC43-BL42)))</f>
        <v>284.04625000000004</v>
      </c>
      <c r="BE43" s="13">
        <f>BD43*VLOOKUP('Données projet'!$B$11,Paramètres!$A$1:$I$89,3,0)*VLOOKUP('Données projet'!$B$11,Paramètres!$A$1:$I$89,5,0)</f>
        <v>169.85965750000003</v>
      </c>
      <c r="BF43" s="13">
        <f t="shared" si="37"/>
        <v>43.058590023226742</v>
      </c>
      <c r="BG43" s="20">
        <f t="shared" si="7"/>
        <v>370.83261443628663</v>
      </c>
      <c r="BH43" s="59">
        <f t="shared" si="8"/>
        <v>618.64562825540747</v>
      </c>
      <c r="BI43" s="59">
        <f ca="1">AVERAGE(OFFSET($BH$3,0,0,'Données projet'!$E$11+1,1))-AVERAGE(OFFSET($H$3,0,0,'Données projet'!$E$11+1,1))</f>
        <v>373.61861223558259</v>
      </c>
      <c r="BJ43" s="59">
        <f t="shared" si="38"/>
        <v>277.62293009761049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9.8249266705959872</v>
      </c>
      <c r="BQ43" s="21">
        <f>EXP(-LN(2)/25)*BQ42+(1-EXP(-LN(2)/25))/(LN(2)/25)*Calculateur!BL43*Calculateur!BN43*VLOOKUP('Données projet'!$B$11,Paramètres!$A$1:$I$89,3,0)*0.475*44/12</f>
        <v>13.150302468432365</v>
      </c>
      <c r="BR43" s="21">
        <f>EXP(-LN(2)/2)*BR42+(1-EXP(-LN(2)/2))/(LN(2)/2)*BL43*BO43*VLOOKUP('Données projet'!$B$11,Paramètres!$A$1:$I$89,3,0)*0.475*44/12</f>
        <v>1.2817907444389689</v>
      </c>
      <c r="BS43" s="22">
        <f t="shared" si="9"/>
        <v>24.257019883467319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107.69230769230768</v>
      </c>
      <c r="BW43" s="12">
        <f>VLOOKUP(A43,'Données projet'!$A$113:$I$133,9,0)</f>
        <v>4.9999999999999973</v>
      </c>
      <c r="BX43" s="12">
        <f t="array" ref="BX43">INDEX(BW:BW,MIN(IF(ISNUMBER(BW43:BW239),ROW(BW43:BW239),"")))</f>
        <v>4.9999999999999973</v>
      </c>
      <c r="BY43" s="12">
        <f>IF('Données projet'!$A$114&gt;35,BY42+BX43-CG42,IF(A43&lt;'Données projet'!$A$114,$BV$205^A43,IF(A43='Données projet'!$A$114,'Données projet'!$B$114,BY42+BX43-CG42)))</f>
        <v>107.69230769230771</v>
      </c>
      <c r="BZ43" s="13">
        <f>BY43*VLOOKUP('Données projet'!$B$12,Paramètres!$A$1:$I$89,3,0)*VLOOKUP('Données projet'!$B$12,Paramètres!$A$1:$I$89,5,0)</f>
        <v>94.080000000000027</v>
      </c>
      <c r="CA43" s="13">
        <f t="shared" si="39"/>
        <v>25.54666934397601</v>
      </c>
      <c r="CB43" s="20">
        <f t="shared" si="10"/>
        <v>208.34978244075822</v>
      </c>
      <c r="CC43" s="59">
        <f t="shared" si="11"/>
        <v>456.16279625987903</v>
      </c>
      <c r="CD43" s="59">
        <f ca="1">AVERAGE(OFFSET($CC$3,0,0,'Données projet'!$E$12+1,1))-AVERAGE(OFFSET($H$3,0,0,'Données projet'!$E$12+1,1))</f>
        <v>251.30277097589737</v>
      </c>
      <c r="CE43" s="59">
        <f t="shared" si="40"/>
        <v>224.11983819941796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14.743589743589743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0.215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13.364109576109627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13.364109576109627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153</v>
      </c>
      <c r="CR43" s="12">
        <f>VLOOKUP(A43,'Données projet'!$A$139:$I$159,9,0)</f>
        <v>7.6</v>
      </c>
      <c r="CS43" s="12">
        <f t="array" ref="CS43">INDEX(CR:CR,MIN(IF(ISNUMBER(CR43:CR239),ROW(CR43:CR239),"")))</f>
        <v>7.6</v>
      </c>
      <c r="CT43" s="12">
        <f>IF('Données projet'!$A$140&gt;35,CT42+CS43-DB42,IF(A43&lt;'Données projet'!$A$140,$CQ$205^A43,IF(A43='Données projet'!$A$140,'Données projet'!$B$140,CT42+CS43-DB42)))</f>
        <v>152.99999999999994</v>
      </c>
      <c r="CU43" s="17">
        <f>CT43*VLOOKUP('Données projet'!$B$13,Paramètres!$A$1:$I$89,3,0)*VLOOKUP('Données projet'!$B$13,Paramètres!$A$1:$I$89,5,0)</f>
        <v>133.66079999999997</v>
      </c>
      <c r="CV43" s="13">
        <f t="shared" si="41"/>
        <v>34.840890682716719</v>
      </c>
      <c r="CW43" s="20">
        <f t="shared" si="13"/>
        <v>293.47377793906486</v>
      </c>
      <c r="CX43" s="59">
        <f t="shared" si="14"/>
        <v>541.2867917581857</v>
      </c>
      <c r="CY43" s="59">
        <f ca="1">AVERAGE(OFFSET($CX$3,0,0,'Données projet'!$E$13+1,1))-AVERAGE(OFFSET($H$3,0,0,'Données projet'!$E$13+1,1))</f>
        <v>287.28439432670405</v>
      </c>
      <c r="CZ43" s="59">
        <f t="shared" si="42"/>
        <v>276.01618888357268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0.13250000000000001</v>
      </c>
      <c r="DE43" s="16">
        <f>IF(ISNA(VLOOKUP(A43,'Données projet'!$A$139:$I$159,7,0)),0%,VLOOKUP(A43,'Données projet'!$A$139:$I$159,7,0))</f>
        <v>0.25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10.338353786879626</v>
      </c>
      <c r="DH43" s="21">
        <f>EXP(-LN(2)/2)*DH42+(1-EXP(-LN(2)/2))/(LN(2)/2)*DB43*DE43*VLOOKUP('Données projet'!$B$13,Paramètres!$A$1:$I$89,3,0)*0.475*44/12</f>
        <v>5.2557365221123939</v>
      </c>
      <c r="DI43" s="22">
        <f t="shared" si="15"/>
        <v>15.594090308992019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48.076923076923073</v>
      </c>
      <c r="DM43" s="12">
        <f>VLOOKUP(A43,'Données projet'!$A$165:$I$185,9,0)</f>
        <v>2.5641025641025634</v>
      </c>
      <c r="DN43" s="12">
        <f t="array" ref="DN43">INDEX(DM:DM,MIN(IF(ISNUMBER(DM43:DM239),ROW(DM43:DM239),"")))</f>
        <v>2.5641025641025634</v>
      </c>
      <c r="DO43" s="12">
        <f>IF('Données projet'!$A$166&gt;35,DO42+DN43-DW42,IF(A43&lt;'Données projet'!$A$166,$DL$205^A43,IF(A43='Données projet'!$A$166,'Données projet'!$B$166,DO42+DN43-DW42)))</f>
        <v>48.076923076923052</v>
      </c>
      <c r="DP43" s="17">
        <f>DO43*VLOOKUP('Données projet'!$B$14,Paramètres!$A$1:$I$89,3,0)*VLOOKUP('Données projet'!$B$14,Paramètres!$A$1:$I$89,5,0)</f>
        <v>46.499999999999979</v>
      </c>
      <c r="DQ43" s="13">
        <f t="shared" si="43"/>
        <v>13.706087310839848</v>
      </c>
      <c r="DR43" s="20">
        <f t="shared" si="16"/>
        <v>104.85893539971271</v>
      </c>
      <c r="DS43" s="59">
        <f t="shared" si="17"/>
        <v>352.6719492188335</v>
      </c>
      <c r="DT43" s="59">
        <f ca="1">AVERAGE(OFFSET($DS$3,0,0,'Données projet'!$E$14+1,1))-AVERAGE(OFFSET($H$3,0,0,'Données projet'!$E$14+1,1))</f>
        <v>206.5245935130306</v>
      </c>
      <c r="DU43" s="59">
        <f t="shared" si="44"/>
        <v>130.57011290898546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5.7692307692307692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0.1075</v>
      </c>
      <c r="DZ43" s="16">
        <f>IF(ISNA(VLOOKUP(A43,'Données projet'!$A$165:$I$185,7,0)),0%,VLOOKUP(A43,'Données projet'!$A$165:$I$185,7,0))</f>
        <v>0.25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2.1162306636008497</v>
      </c>
      <c r="EC43" s="21">
        <f>EXP(-LN(2)/2)*EC42+(1-EXP(-LN(2)/2))/(LN(2)/2)*DW43*DZ43*VLOOKUP('Données projet'!$B$14,Paramètres!$A$1:$I$89,3,0)*0.475*44/12</f>
        <v>1.5927299009956377</v>
      </c>
      <c r="ED43" s="22">
        <f t="shared" si="18"/>
        <v>3.7089605645964872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7.7715686274509812</v>
      </c>
      <c r="EJ43" s="12">
        <f>IF('Données projet'!$A$192&gt;35,EJ42+EI43-ER42,IF(A43&lt;'Données projet'!$A$192,$EG$205^A43,IF(A43='Données projet'!$A$192,'Données projet'!$B$192,EJ42+EI43-ER42)))</f>
        <v>310.86274509803917</v>
      </c>
      <c r="EK43" s="17">
        <f>EJ43*VLOOKUP('Données projet'!$B$15,Paramètres!$A$1:$I$89,3,0)*VLOOKUP('Données projet'!$B$15,Paramètres!$A$1:$I$89,5,0)</f>
        <v>145.48376470588232</v>
      </c>
      <c r="EL43" s="13">
        <f t="shared" si="45"/>
        <v>37.550436028495511</v>
      </c>
      <c r="EM43" s="20">
        <f t="shared" si="19"/>
        <v>318.78456627904137</v>
      </c>
      <c r="EN43" s="59">
        <f t="shared" si="20"/>
        <v>566.59758009816221</v>
      </c>
      <c r="EO43" s="59">
        <f ca="1">AVERAGE(OFFSET($EN$3,0,0,'Données projet'!$E$15+1,1))-AVERAGE(OFFSET($H$3,0,0,'Données projet'!$E$15+1,1))</f>
        <v>374.38106339726073</v>
      </c>
      <c r="EP43" s="59">
        <f t="shared" si="46"/>
        <v>296.53283288925957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9">
        <f t="shared" si="0"/>
        <v>581.07209039603197</v>
      </c>
      <c r="S44" s="59">
        <f ca="1">AVERAGE(OFFSET($R$3,0,0,'Données projet'!$E$9+1,1))-AVERAGE(OFFSET($H$3,0,0,'Données projet'!$E$9+1,1))</f>
        <v>681.47578137804555</v>
      </c>
      <c r="T44" s="59">
        <f t="shared" si="34"/>
        <v>300.88511065995885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118.37904000000003</v>
      </c>
      <c r="AK44" s="13">
        <f t="shared" si="35"/>
        <v>31.296638268907181</v>
      </c>
      <c r="AL44" s="20">
        <f t="shared" si="4"/>
        <v>260.68513965168</v>
      </c>
      <c r="AM44" s="59">
        <f t="shared" si="5"/>
        <v>509.28782924618395</v>
      </c>
      <c r="AN44" s="59">
        <f ca="1">AVERAGE(OFFSET($AM$3,0,0,'Données projet'!$E$10+1,1))-AVERAGE(OFFSET($H$3,0,0,'Données projet'!$E$10+1,1))</f>
        <v>423.80243030843661</v>
      </c>
      <c r="AO44" s="59">
        <f t="shared" si="36"/>
        <v>260.29028006191834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6.6256513588235331</v>
      </c>
      <c r="AW44" s="21">
        <f>EXP(-LN(2)/2)*AW43+(1-EXP(-LN(2)/2))/(LN(2)/2)*AQ44*AT44*VLOOKUP('Données projet'!$B$10,Paramètres!$A$1:$I$89,3,0)*0.475*44/12</f>
        <v>4.0335317796667427</v>
      </c>
      <c r="AX44" s="21">
        <f t="shared" si="6"/>
        <v>10.659183138490276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300.74</v>
      </c>
      <c r="BB44" s="12">
        <f>VLOOKUP(A44,'Données projet'!$A$87:$I$107,9,0)</f>
        <v>16.693750000000001</v>
      </c>
      <c r="BC44" s="12">
        <f t="array" ref="BC44">INDEX(BB:BB,MIN(IF(ISNUMBER(BB44:BB240),ROW(BB44:BB240),"")))</f>
        <v>16.693750000000001</v>
      </c>
      <c r="BD44" s="12">
        <f>IF('Données projet'!$A$88&gt;35,BD43+BC44-BL43,IF(A44&lt;'Données projet'!$A$88,$BA$205^A44,IF(A44='Données projet'!$A$88,'Données projet'!$B$88,BD43+BC44-BL43)))</f>
        <v>300.74000000000007</v>
      </c>
      <c r="BE44" s="13">
        <f>BD44*VLOOKUP('Données projet'!$B$11,Paramètres!$A$1:$I$89,3,0)*VLOOKUP('Données projet'!$B$11,Paramètres!$A$1:$I$89,5,0)</f>
        <v>179.84252000000006</v>
      </c>
      <c r="BF44" s="13">
        <f t="shared" si="37"/>
        <v>45.287147983377729</v>
      </c>
      <c r="BG44" s="20">
        <f t="shared" si="7"/>
        <v>392.10083840438301</v>
      </c>
      <c r="BH44" s="59">
        <f t="shared" si="8"/>
        <v>640.70352799888701</v>
      </c>
      <c r="BI44" s="59">
        <f ca="1">AVERAGE(OFFSET($BH$3,0,0,'Données projet'!$E$11+1,1))-AVERAGE(OFFSET($H$3,0,0,'Données projet'!$E$11+1,1))</f>
        <v>373.61861223558259</v>
      </c>
      <c r="BJ44" s="59">
        <f t="shared" si="38"/>
        <v>277.62293009761049</v>
      </c>
      <c r="BK44" s="15">
        <f>IF(ISNA(VLOOKUP(A44,'Données projet'!$A$87:$I$107,3,0)),0,VLOOKUP(A44,'Données projet'!$A$87:$I$107,3,0))</f>
        <v>4</v>
      </c>
      <c r="BL44" s="15">
        <f>IF(ISNA(VLOOKUP(A44,'Données projet'!$A$87:$I$107,4,0)),0,VLOOKUP(A44,'Données projet'!$A$87:$I$107,4,0))</f>
        <v>72.16</v>
      </c>
      <c r="BM44" s="16">
        <f>IF(ISNA(VLOOKUP(A44,'Données projet'!$A$87:$I$107,5,0)),0%,VLOOKUP(A44,'Données projet'!$A$87:$I$107,5,0)*VLOOKUP('Données projet'!$B$11,Paramètres!$A$1:$I$89,7,0))</f>
        <v>0.27</v>
      </c>
      <c r="BN44" s="16">
        <f>IF(ISNA(VLOOKUP(A44,'Données projet'!$A$87:$I$107,6,0)),0%,VLOOKUP(A44,'Données projet'!$A$87:$I$107,6,0)*VLOOKUP('Données projet'!$B$11,Paramètres!$A$1:$I$89,7,0))</f>
        <v>9.0000000000000011E-2</v>
      </c>
      <c r="BO44" s="16">
        <f>IF(ISNA(VLOOKUP(A44,'Données projet'!$A$87:$I$107,7,0)),0%,VLOOKUP(A44,'Données projet'!$A$87:$I$107,7,0))</f>
        <v>0.2</v>
      </c>
      <c r="BP44" s="21">
        <f>EXP(-LN(2)/35)*BP43+(1-EXP(-LN(2)/35))/(LN(2)/35)*BL44*BM44*VLOOKUP('Données projet'!$B$11,Paramètres!$A$1:$I$89,3,0)*0.475*44/12</f>
        <v>25.088006768934498</v>
      </c>
      <c r="BQ44" s="21">
        <f>EXP(-LN(2)/25)*BQ43+(1-EXP(-LN(2)/25))/(LN(2)/25)*Calculateur!BL44*Calculateur!BN44*VLOOKUP('Données projet'!$B$11,Paramètres!$A$1:$I$89,3,0)*0.475*44/12</f>
        <v>17.922335348103143</v>
      </c>
      <c r="BR44" s="21">
        <f>EXP(-LN(2)/2)*BR43+(1-EXP(-LN(2)/2))/(LN(2)/2)*BL44*BO44*VLOOKUP('Données projet'!$B$11,Paramètres!$A$1:$I$89,3,0)*0.475*44/12</f>
        <v>10.677908085160318</v>
      </c>
      <c r="BS44" s="22">
        <f t="shared" si="9"/>
        <v>53.688250202197956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4.487179487179489</v>
      </c>
      <c r="BY44" s="12">
        <f>IF('Données projet'!$A$114&gt;35,BY43+BX44-CG43,IF(A44&lt;'Données projet'!$A$114,$BV$205^A44,IF(A44='Données projet'!$A$114,'Données projet'!$B$114,BY43+BX44-CG43)))</f>
        <v>97.435897435897459</v>
      </c>
      <c r="BZ44" s="13">
        <f>BY44*VLOOKUP('Données projet'!$B$12,Paramètres!$A$1:$I$89,3,0)*VLOOKUP('Données projet'!$B$12,Paramètres!$A$1:$I$89,5,0)</f>
        <v>85.120000000000033</v>
      </c>
      <c r="CA44" s="13">
        <f t="shared" si="39"/>
        <v>23.384495231720521</v>
      </c>
      <c r="CB44" s="20">
        <f t="shared" si="10"/>
        <v>188.97866252857997</v>
      </c>
      <c r="CC44" s="59">
        <f t="shared" si="11"/>
        <v>437.58135212308395</v>
      </c>
      <c r="CD44" s="59">
        <f ca="1">AVERAGE(OFFSET($CC$3,0,0,'Données projet'!$E$12+1,1))-AVERAGE(OFFSET($H$3,0,0,'Données projet'!$E$12+1,1))</f>
        <v>251.30277097589737</v>
      </c>
      <c r="CE44" s="59">
        <f t="shared" si="40"/>
        <v>224.11983819941796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12.99866729696293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12.99866729696293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6.4</v>
      </c>
      <c r="CT44" s="12">
        <f>IF('Données projet'!$A$140&gt;35,CT43+CS44-DB43,IF(A44&lt;'Données projet'!$A$140,$CQ$205^A44,IF(A44='Données projet'!$A$140,'Données projet'!$B$140,CT43+CS44-DB43)))</f>
        <v>138.39999999999995</v>
      </c>
      <c r="CU44" s="17">
        <f>CT44*VLOOKUP('Données projet'!$B$13,Paramètres!$A$1:$I$89,3,0)*VLOOKUP('Données projet'!$B$13,Paramètres!$A$1:$I$89,5,0)</f>
        <v>120.90623999999997</v>
      </c>
      <c r="CV44" s="13">
        <f t="shared" si="41"/>
        <v>31.886272251257857</v>
      </c>
      <c r="CW44" s="20">
        <f t="shared" si="13"/>
        <v>266.11362550427401</v>
      </c>
      <c r="CX44" s="59">
        <f t="shared" si="14"/>
        <v>514.71631509877795</v>
      </c>
      <c r="CY44" s="59">
        <f ca="1">AVERAGE(OFFSET($CX$3,0,0,'Données projet'!$E$13+1,1))-AVERAGE(OFFSET($H$3,0,0,'Données projet'!$E$13+1,1))</f>
        <v>287.28439432670405</v>
      </c>
      <c r="CZ44" s="59">
        <f t="shared" si="42"/>
        <v>276.01618888357268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10.055650958907005</v>
      </c>
      <c r="DH44" s="21">
        <f>EXP(-LN(2)/2)*DH43+(1-EXP(-LN(2)/2))/(LN(2)/2)*DB44*DE44*VLOOKUP('Données projet'!$B$13,Paramètres!$A$1:$I$89,3,0)*0.475*44/12</f>
        <v>3.7163669349154751</v>
      </c>
      <c r="DI44" s="22">
        <f t="shared" si="15"/>
        <v>13.772017893822481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2.4358974358974352</v>
      </c>
      <c r="DO44" s="12">
        <f>IF('Données projet'!$A$166&gt;35,DO43+DN44-DW43,IF(A44&lt;'Données projet'!$A$166,$DL$205^A44,IF(A44='Données projet'!$A$166,'Données projet'!$B$166,DO43+DN44-DW43)))</f>
        <v>44.743589743589723</v>
      </c>
      <c r="DP44" s="17">
        <f>DO44*VLOOKUP('Données projet'!$B$14,Paramètres!$A$1:$I$89,3,0)*VLOOKUP('Données projet'!$B$14,Paramètres!$A$1:$I$89,5,0)</f>
        <v>43.275999999999982</v>
      </c>
      <c r="DQ44" s="13">
        <f t="shared" si="43"/>
        <v>12.862933166874525</v>
      </c>
      <c r="DR44" s="20">
        <f t="shared" si="16"/>
        <v>97.775308598973098</v>
      </c>
      <c r="DS44" s="59">
        <f t="shared" si="17"/>
        <v>346.37799819347708</v>
      </c>
      <c r="DT44" s="59">
        <f ca="1">AVERAGE(OFFSET($DS$3,0,0,'Données projet'!$E$14+1,1))-AVERAGE(OFFSET($H$3,0,0,'Données projet'!$E$14+1,1))</f>
        <v>206.5245935130306</v>
      </c>
      <c r="DU44" s="59">
        <f t="shared" si="44"/>
        <v>130.57011290898546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2.0583622248169506</v>
      </c>
      <c r="EC44" s="21">
        <f>EXP(-LN(2)/2)*EC43+(1-EXP(-LN(2)/2))/(LN(2)/2)*DW44*DZ44*VLOOKUP('Données projet'!$B$14,Paramètres!$A$1:$I$89,3,0)*0.475*44/12</f>
        <v>1.1262301135925941</v>
      </c>
      <c r="ED44" s="22">
        <f t="shared" si="18"/>
        <v>3.1845923384095447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7.7715686274509812</v>
      </c>
      <c r="EJ44" s="12">
        <f>IF('Données projet'!$A$192&gt;35,EJ43+EI44-ER43,IF(A44&lt;'Données projet'!$A$192,$EG$205^A44,IF(A44='Données projet'!$A$192,'Données projet'!$B$192,EJ43+EI44-ER43)))</f>
        <v>318.63431372549013</v>
      </c>
      <c r="EK44" s="17">
        <f>EJ44*VLOOKUP('Données projet'!$B$15,Paramètres!$A$1:$I$89,3,0)*VLOOKUP('Données projet'!$B$15,Paramètres!$A$1:$I$89,5,0)</f>
        <v>149.12085882352937</v>
      </c>
      <c r="EL44" s="13">
        <f t="shared" si="45"/>
        <v>38.378729335686863</v>
      </c>
      <c r="EM44" s="20">
        <f t="shared" si="19"/>
        <v>326.56178271063499</v>
      </c>
      <c r="EN44" s="59">
        <f t="shared" si="20"/>
        <v>575.16447230513893</v>
      </c>
      <c r="EO44" s="59">
        <f ca="1">AVERAGE(OFFSET($EN$3,0,0,'Données projet'!$E$15+1,1))-AVERAGE(OFFSET($H$3,0,0,'Données projet'!$E$15+1,1))</f>
        <v>374.38106339726073</v>
      </c>
      <c r="EP44" s="59">
        <f t="shared" si="46"/>
        <v>296.53283288925957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9">
        <f t="shared" si="0"/>
        <v>589.762143648912</v>
      </c>
      <c r="S45" s="59">
        <f ca="1">AVERAGE(OFFSET($R$3,0,0,'Données projet'!$E$9+1,1))-AVERAGE(OFFSET($H$3,0,0,'Données projet'!$E$9+1,1))</f>
        <v>681.47578137804555</v>
      </c>
      <c r="T45" s="59">
        <f t="shared" si="34"/>
        <v>300.88511065995885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126.37248000000004</v>
      </c>
      <c r="AK45" s="13">
        <f t="shared" si="35"/>
        <v>33.156770349896121</v>
      </c>
      <c r="AL45" s="20">
        <f t="shared" si="4"/>
        <v>277.84677769273577</v>
      </c>
      <c r="AM45" s="59">
        <f t="shared" si="5"/>
        <v>527.22544395337047</v>
      </c>
      <c r="AN45" s="59">
        <f ca="1">AVERAGE(OFFSET($AM$3,0,0,'Données projet'!$E$10+1,1))-AVERAGE(OFFSET($H$3,0,0,'Données projet'!$E$10+1,1))</f>
        <v>423.80243030843661</v>
      </c>
      <c r="AO45" s="59">
        <f t="shared" si="36"/>
        <v>260.29028006191834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6.4444725739886417</v>
      </c>
      <c r="AW45" s="21">
        <f>EXP(-LN(2)/2)*AW44+(1-EXP(-LN(2)/2))/(LN(2)/2)*AQ45*AT45*VLOOKUP('Données projet'!$B$10,Paramètres!$A$1:$I$89,3,0)*0.475*44/12</f>
        <v>2.8521376735337971</v>
      </c>
      <c r="AX45" s="21">
        <f t="shared" si="6"/>
        <v>9.2966102475224393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15.714444444444442</v>
      </c>
      <c r="BD45" s="12">
        <f>IF('Données projet'!$A$88&gt;35,BD44+BC45-BL44,IF(A45&lt;'Données projet'!$A$88,$BA$205^A45,IF(A45='Données projet'!$A$88,'Données projet'!$B$88,BD44+BC45-BL44)))</f>
        <v>244.29444444444451</v>
      </c>
      <c r="BE45" s="13">
        <f>BD45*VLOOKUP('Données projet'!$B$11,Paramètres!$A$1:$I$89,3,0)*VLOOKUP('Données projet'!$B$11,Paramètres!$A$1:$I$89,5,0)</f>
        <v>146.08807777777784</v>
      </c>
      <c r="BF45" s="13">
        <f t="shared" si="37"/>
        <v>37.688224634642516</v>
      </c>
      <c r="BG45" s="20">
        <f t="shared" si="7"/>
        <v>320.07706003496543</v>
      </c>
      <c r="BH45" s="59">
        <f t="shared" si="8"/>
        <v>569.45572629560013</v>
      </c>
      <c r="BI45" s="59">
        <f ca="1">AVERAGE(OFFSET($BH$3,0,0,'Données projet'!$E$11+1,1))-AVERAGE(OFFSET($H$3,0,0,'Données projet'!$E$11+1,1))</f>
        <v>373.61861223558259</v>
      </c>
      <c r="BJ45" s="59">
        <f t="shared" si="38"/>
        <v>277.62293009761049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24.596046258368858</v>
      </c>
      <c r="BQ45" s="21">
        <f>EXP(-LN(2)/25)*BQ44+(1-EXP(-LN(2)/25))/(LN(2)/25)*Calculateur!BL45*Calculateur!BN45*VLOOKUP('Données projet'!$B$11,Paramètres!$A$1:$I$89,3,0)*0.475*44/12</f>
        <v>17.43224814551461</v>
      </c>
      <c r="BR45" s="21">
        <f>EXP(-LN(2)/2)*BR44+(1-EXP(-LN(2)/2))/(LN(2)/2)*BL45*BO45*VLOOKUP('Données projet'!$B$11,Paramètres!$A$1:$I$89,3,0)*0.475*44/12</f>
        <v>7.5504212159035244</v>
      </c>
      <c r="BS45" s="22">
        <f t="shared" si="9"/>
        <v>49.57871561978699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4.487179487179489</v>
      </c>
      <c r="BY45" s="12">
        <f>IF('Données projet'!$A$114&gt;35,BY44+BX45-CG44,IF(A45&lt;'Données projet'!$A$114,$BV$205^A45,IF(A45='Données projet'!$A$114,'Données projet'!$B$114,BY44+BX45-CG44)))</f>
        <v>101.92307692307695</v>
      </c>
      <c r="BZ45" s="13">
        <f>BY45*VLOOKUP('Données projet'!$B$12,Paramètres!$A$1:$I$89,3,0)*VLOOKUP('Données projet'!$B$12,Paramètres!$A$1:$I$89,5,0)</f>
        <v>89.040000000000035</v>
      </c>
      <c r="CA45" s="13">
        <f t="shared" si="39"/>
        <v>24.333551803750442</v>
      </c>
      <c r="CB45" s="20">
        <f t="shared" si="10"/>
        <v>197.45893605819876</v>
      </c>
      <c r="CC45" s="59">
        <f t="shared" si="11"/>
        <v>446.83760231883349</v>
      </c>
      <c r="CD45" s="59">
        <f ca="1">AVERAGE(OFFSET($CC$3,0,0,'Données projet'!$E$12+1,1))-AVERAGE(OFFSET($H$3,0,0,'Données projet'!$E$12+1,1))</f>
        <v>251.30277097589737</v>
      </c>
      <c r="CE45" s="59">
        <f t="shared" si="40"/>
        <v>224.11983819941796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12.643218056157274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12.643218056157274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6.4</v>
      </c>
      <c r="CT45" s="12">
        <f>IF('Données projet'!$A$140&gt;35,CT44+CS45-DB44,IF(A45&lt;'Données projet'!$A$140,$CQ$205^A45,IF(A45='Données projet'!$A$140,'Données projet'!$B$140,CT44+CS45-DB44)))</f>
        <v>144.79999999999995</v>
      </c>
      <c r="CU45" s="17">
        <f>CT45*VLOOKUP('Données projet'!$B$13,Paramètres!$A$1:$I$89,3,0)*VLOOKUP('Données projet'!$B$13,Paramètres!$A$1:$I$89,5,0)</f>
        <v>126.49727999999998</v>
      </c>
      <c r="CV45" s="13">
        <f t="shared" si="41"/>
        <v>33.185701456959592</v>
      </c>
      <c r="CW45" s="20">
        <f t="shared" si="13"/>
        <v>278.11452603753787</v>
      </c>
      <c r="CX45" s="59">
        <f t="shared" si="14"/>
        <v>527.49319229817263</v>
      </c>
      <c r="CY45" s="59">
        <f ca="1">AVERAGE(OFFSET($CX$3,0,0,'Données projet'!$E$13+1,1))-AVERAGE(OFFSET($H$3,0,0,'Données projet'!$E$13+1,1))</f>
        <v>287.28439432670405</v>
      </c>
      <c r="CZ45" s="59">
        <f t="shared" si="42"/>
        <v>276.01618888357268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9.7806786546319913</v>
      </c>
      <c r="DH45" s="21">
        <f>EXP(-LN(2)/2)*DH44+(1-EXP(-LN(2)/2))/(LN(2)/2)*DB45*DE45*VLOOKUP('Données projet'!$B$13,Paramètres!$A$1:$I$89,3,0)*0.475*44/12</f>
        <v>2.6278682610561974</v>
      </c>
      <c r="DI45" s="22">
        <f t="shared" si="15"/>
        <v>12.408546915688188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2.4358974358974352</v>
      </c>
      <c r="DO45" s="12">
        <f>IF('Données projet'!$A$166&gt;35,DO44+DN45-DW44,IF(A45&lt;'Données projet'!$A$166,$DL$205^A45,IF(A45='Données projet'!$A$166,'Données projet'!$B$166,DO44+DN45-DW44)))</f>
        <v>47.179487179487161</v>
      </c>
      <c r="DP45" s="17">
        <f>DO45*VLOOKUP('Données projet'!$B$14,Paramètres!$A$1:$I$89,3,0)*VLOOKUP('Données projet'!$B$14,Paramètres!$A$1:$I$89,5,0)</f>
        <v>45.631999999999984</v>
      </c>
      <c r="DQ45" s="13">
        <f t="shared" si="43"/>
        <v>13.479773612605848</v>
      </c>
      <c r="DR45" s="20">
        <f t="shared" si="16"/>
        <v>102.95300570862183</v>
      </c>
      <c r="DS45" s="59">
        <f t="shared" si="17"/>
        <v>352.33167196925655</v>
      </c>
      <c r="DT45" s="59">
        <f ca="1">AVERAGE(OFFSET($DS$3,0,0,'Données projet'!$E$14+1,1))-AVERAGE(OFFSET($H$3,0,0,'Données projet'!$E$14+1,1))</f>
        <v>206.5245935130306</v>
      </c>
      <c r="DU45" s="59">
        <f t="shared" si="44"/>
        <v>130.57011290898546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2.002076201534766</v>
      </c>
      <c r="EC45" s="21">
        <f>EXP(-LN(2)/2)*EC44+(1-EXP(-LN(2)/2))/(LN(2)/2)*DW45*DZ45*VLOOKUP('Données projet'!$B$14,Paramètres!$A$1:$I$89,3,0)*0.475*44/12</f>
        <v>0.79636495049781908</v>
      </c>
      <c r="ED45" s="22">
        <f t="shared" si="18"/>
        <v>2.7984411520325851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7.7715686274509812</v>
      </c>
      <c r="EJ45" s="12">
        <f>IF('Données projet'!$A$192&gt;35,EJ44+EI45-ER44,IF(A45&lt;'Données projet'!$A$192,$EG$205^A45,IF(A45='Données projet'!$A$192,'Données projet'!$B$192,EJ44+EI45-ER44)))</f>
        <v>326.40588235294109</v>
      </c>
      <c r="EK45" s="17">
        <f>EJ45*VLOOKUP('Données projet'!$B$15,Paramètres!$A$1:$I$89,3,0)*VLOOKUP('Données projet'!$B$15,Paramètres!$A$1:$I$89,5,0)</f>
        <v>152.75795294117643</v>
      </c>
      <c r="EL45" s="13">
        <f t="shared" si="45"/>
        <v>39.204674186786249</v>
      </c>
      <c r="EM45" s="20">
        <f t="shared" si="19"/>
        <v>334.33490891453494</v>
      </c>
      <c r="EN45" s="59">
        <f t="shared" si="20"/>
        <v>583.71357517516969</v>
      </c>
      <c r="EO45" s="59">
        <f ca="1">AVERAGE(OFFSET($EN$3,0,0,'Données projet'!$E$15+1,1))-AVERAGE(OFFSET($H$3,0,0,'Données projet'!$E$15+1,1))</f>
        <v>374.38106339726073</v>
      </c>
      <c r="EP45" s="59">
        <f t="shared" si="46"/>
        <v>296.53283288925957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9">
        <f t="shared" si="0"/>
        <v>523.89336176039023</v>
      </c>
      <c r="S46" s="59">
        <f ca="1">AVERAGE(OFFSET($R$3,0,0,'Données projet'!$E$9+1,1))-AVERAGE(OFFSET($H$3,0,0,'Données projet'!$E$9+1,1))</f>
        <v>681.47578137804555</v>
      </c>
      <c r="T46" s="59">
        <f t="shared" si="34"/>
        <v>300.88511065995885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134.36592000000005</v>
      </c>
      <c r="AK46" s="13">
        <f t="shared" si="35"/>
        <v>35.003247613199107</v>
      </c>
      <c r="AL46" s="20">
        <f t="shared" si="4"/>
        <v>294.98463359298847</v>
      </c>
      <c r="AM46" s="59">
        <f t="shared" si="5"/>
        <v>545.12581505942057</v>
      </c>
      <c r="AN46" s="59">
        <f ca="1">AVERAGE(OFFSET($AM$3,0,0,'Données projet'!$E$10+1,1))-AVERAGE(OFFSET($H$3,0,0,'Données projet'!$E$10+1,1))</f>
        <v>423.80243030843661</v>
      </c>
      <c r="AO46" s="59">
        <f t="shared" si="36"/>
        <v>260.29028006191834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6.2682481325528387</v>
      </c>
      <c r="AW46" s="21">
        <f>EXP(-LN(2)/2)*AW45+(1-EXP(-LN(2)/2))/(LN(2)/2)*AQ46*AT46*VLOOKUP('Données projet'!$B$10,Paramètres!$A$1:$I$89,3,0)*0.475*44/12</f>
        <v>2.0167658898333714</v>
      </c>
      <c r="AX46" s="21">
        <f t="shared" si="6"/>
        <v>8.2850140223862105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15.714444444444442</v>
      </c>
      <c r="BD46" s="12">
        <f>IF('Données projet'!$A$88&gt;35,BD45+BC46-BL45,IF(A46&lt;'Données projet'!$A$88,$BA$205^A46,IF(A46='Données projet'!$A$88,'Données projet'!$B$88,BD45+BC46-BL45)))</f>
        <v>260.00888888888898</v>
      </c>
      <c r="BE46" s="13">
        <f>BD46*VLOOKUP('Données projet'!$B$11,Paramètres!$A$1:$I$89,3,0)*VLOOKUP('Données projet'!$B$11,Paramètres!$A$1:$I$89,5,0)</f>
        <v>155.48531555555562</v>
      </c>
      <c r="BF46" s="13">
        <f t="shared" si="37"/>
        <v>39.822525633411466</v>
      </c>
      <c r="BG46" s="20">
        <f t="shared" si="7"/>
        <v>340.16115673745094</v>
      </c>
      <c r="BH46" s="59">
        <f t="shared" si="8"/>
        <v>590.30233820388298</v>
      </c>
      <c r="BI46" s="59">
        <f ca="1">AVERAGE(OFFSET($BH$3,0,0,'Données projet'!$E$11+1,1))-AVERAGE(OFFSET($H$3,0,0,'Données projet'!$E$11+1,1))</f>
        <v>373.61861223558259</v>
      </c>
      <c r="BJ46" s="59">
        <f t="shared" si="38"/>
        <v>277.62293009761049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24.113732793349126</v>
      </c>
      <c r="BQ46" s="21">
        <f>EXP(-LN(2)/25)*BQ45+(1-EXP(-LN(2)/25))/(LN(2)/25)*Calculateur!BL46*Calculateur!BN46*VLOOKUP('Données projet'!$B$11,Paramètres!$A$1:$I$89,3,0)*0.475*44/12</f>
        <v>16.955562403253424</v>
      </c>
      <c r="BR46" s="21">
        <f>EXP(-LN(2)/2)*BR45+(1-EXP(-LN(2)/2))/(LN(2)/2)*BL46*BO46*VLOOKUP('Données projet'!$B$11,Paramètres!$A$1:$I$89,3,0)*0.475*44/12</f>
        <v>5.33895404258016</v>
      </c>
      <c r="BS46" s="22">
        <f t="shared" si="9"/>
        <v>46.408249239182716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4.487179487179489</v>
      </c>
      <c r="BY46" s="12">
        <f>IF('Données projet'!$A$114&gt;35,BY45+BX46-CG45,IF(A46&lt;'Données projet'!$A$114,$BV$205^A46,IF(A46='Données projet'!$A$114,'Données projet'!$B$114,BY45+BX46-CG45)))</f>
        <v>106.41025641025644</v>
      </c>
      <c r="BZ46" s="13">
        <f>BY46*VLOOKUP('Données projet'!$B$12,Paramètres!$A$1:$I$89,3,0)*VLOOKUP('Données projet'!$B$12,Paramètres!$A$1:$I$89,5,0)</f>
        <v>92.960000000000036</v>
      </c>
      <c r="CA46" s="13">
        <f t="shared" si="39"/>
        <v>25.277755693390663</v>
      </c>
      <c r="CB46" s="20">
        <f t="shared" si="10"/>
        <v>205.93075783265544</v>
      </c>
      <c r="CC46" s="59">
        <f t="shared" si="11"/>
        <v>456.07193929908749</v>
      </c>
      <c r="CD46" s="59">
        <f ca="1">AVERAGE(OFFSET($CC$3,0,0,'Données projet'!$E$12+1,1))-AVERAGE(OFFSET($H$3,0,0,'Données projet'!$E$12+1,1))</f>
        <v>251.30277097589737</v>
      </c>
      <c r="CE46" s="59">
        <f t="shared" si="40"/>
        <v>224.11983819941796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12.297488593533712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12.297488593533712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6.4</v>
      </c>
      <c r="CT46" s="12">
        <f>IF('Données projet'!$A$140&gt;35,CT45+CS46-DB45,IF(A46&lt;'Données projet'!$A$140,$CQ$205^A46,IF(A46='Données projet'!$A$140,'Données projet'!$B$140,CT45+CS46-DB45)))</f>
        <v>151.19999999999996</v>
      </c>
      <c r="CU46" s="17">
        <f>CT46*VLOOKUP('Données projet'!$B$13,Paramètres!$A$1:$I$89,3,0)*VLOOKUP('Données projet'!$B$13,Paramètres!$A$1:$I$89,5,0)</f>
        <v>132.08831999999998</v>
      </c>
      <c r="CV46" s="13">
        <f t="shared" si="41"/>
        <v>34.47846029657056</v>
      </c>
      <c r="CW46" s="20">
        <f t="shared" si="13"/>
        <v>290.10380901652701</v>
      </c>
      <c r="CX46" s="59">
        <f t="shared" si="14"/>
        <v>540.24499048295911</v>
      </c>
      <c r="CY46" s="59">
        <f ca="1">AVERAGE(OFFSET($CX$3,0,0,'Données projet'!$E$13+1,1))-AVERAGE(OFFSET($H$3,0,0,'Données projet'!$E$13+1,1))</f>
        <v>287.28439432670405</v>
      </c>
      <c r="CZ46" s="59">
        <f t="shared" si="42"/>
        <v>276.01618888357268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9.5132254824775426</v>
      </c>
      <c r="DH46" s="21">
        <f>EXP(-LN(2)/2)*DH45+(1-EXP(-LN(2)/2))/(LN(2)/2)*DB46*DE46*VLOOKUP('Données projet'!$B$13,Paramètres!$A$1:$I$89,3,0)*0.475*44/12</f>
        <v>1.8581834674577378</v>
      </c>
      <c r="DI46" s="22">
        <f t="shared" si="15"/>
        <v>11.37140894993528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2.4358974358974352</v>
      </c>
      <c r="DO46" s="12">
        <f>IF('Données projet'!$A$166&gt;35,DO45+DN46-DW45,IF(A46&lt;'Données projet'!$A$166,$DL$205^A46,IF(A46='Données projet'!$A$166,'Données projet'!$B$166,DO45+DN46-DW45)))</f>
        <v>49.615384615384599</v>
      </c>
      <c r="DP46" s="17">
        <f>DO46*VLOOKUP('Données projet'!$B$14,Paramètres!$A$1:$I$89,3,0)*VLOOKUP('Données projet'!$B$14,Paramètres!$A$1:$I$89,5,0)</f>
        <v>47.987999999999985</v>
      </c>
      <c r="DQ46" s="13">
        <f t="shared" si="43"/>
        <v>14.092916364095757</v>
      </c>
      <c r="DR46" s="20">
        <f t="shared" si="16"/>
        <v>108.12426266746674</v>
      </c>
      <c r="DS46" s="59">
        <f t="shared" si="17"/>
        <v>358.26544413389877</v>
      </c>
      <c r="DT46" s="59">
        <f ca="1">AVERAGE(OFFSET($DS$3,0,0,'Données projet'!$E$14+1,1))-AVERAGE(OFFSET($H$3,0,0,'Données projet'!$E$14+1,1))</f>
        <v>206.5245935130306</v>
      </c>
      <c r="DU46" s="59">
        <f t="shared" si="44"/>
        <v>130.57011290898546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1.9473293225191861</v>
      </c>
      <c r="EC46" s="21">
        <f>EXP(-LN(2)/2)*EC45+(1-EXP(-LN(2)/2))/(LN(2)/2)*DW46*DZ46*VLOOKUP('Données projet'!$B$14,Paramètres!$A$1:$I$89,3,0)*0.475*44/12</f>
        <v>0.56311505679629714</v>
      </c>
      <c r="ED46" s="22">
        <f t="shared" si="18"/>
        <v>2.5104443793154831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7.7715686274509812</v>
      </c>
      <c r="EJ46" s="12">
        <f>IF('Données projet'!$A$192&gt;35,EJ45+EI46-ER45,IF(A46&lt;'Données projet'!$A$192,$EG$205^A46,IF(A46='Données projet'!$A$192,'Données projet'!$B$192,EJ45+EI46-ER45)))</f>
        <v>334.17745098039205</v>
      </c>
      <c r="EK46" s="17">
        <f>EJ46*VLOOKUP('Données projet'!$B$15,Paramètres!$A$1:$I$89,3,0)*VLOOKUP('Données projet'!$B$15,Paramètres!$A$1:$I$89,5,0)</f>
        <v>156.39504705882348</v>
      </c>
      <c r="EL46" s="13">
        <f t="shared" si="45"/>
        <v>40.028332931481749</v>
      </c>
      <c r="EM46" s="20">
        <f t="shared" si="19"/>
        <v>342.10405348311491</v>
      </c>
      <c r="EN46" s="59">
        <f t="shared" si="20"/>
        <v>592.24523494954701</v>
      </c>
      <c r="EO46" s="59">
        <f ca="1">AVERAGE(OFFSET($EN$3,0,0,'Données projet'!$E$15+1,1))-AVERAGE(OFFSET($H$3,0,0,'Données projet'!$E$15+1,1))</f>
        <v>374.38106339726073</v>
      </c>
      <c r="EP46" s="59">
        <f t="shared" si="46"/>
        <v>296.53283288925957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9">
        <f t="shared" si="0"/>
        <v>544.25928256518523</v>
      </c>
      <c r="S47" s="59">
        <f ca="1">AVERAGE(OFFSET($R$3,0,0,'Données projet'!$E$9+1,1))-AVERAGE(OFFSET($H$3,0,0,'Données projet'!$E$9+1,1))</f>
        <v>681.47578137804555</v>
      </c>
      <c r="T47" s="59">
        <f t="shared" si="34"/>
        <v>300.88511065995885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142.35936000000004</v>
      </c>
      <c r="AK47" s="13">
        <f t="shared" si="35"/>
        <v>36.836974905762489</v>
      </c>
      <c r="AL47" s="20">
        <f t="shared" si="4"/>
        <v>312.10028329420305</v>
      </c>
      <c r="AM47" s="59">
        <f t="shared" si="5"/>
        <v>562.99075203234042</v>
      </c>
      <c r="AN47" s="59">
        <f ca="1">AVERAGE(OFFSET($AM$3,0,0,'Données projet'!$E$10+1,1))-AVERAGE(OFFSET($H$3,0,0,'Données projet'!$E$10+1,1))</f>
        <v>423.80243030843661</v>
      </c>
      <c r="AO47" s="59">
        <f t="shared" si="36"/>
        <v>260.29028006191834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6.0968425577353385</v>
      </c>
      <c r="AW47" s="21">
        <f>EXP(-LN(2)/2)*AW46+(1-EXP(-LN(2)/2))/(LN(2)/2)*AQ47*AT47*VLOOKUP('Données projet'!$B$10,Paramètres!$A$1:$I$89,3,0)*0.475*44/12</f>
        <v>1.4260688367668986</v>
      </c>
      <c r="AX47" s="21">
        <f t="shared" si="6"/>
        <v>7.5229113945022368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15.714444444444442</v>
      </c>
      <c r="BD47" s="12">
        <f>IF('Données projet'!$A$88&gt;35,BD46+BC47-BL46,IF(A47&lt;'Données projet'!$A$88,$BA$205^A47,IF(A47='Données projet'!$A$88,'Données projet'!$B$88,BD46+BC47-BL46)))</f>
        <v>275.72333333333341</v>
      </c>
      <c r="BE47" s="13">
        <f>BD47*VLOOKUP('Données projet'!$B$11,Paramètres!$A$1:$I$89,3,0)*VLOOKUP('Données projet'!$B$11,Paramètres!$A$1:$I$89,5,0)</f>
        <v>164.88255333333339</v>
      </c>
      <c r="BF47" s="13">
        <f t="shared" si="37"/>
        <v>41.941854905576896</v>
      </c>
      <c r="BG47" s="20">
        <f t="shared" si="7"/>
        <v>360.2191776827687</v>
      </c>
      <c r="BH47" s="59">
        <f t="shared" si="8"/>
        <v>611.10964642090607</v>
      </c>
      <c r="BI47" s="59">
        <f ca="1">AVERAGE(OFFSET($BH$3,0,0,'Données projet'!$E$11+1,1))-AVERAGE(OFFSET($H$3,0,0,'Données projet'!$E$11+1,1))</f>
        <v>373.61861223558259</v>
      </c>
      <c r="BJ47" s="59">
        <f t="shared" si="38"/>
        <v>277.62293009761049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23.640877201196265</v>
      </c>
      <c r="BQ47" s="21">
        <f>EXP(-LN(2)/25)*BQ46+(1-EXP(-LN(2)/25))/(LN(2)/25)*Calculateur!BL47*Calculateur!BN47*VLOOKUP('Données projet'!$B$11,Paramètres!$A$1:$I$89,3,0)*0.475*44/12</f>
        <v>16.491911657682184</v>
      </c>
      <c r="BR47" s="21">
        <f>EXP(-LN(2)/2)*BR46+(1-EXP(-LN(2)/2))/(LN(2)/2)*BL47*BO47*VLOOKUP('Données projet'!$B$11,Paramètres!$A$1:$I$89,3,0)*0.475*44/12</f>
        <v>3.7752106079517627</v>
      </c>
      <c r="BS47" s="22">
        <f t="shared" si="9"/>
        <v>43.907999466830212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4.487179487179489</v>
      </c>
      <c r="BY47" s="12">
        <f>IF('Données projet'!$A$114&gt;35,BY46+BX47-CG46,IF(A47&lt;'Données projet'!$A$114,$BV$205^A47,IF(A47='Données projet'!$A$114,'Données projet'!$B$114,BY46+BX47-CG46)))</f>
        <v>110.89743589743593</v>
      </c>
      <c r="BZ47" s="13">
        <f>BY47*VLOOKUP('Données projet'!$B$12,Paramètres!$A$1:$I$89,3,0)*VLOOKUP('Données projet'!$B$12,Paramètres!$A$1:$I$89,5,0)</f>
        <v>96.880000000000038</v>
      </c>
      <c r="CA47" s="13">
        <f t="shared" si="39"/>
        <v>26.217334929013017</v>
      </c>
      <c r="CB47" s="20">
        <f t="shared" si="10"/>
        <v>214.3945250013644</v>
      </c>
      <c r="CC47" s="59">
        <f t="shared" si="11"/>
        <v>465.28499373950183</v>
      </c>
      <c r="CD47" s="59">
        <f ca="1">AVERAGE(OFFSET($CC$3,0,0,'Données projet'!$E$12+1,1))-AVERAGE(OFFSET($H$3,0,0,'Données projet'!$E$12+1,1))</f>
        <v>251.30277097589737</v>
      </c>
      <c r="CE47" s="59">
        <f t="shared" si="40"/>
        <v>224.11983819941796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11.961213121246715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11.961213121246715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6.4</v>
      </c>
      <c r="CT47" s="12">
        <f>IF('Données projet'!$A$140&gt;35,CT46+CS47-DB46,IF(A47&lt;'Données projet'!$A$140,$CQ$205^A47,IF(A47='Données projet'!$A$140,'Données projet'!$B$140,CT46+CS47-DB46)))</f>
        <v>157.59999999999997</v>
      </c>
      <c r="CU47" s="17">
        <f>CT47*VLOOKUP('Données projet'!$B$13,Paramètres!$A$1:$I$89,3,0)*VLOOKUP('Données projet'!$B$13,Paramètres!$A$1:$I$89,5,0)</f>
        <v>137.67935999999997</v>
      </c>
      <c r="CV47" s="13">
        <f t="shared" si="41"/>
        <v>35.764863394856881</v>
      </c>
      <c r="CW47" s="20">
        <f t="shared" si="13"/>
        <v>302.08202241270902</v>
      </c>
      <c r="CX47" s="59">
        <f t="shared" si="14"/>
        <v>552.97249115084651</v>
      </c>
      <c r="CY47" s="59">
        <f ca="1">AVERAGE(OFFSET($CX$3,0,0,'Données projet'!$E$13+1,1))-AVERAGE(OFFSET($H$3,0,0,'Données projet'!$E$13+1,1))</f>
        <v>287.28439432670405</v>
      </c>
      <c r="CZ47" s="59">
        <f t="shared" si="42"/>
        <v>276.01618888357268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9.2530858313804085</v>
      </c>
      <c r="DH47" s="21">
        <f>EXP(-LN(2)/2)*DH46+(1-EXP(-LN(2)/2))/(LN(2)/2)*DB47*DE47*VLOOKUP('Données projet'!$B$13,Paramètres!$A$1:$I$89,3,0)*0.475*44/12</f>
        <v>1.3139341305280989</v>
      </c>
      <c r="DI47" s="22">
        <f t="shared" si="15"/>
        <v>10.567019961908507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2.4358974358974352</v>
      </c>
      <c r="DO47" s="12">
        <f>IF('Données projet'!$A$166&gt;35,DO46+DN47-DW46,IF(A47&lt;'Données projet'!$A$166,$DL$205^A47,IF(A47='Données projet'!$A$166,'Données projet'!$B$166,DO46+DN47-DW46)))</f>
        <v>52.051282051282037</v>
      </c>
      <c r="DP47" s="17">
        <f>DO47*VLOOKUP('Données projet'!$B$14,Paramètres!$A$1:$I$89,3,0)*VLOOKUP('Données projet'!$B$14,Paramètres!$A$1:$I$89,5,0)</f>
        <v>50.343999999999987</v>
      </c>
      <c r="DQ47" s="13">
        <f t="shared" si="43"/>
        <v>14.702563681548275</v>
      </c>
      <c r="DR47" s="20">
        <f t="shared" si="16"/>
        <v>113.28943174536323</v>
      </c>
      <c r="DS47" s="59">
        <f t="shared" si="17"/>
        <v>364.17990048350066</v>
      </c>
      <c r="DT47" s="59">
        <f ca="1">AVERAGE(OFFSET($DS$3,0,0,'Données projet'!$E$14+1,1))-AVERAGE(OFFSET($H$3,0,0,'Données projet'!$E$14+1,1))</f>
        <v>206.5245935130306</v>
      </c>
      <c r="DU47" s="59">
        <f t="shared" si="44"/>
        <v>130.57011290898546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1.8940794997893007</v>
      </c>
      <c r="EC47" s="21">
        <f>EXP(-LN(2)/2)*EC46+(1-EXP(-LN(2)/2))/(LN(2)/2)*DW47*DZ47*VLOOKUP('Données projet'!$B$14,Paramètres!$A$1:$I$89,3,0)*0.475*44/12</f>
        <v>0.3981824752489096</v>
      </c>
      <c r="ED47" s="22">
        <f t="shared" si="18"/>
        <v>2.2922619750382101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7.7715686274509812</v>
      </c>
      <c r="EJ47" s="12">
        <f>IF('Données projet'!$A$192&gt;35,EJ46+EI47-ER46,IF(A47&lt;'Données projet'!$A$192,$EG$205^A47,IF(A47='Données projet'!$A$192,'Données projet'!$B$192,EJ46+EI47-ER46)))</f>
        <v>341.94901960784301</v>
      </c>
      <c r="EK47" s="17">
        <f>EJ47*VLOOKUP('Données projet'!$B$15,Paramètres!$A$1:$I$89,3,0)*VLOOKUP('Données projet'!$B$15,Paramètres!$A$1:$I$89,5,0)</f>
        <v>160.03214117647053</v>
      </c>
      <c r="EL47" s="13">
        <f t="shared" si="45"/>
        <v>40.849764854015</v>
      </c>
      <c r="EM47" s="20">
        <f t="shared" si="19"/>
        <v>349.86931966976226</v>
      </c>
      <c r="EN47" s="59">
        <f t="shared" si="20"/>
        <v>600.75978840789969</v>
      </c>
      <c r="EO47" s="59">
        <f ca="1">AVERAGE(OFFSET($EN$3,0,0,'Données projet'!$E$15+1,1))-AVERAGE(OFFSET($H$3,0,0,'Données projet'!$E$15+1,1))</f>
        <v>374.38106339726073</v>
      </c>
      <c r="EP47" s="59">
        <f t="shared" si="46"/>
        <v>296.53283288925957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9">
        <f t="shared" si="0"/>
        <v>564.58293364486485</v>
      </c>
      <c r="S48" s="59">
        <f ca="1">AVERAGE(OFFSET($R$3,0,0,'Données projet'!$E$9+1,1))-AVERAGE(OFFSET($H$3,0,0,'Données projet'!$E$9+1,1))</f>
        <v>681.47578137804555</v>
      </c>
      <c r="T48" s="59">
        <f t="shared" si="34"/>
        <v>300.88511065995885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150.35280000000006</v>
      </c>
      <c r="AK48" s="13">
        <f t="shared" si="35"/>
        <v>38.658749721546236</v>
      </c>
      <c r="AL48" s="20">
        <f t="shared" si="4"/>
        <v>329.19511576502646</v>
      </c>
      <c r="AM48" s="59">
        <f t="shared" si="5"/>
        <v>580.82187331586056</v>
      </c>
      <c r="AN48" s="59">
        <f ca="1">AVERAGE(OFFSET($AM$3,0,0,'Données projet'!$E$10+1,1))-AVERAGE(OFFSET($H$3,0,0,'Données projet'!$E$10+1,1))</f>
        <v>423.80243030843661</v>
      </c>
      <c r="AO48" s="59">
        <f t="shared" si="36"/>
        <v>260.29028006191834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0.1075</v>
      </c>
      <c r="AT48" s="16">
        <f>IF(ISNA(VLOOKUP(A48,'Données projet'!$A$61:$I$81,7,0)),0%,VLOOKUP(A48,'Données projet'!$A$61:$I$81,7,0))</f>
        <v>0.25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8.2955859079098726</v>
      </c>
      <c r="AW48" s="21">
        <f>EXP(-LN(2)/2)*AW47+(1-EXP(-LN(2)/2))/(LN(2)/2)*AQ48*AT48*VLOOKUP('Données projet'!$B$10,Paramètres!$A$1:$I$89,3,0)*0.475*44/12</f>
        <v>5.7221490575937448</v>
      </c>
      <c r="AX48" s="21">
        <f t="shared" si="6"/>
        <v>14.017734965503617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15.714444444444442</v>
      </c>
      <c r="BD48" s="12">
        <f>IF('Données projet'!$A$88&gt;35,BD47+BC48-BL47,IF(A48&lt;'Données projet'!$A$88,$BA$205^A48,IF(A48='Données projet'!$A$88,'Données projet'!$B$88,BD47+BC48-BL47)))</f>
        <v>291.43777777777785</v>
      </c>
      <c r="BE48" s="13">
        <f>BD48*VLOOKUP('Données projet'!$B$11,Paramètres!$A$1:$I$89,3,0)*VLOOKUP('Données projet'!$B$11,Paramètres!$A$1:$I$89,5,0)</f>
        <v>174.27979111111117</v>
      </c>
      <c r="BF48" s="13">
        <f t="shared" si="37"/>
        <v>44.047162970671543</v>
      </c>
      <c r="BG48" s="20">
        <f t="shared" si="7"/>
        <v>380.25277835910487</v>
      </c>
      <c r="BH48" s="59">
        <f t="shared" si="8"/>
        <v>631.87953590993902</v>
      </c>
      <c r="BI48" s="59">
        <f ca="1">AVERAGE(OFFSET($BH$3,0,0,'Données projet'!$E$11+1,1))-AVERAGE(OFFSET($H$3,0,0,'Données projet'!$E$11+1,1))</f>
        <v>373.61861223558259</v>
      </c>
      <c r="BJ48" s="59">
        <f t="shared" si="38"/>
        <v>277.62293009761049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23.17729401879209</v>
      </c>
      <c r="BQ48" s="21">
        <f>EXP(-LN(2)/25)*BQ47+(1-EXP(-LN(2)/25))/(LN(2)/25)*Calculateur!BL48*Calculateur!BN48*VLOOKUP('Données projet'!$B$11,Paramètres!$A$1:$I$89,3,0)*0.475*44/12</f>
        <v>16.040939466130922</v>
      </c>
      <c r="BR48" s="21">
        <f>EXP(-LN(2)/2)*BR47+(1-EXP(-LN(2)/2))/(LN(2)/2)*BL48*BO48*VLOOKUP('Données projet'!$B$11,Paramètres!$A$1:$I$89,3,0)*0.475*44/12</f>
        <v>2.6694770212900805</v>
      </c>
      <c r="BS48" s="22">
        <f t="shared" si="9"/>
        <v>41.887710506213089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115.38461538461539</v>
      </c>
      <c r="BW48" s="12">
        <f>VLOOKUP(A48,'Données projet'!$A$113:$I$133,9,0)</f>
        <v>4.487179487179489</v>
      </c>
      <c r="BX48" s="12">
        <f t="array" ref="BX48">INDEX(BW:BW,MIN(IF(ISNUMBER(BW48:BW244),ROW(BW48:BW244),"")))</f>
        <v>4.487179487179489</v>
      </c>
      <c r="BY48" s="12">
        <f>IF('Données projet'!$A$114&gt;35,BY47+BX48-CG47,IF(A48&lt;'Données projet'!$A$114,$BV$205^A48,IF(A48='Données projet'!$A$114,'Données projet'!$B$114,BY47+BX48-CG47)))</f>
        <v>115.38461538461542</v>
      </c>
      <c r="BZ48" s="13">
        <f>BY48*VLOOKUP('Données projet'!$B$12,Paramètres!$A$1:$I$89,3,0)*VLOOKUP('Données projet'!$B$12,Paramètres!$A$1:$I$89,5,0)</f>
        <v>100.80000000000004</v>
      </c>
      <c r="CA48" s="13">
        <f t="shared" si="39"/>
        <v>27.152498041464082</v>
      </c>
      <c r="CB48" s="20">
        <f t="shared" si="10"/>
        <v>222.85060075554998</v>
      </c>
      <c r="CC48" s="59">
        <f t="shared" si="11"/>
        <v>474.47735830638408</v>
      </c>
      <c r="CD48" s="59">
        <f ca="1">AVERAGE(OFFSET($CC$3,0,0,'Données projet'!$E$12+1,1))-AVERAGE(OFFSET($H$3,0,0,'Données projet'!$E$12+1,1))</f>
        <v>251.30277097589737</v>
      </c>
      <c r="CE48" s="59">
        <f t="shared" si="40"/>
        <v>224.11983819941796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14.102564102564102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0.215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14.550773739961098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14.550773739961098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164</v>
      </c>
      <c r="CR48" s="12">
        <f>VLOOKUP(A48,'Données projet'!$A$139:$I$159,9,0)</f>
        <v>6.4</v>
      </c>
      <c r="CS48" s="12">
        <f t="array" ref="CS48">INDEX(CR:CR,MIN(IF(ISNUMBER(CR48:CR244),ROW(CR48:CR244),"")))</f>
        <v>6.4</v>
      </c>
      <c r="CT48" s="12">
        <f>IF('Données projet'!$A$140&gt;35,CT47+CS48-DB47,IF(A48&lt;'Données projet'!$A$140,$CQ$205^A48,IF(A48='Données projet'!$A$140,'Données projet'!$B$140,CT47+CS48-DB47)))</f>
        <v>163.99999999999997</v>
      </c>
      <c r="CU48" s="17">
        <f>CT48*VLOOKUP('Données projet'!$B$13,Paramètres!$A$1:$I$89,3,0)*VLOOKUP('Données projet'!$B$13,Paramètres!$A$1:$I$89,5,0)</f>
        <v>143.2704</v>
      </c>
      <c r="CV48" s="13">
        <f t="shared" si="41"/>
        <v>37.045198377171303</v>
      </c>
      <c r="CW48" s="20">
        <f t="shared" si="13"/>
        <v>314.04966717357325</v>
      </c>
      <c r="CX48" s="59">
        <f t="shared" si="14"/>
        <v>565.67642472440741</v>
      </c>
      <c r="CY48" s="59">
        <f ca="1">AVERAGE(OFFSET($CX$3,0,0,'Données projet'!$E$13+1,1))-AVERAGE(OFFSET($H$3,0,0,'Données projet'!$E$13+1,1))</f>
        <v>287.28439432670405</v>
      </c>
      <c r="CZ48" s="59">
        <f t="shared" si="42"/>
        <v>276.01618888357268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18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0.13250000000000001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11.29427812556316</v>
      </c>
      <c r="DH48" s="21">
        <f>EXP(-LN(2)/2)*DH47+(1-EXP(-LN(2)/2))/(LN(2)/2)*DB48*DE48*VLOOKUP('Données projet'!$B$13,Paramètres!$A$1:$I$89,3,0)*0.475*44/12</f>
        <v>4.6382847404255712</v>
      </c>
      <c r="DI48" s="22">
        <f t="shared" si="15"/>
        <v>15.932562865988732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54.487179487179482</v>
      </c>
      <c r="DM48" s="12">
        <f>VLOOKUP(A48,'Données projet'!$A$165:$I$185,9,0)</f>
        <v>2.4358974358974352</v>
      </c>
      <c r="DN48" s="12">
        <f t="array" ref="DN48">INDEX(DM:DM,MIN(IF(ISNUMBER(DM48:DM244),ROW(DM48:DM244),"")))</f>
        <v>2.4358974358974352</v>
      </c>
      <c r="DO48" s="12">
        <f>IF('Données projet'!$A$166&gt;35,DO47+DN48-DW47,IF(A48&lt;'Données projet'!$A$166,$DL$205^A48,IF(A48='Données projet'!$A$166,'Données projet'!$B$166,DO47+DN48-DW47)))</f>
        <v>54.487179487179475</v>
      </c>
      <c r="DP48" s="17">
        <f>DO48*VLOOKUP('Données projet'!$B$14,Paramètres!$A$1:$I$89,3,0)*VLOOKUP('Données projet'!$B$14,Paramètres!$A$1:$I$89,5,0)</f>
        <v>52.699999999999996</v>
      </c>
      <c r="DQ48" s="13">
        <f t="shared" si="43"/>
        <v>15.308897824579391</v>
      </c>
      <c r="DR48" s="20">
        <f t="shared" si="16"/>
        <v>118.4488303778091</v>
      </c>
      <c r="DS48" s="59">
        <f t="shared" si="17"/>
        <v>370.07558792864324</v>
      </c>
      <c r="DT48" s="59">
        <f ca="1">AVERAGE(OFFSET($DS$3,0,0,'Données projet'!$E$14+1,1))-AVERAGE(OFFSET($H$3,0,0,'Données projet'!$E$14+1,1))</f>
        <v>206.5245935130306</v>
      </c>
      <c r="DU48" s="59">
        <f t="shared" si="44"/>
        <v>130.57011290898546</v>
      </c>
      <c r="DV48" s="15">
        <f>IF(ISNA(VLOOKUP(A48,'Données projet'!$A$165:$I$185,3,0)),0,VLOOKUP(A48,'Données projet'!$A$165:$I$185,3,0))</f>
        <v>5</v>
      </c>
      <c r="DW48" s="15">
        <f>IF(ISNA(VLOOKUP(A48,'Données projet'!$A$165:$I$185,4,0)),0,VLOOKUP(A48,'Données projet'!$A$165:$I$185,4,0))</f>
        <v>5.7692307692307692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0.1075</v>
      </c>
      <c r="DZ48" s="16">
        <f>IF(ISNA(VLOOKUP(A48,'Données projet'!$A$165:$I$185,7,0)),0%,VLOOKUP(A48,'Données projet'!$A$165:$I$185,7,0))</f>
        <v>0.25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2.5027912614629306</v>
      </c>
      <c r="EC48" s="21">
        <f>EXP(-LN(2)/2)*EC47+(1-EXP(-LN(2)/2))/(LN(2)/2)*DW48*DZ48*VLOOKUP('Données projet'!$B$14,Paramètres!$A$1:$I$89,3,0)*0.475*44/12</f>
        <v>1.597777574272665</v>
      </c>
      <c r="ED48" s="22">
        <f t="shared" si="18"/>
        <v>4.1005688357355954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7.7715686274509812</v>
      </c>
      <c r="EJ48" s="12">
        <f>IF('Données projet'!$A$192&gt;35,EJ47+EI48-ER47,IF(A48&lt;'Données projet'!$A$192,$EG$205^A48,IF(A48='Données projet'!$A$192,'Données projet'!$B$192,EJ47+EI48-ER47)))</f>
        <v>349.72058823529397</v>
      </c>
      <c r="EK48" s="17">
        <f>EJ48*VLOOKUP('Données projet'!$B$15,Paramètres!$A$1:$I$89,3,0)*VLOOKUP('Données projet'!$B$15,Paramètres!$A$1:$I$89,5,0)</f>
        <v>163.66923529411758</v>
      </c>
      <c r="EL48" s="13">
        <f t="shared" si="45"/>
        <v>41.669026390086572</v>
      </c>
      <c r="EM48" s="20">
        <f t="shared" si="19"/>
        <v>357.63080576665556</v>
      </c>
      <c r="EN48" s="59">
        <f t="shared" si="20"/>
        <v>609.25756331748971</v>
      </c>
      <c r="EO48" s="59">
        <f ca="1">AVERAGE(OFFSET($EN$3,0,0,'Données projet'!$E$15+1,1))-AVERAGE(OFFSET($H$3,0,0,'Données projet'!$E$15+1,1))</f>
        <v>374.38106339726073</v>
      </c>
      <c r="EP48" s="59">
        <f t="shared" si="46"/>
        <v>296.53283288925957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9">
        <f t="shared" si="0"/>
        <v>584.86662957617989</v>
      </c>
      <c r="S49" s="59">
        <f ca="1">AVERAGE(OFFSET($R$3,0,0,'Données projet'!$E$9+1,1))-AVERAGE(OFFSET($H$3,0,0,'Données projet'!$E$9+1,1))</f>
        <v>681.47578137804555</v>
      </c>
      <c r="T49" s="59">
        <f t="shared" si="34"/>
        <v>300.88511065995885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138.17232000000004</v>
      </c>
      <c r="AK49" s="13">
        <f t="shared" si="35"/>
        <v>35.877989993863793</v>
      </c>
      <c r="AL49" s="20">
        <f t="shared" si="4"/>
        <v>303.13762323931286</v>
      </c>
      <c r="AM49" s="59">
        <f t="shared" si="5"/>
        <v>555.48789663803848</v>
      </c>
      <c r="AN49" s="59">
        <f ca="1">AVERAGE(OFFSET($AM$3,0,0,'Données projet'!$E$10+1,1))-AVERAGE(OFFSET($H$3,0,0,'Données projet'!$E$10+1,1))</f>
        <v>423.80243030843661</v>
      </c>
      <c r="AO49" s="59">
        <f t="shared" si="36"/>
        <v>260.29028006191834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8.0687426750121745</v>
      </c>
      <c r="AW49" s="21">
        <f>EXP(-LN(2)/2)*AW48+(1-EXP(-LN(2)/2))/(LN(2)/2)*AQ49*AT49*VLOOKUP('Données projet'!$B$10,Paramètres!$A$1:$I$89,3,0)*0.475*44/12</f>
        <v>4.0461704015847495</v>
      </c>
      <c r="AX49" s="21">
        <f t="shared" si="6"/>
        <v>12.114913076596924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15.714444444444442</v>
      </c>
      <c r="BD49" s="12">
        <f>IF('Données projet'!$A$88&gt;35,BD48+BC49-BL48,IF(A49&lt;'Données projet'!$A$88,$BA$205^A49,IF(A49='Données projet'!$A$88,'Données projet'!$B$88,BD48+BC49-BL48)))</f>
        <v>307.15222222222229</v>
      </c>
      <c r="BE49" s="13">
        <f>BD49*VLOOKUP('Données projet'!$B$11,Paramètres!$A$1:$I$89,3,0)*VLOOKUP('Données projet'!$B$11,Paramètres!$A$1:$I$89,5,0)</f>
        <v>183.67702888888894</v>
      </c>
      <c r="BF49" s="13">
        <f t="shared" si="37"/>
        <v>46.139292054148385</v>
      </c>
      <c r="BG49" s="20">
        <f t="shared" si="7"/>
        <v>400.2634256424567</v>
      </c>
      <c r="BH49" s="59">
        <f t="shared" si="8"/>
        <v>652.61369904118237</v>
      </c>
      <c r="BI49" s="59">
        <f ca="1">AVERAGE(OFFSET($BH$3,0,0,'Données projet'!$E$11+1,1))-AVERAGE(OFFSET($H$3,0,0,'Données projet'!$E$11+1,1))</f>
        <v>373.61861223558259</v>
      </c>
      <c r="BJ49" s="59">
        <f t="shared" si="38"/>
        <v>277.62293009761049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22.72280141983704</v>
      </c>
      <c r="BQ49" s="21">
        <f>EXP(-LN(2)/25)*BQ48+(1-EXP(-LN(2)/25))/(LN(2)/25)*Calculateur!BL49*Calculateur!BN49*VLOOKUP('Données projet'!$B$11,Paramètres!$A$1:$I$89,3,0)*0.475*44/12</f>
        <v>15.602299132873227</v>
      </c>
      <c r="BR49" s="21">
        <f>EXP(-LN(2)/2)*BR48+(1-EXP(-LN(2)/2))/(LN(2)/2)*BL49*BO49*VLOOKUP('Données projet'!$B$11,Paramètres!$A$1:$I$89,3,0)*0.475*44/12</f>
        <v>1.8876053039758818</v>
      </c>
      <c r="BS49" s="22">
        <f t="shared" si="9"/>
        <v>40.212705856686149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4.2307692307692291</v>
      </c>
      <c r="BY49" s="12">
        <f>IF('Données projet'!$A$114&gt;35,BY48+BX49-CG48,IF(A49&lt;'Données projet'!$A$114,$BV$205^A49,IF(A49='Données projet'!$A$114,'Données projet'!$B$114,BY48+BX49-CG48)))</f>
        <v>105.51282051282054</v>
      </c>
      <c r="BZ49" s="13">
        <f>BY49*VLOOKUP('Données projet'!$B$12,Paramètres!$A$1:$I$89,3,0)*VLOOKUP('Données projet'!$B$12,Paramètres!$A$1:$I$89,5,0)</f>
        <v>92.17600000000003</v>
      </c>
      <c r="CA49" s="13">
        <f t="shared" si="39"/>
        <v>25.089291887587812</v>
      </c>
      <c r="CB49" s="20">
        <f t="shared" si="10"/>
        <v>204.23705003754878</v>
      </c>
      <c r="CC49" s="59">
        <f t="shared" si="11"/>
        <v>456.58732343627446</v>
      </c>
      <c r="CD49" s="59">
        <f ca="1">AVERAGE(OFFSET($CC$3,0,0,'Données projet'!$E$12+1,1))-AVERAGE(OFFSET($H$3,0,0,'Données projet'!$E$12+1,1))</f>
        <v>251.30277097589737</v>
      </c>
      <c r="CE49" s="59">
        <f t="shared" si="40"/>
        <v>224.11983819941796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14.152882066849926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14.152882066849926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151.59999999999997</v>
      </c>
      <c r="CU49" s="17">
        <f>CT49*VLOOKUP('Données projet'!$B$13,Paramètres!$A$1:$I$89,3,0)*VLOOKUP('Données projet'!$B$13,Paramètres!$A$1:$I$89,5,0)</f>
        <v>132.43776</v>
      </c>
      <c r="CV49" s="13">
        <f t="shared" si="41"/>
        <v>34.559043580858436</v>
      </c>
      <c r="CW49" s="20">
        <f t="shared" si="13"/>
        <v>290.85276623666175</v>
      </c>
      <c r="CX49" s="59">
        <f t="shared" si="14"/>
        <v>543.20303963538743</v>
      </c>
      <c r="CY49" s="59">
        <f ca="1">AVERAGE(OFFSET($CX$3,0,0,'Données projet'!$E$13+1,1))-AVERAGE(OFFSET($H$3,0,0,'Données projet'!$E$13+1,1))</f>
        <v>287.28439432670405</v>
      </c>
      <c r="CZ49" s="59">
        <f t="shared" si="42"/>
        <v>276.01618888357268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10.985435496279361</v>
      </c>
      <c r="DH49" s="21">
        <f>EXP(-LN(2)/2)*DH48+(1-EXP(-LN(2)/2))/(LN(2)/2)*DB49*DE49*VLOOKUP('Données projet'!$B$13,Paramètres!$A$1:$I$89,3,0)*0.475*44/12</f>
        <v>3.2797625930290071</v>
      </c>
      <c r="DI49" s="22">
        <f t="shared" si="15"/>
        <v>14.265198089308369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2.5641025641025634</v>
      </c>
      <c r="DO49" s="12">
        <f>IF('Données projet'!$A$166&gt;35,DO48+DN49-DW48,IF(A49&lt;'Données projet'!$A$166,$DL$205^A49,IF(A49='Données projet'!$A$166,'Données projet'!$B$166,DO48+DN49-DW48)))</f>
        <v>51.28205128205127</v>
      </c>
      <c r="DP49" s="17">
        <f>DO49*VLOOKUP('Données projet'!$B$14,Paramètres!$A$1:$I$89,3,0)*VLOOKUP('Données projet'!$B$14,Paramètres!$A$1:$I$89,5,0)</f>
        <v>49.599999999999994</v>
      </c>
      <c r="DQ49" s="13">
        <f t="shared" si="43"/>
        <v>14.510409678054639</v>
      </c>
      <c r="DR49" s="20">
        <f t="shared" si="16"/>
        <v>111.65896352261181</v>
      </c>
      <c r="DS49" s="59">
        <f t="shared" si="17"/>
        <v>364.00923692133745</v>
      </c>
      <c r="DT49" s="59">
        <f ca="1">AVERAGE(OFFSET($DS$3,0,0,'Données projet'!$E$14+1,1))-AVERAGE(OFFSET($H$3,0,0,'Données projet'!$E$14+1,1))</f>
        <v>206.5245935130306</v>
      </c>
      <c r="DU49" s="59">
        <f t="shared" si="44"/>
        <v>130.57011290898546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2.4343523028021545</v>
      </c>
      <c r="EC49" s="21">
        <f>EXP(-LN(2)/2)*EC48+(1-EXP(-LN(2)/2))/(LN(2)/2)*DW49*DZ49*VLOOKUP('Données projet'!$B$14,Paramètres!$A$1:$I$89,3,0)*0.475*44/12</f>
        <v>1.1297993575959941</v>
      </c>
      <c r="ED49" s="22">
        <f t="shared" si="18"/>
        <v>3.5641516603981485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7.7715686274509812</v>
      </c>
      <c r="EJ49" s="12">
        <f>IF('Données projet'!$A$192&gt;35,EJ48+EI49-ER48,IF(A49&lt;'Données projet'!$A$192,$EG$205^A49,IF(A49='Données projet'!$A$192,'Données projet'!$B$192,EJ48+EI49-ER48)))</f>
        <v>357.49215686274493</v>
      </c>
      <c r="EK49" s="17">
        <f>EJ49*VLOOKUP('Données projet'!$B$15,Paramètres!$A$1:$I$89,3,0)*VLOOKUP('Données projet'!$B$15,Paramètres!$A$1:$I$89,5,0)</f>
        <v>167.30632941176464</v>
      </c>
      <c r="EL49" s="13">
        <f t="shared" si="45"/>
        <v>42.486171323937178</v>
      </c>
      <c r="EM49" s="20">
        <f t="shared" si="19"/>
        <v>365.388605448014</v>
      </c>
      <c r="EN49" s="59">
        <f t="shared" si="20"/>
        <v>617.73887884673968</v>
      </c>
      <c r="EO49" s="59">
        <f ca="1">AVERAGE(OFFSET($EN$3,0,0,'Données projet'!$E$15+1,1))-AVERAGE(OFFSET($H$3,0,0,'Données projet'!$E$15+1,1))</f>
        <v>374.38106339726073</v>
      </c>
      <c r="EP49" s="59">
        <f t="shared" si="46"/>
        <v>296.53283288925957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9">
        <f t="shared" si="0"/>
        <v>605.11241520790622</v>
      </c>
      <c r="S50" s="59">
        <f ca="1">AVERAGE(OFFSET($R$3,0,0,'Données projet'!$E$9+1,1))-AVERAGE(OFFSET($H$3,0,0,'Données projet'!$E$9+1,1))</f>
        <v>681.47578137804555</v>
      </c>
      <c r="T50" s="59">
        <f t="shared" si="34"/>
        <v>300.88511065995885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145.97544000000002</v>
      </c>
      <c r="AK50" s="13">
        <f t="shared" si="35"/>
        <v>37.662547285900686</v>
      </c>
      <c r="AL50" s="20">
        <f t="shared" si="4"/>
        <v>319.83616118961032</v>
      </c>
      <c r="AM50" s="59">
        <f t="shared" si="5"/>
        <v>572.89739905380566</v>
      </c>
      <c r="AN50" s="59">
        <f ca="1">AVERAGE(OFFSET($AM$3,0,0,'Données projet'!$E$10+1,1))-AVERAGE(OFFSET($H$3,0,0,'Données projet'!$E$10+1,1))</f>
        <v>423.80243030843661</v>
      </c>
      <c r="AO50" s="59">
        <f t="shared" si="36"/>
        <v>260.29028006191834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7.8481024822472305</v>
      </c>
      <c r="AW50" s="21">
        <f>EXP(-LN(2)/2)*AW49+(1-EXP(-LN(2)/2))/(LN(2)/2)*AQ50*AT50*VLOOKUP('Données projet'!$B$10,Paramètres!$A$1:$I$89,3,0)*0.475*44/12</f>
        <v>2.8610745287968729</v>
      </c>
      <c r="AX50" s="21">
        <f t="shared" si="6"/>
        <v>10.709177011044103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15.714444444444442</v>
      </c>
      <c r="BD50" s="12">
        <f>IF('Données projet'!$A$88&gt;35,BD49+BC50-BL49,IF(A50&lt;'Données projet'!$A$88,$BA$205^A50,IF(A50='Données projet'!$A$88,'Données projet'!$B$88,BD49+BC50-BL49)))</f>
        <v>322.86666666666673</v>
      </c>
      <c r="BE50" s="13">
        <f>BD50*VLOOKUP('Données projet'!$B$11,Paramètres!$A$1:$I$89,3,0)*VLOOKUP('Données projet'!$B$11,Paramètres!$A$1:$I$89,5,0)</f>
        <v>193.07426666666672</v>
      </c>
      <c r="BF50" s="13">
        <f t="shared" si="37"/>
        <v>48.218993334236252</v>
      </c>
      <c r="BG50" s="20">
        <f t="shared" si="7"/>
        <v>420.25242783490597</v>
      </c>
      <c r="BH50" s="59">
        <f t="shared" si="8"/>
        <v>673.31366569910142</v>
      </c>
      <c r="BI50" s="59">
        <f ca="1">AVERAGE(OFFSET($BH$3,0,0,'Données projet'!$E$11+1,1))-AVERAGE(OFFSET($H$3,0,0,'Données projet'!$E$11+1,1))</f>
        <v>373.61861223558259</v>
      </c>
      <c r="BJ50" s="59">
        <f t="shared" si="38"/>
        <v>277.62293009761049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22.277221143534387</v>
      </c>
      <c r="BQ50" s="21">
        <f>EXP(-LN(2)/25)*BQ49+(1-EXP(-LN(2)/25))/(LN(2)/25)*Calculateur!BL50*Calculateur!BN50*VLOOKUP('Données projet'!$B$11,Paramètres!$A$1:$I$89,3,0)*0.475*44/12</f>
        <v>15.175653442595557</v>
      </c>
      <c r="BR50" s="21">
        <f>EXP(-LN(2)/2)*BR49+(1-EXP(-LN(2)/2))/(LN(2)/2)*BL50*BO50*VLOOKUP('Données projet'!$B$11,Paramètres!$A$1:$I$89,3,0)*0.475*44/12</f>
        <v>1.3347385106450405</v>
      </c>
      <c r="BS50" s="22">
        <f t="shared" si="9"/>
        <v>38.787613096774983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4.2307692307692291</v>
      </c>
      <c r="BY50" s="12">
        <f>IF('Données projet'!$A$114&gt;35,BY49+BX50-CG49,IF(A50&lt;'Données projet'!$A$114,$BV$205^A50,IF(A50='Données projet'!$A$114,'Données projet'!$B$114,BY49+BX50-CG49)))</f>
        <v>109.74358974358977</v>
      </c>
      <c r="BZ50" s="13">
        <f>BY50*VLOOKUP('Données projet'!$B$12,Paramètres!$A$1:$I$89,3,0)*VLOOKUP('Données projet'!$B$12,Paramètres!$A$1:$I$89,5,0)</f>
        <v>95.872000000000028</v>
      </c>
      <c r="CA50" s="13">
        <f t="shared" si="39"/>
        <v>25.97615865477583</v>
      </c>
      <c r="CB50" s="20">
        <f t="shared" si="10"/>
        <v>212.21887632373463</v>
      </c>
      <c r="CC50" s="59">
        <f t="shared" si="11"/>
        <v>465.28011418793005</v>
      </c>
      <c r="CD50" s="59">
        <f ca="1">AVERAGE(OFFSET($CC$3,0,0,'Données projet'!$E$12+1,1))-AVERAGE(OFFSET($H$3,0,0,'Données projet'!$E$12+1,1))</f>
        <v>251.30277097589737</v>
      </c>
      <c r="CE50" s="59">
        <f t="shared" si="40"/>
        <v>224.11983819941796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13.765870762464194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13.765870762464194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157.19999999999996</v>
      </c>
      <c r="CU50" s="17">
        <f>CT50*VLOOKUP('Données projet'!$B$13,Paramètres!$A$1:$I$89,3,0)*VLOOKUP('Données projet'!$B$13,Paramètres!$A$1:$I$89,5,0)</f>
        <v>137.32991999999999</v>
      </c>
      <c r="CV50" s="13">
        <f t="shared" si="41"/>
        <v>35.684643836992151</v>
      </c>
      <c r="CW50" s="20">
        <f t="shared" si="13"/>
        <v>301.33369868276128</v>
      </c>
      <c r="CX50" s="59">
        <f t="shared" si="14"/>
        <v>554.39493654695661</v>
      </c>
      <c r="CY50" s="59">
        <f ca="1">AVERAGE(OFFSET($CX$3,0,0,'Données projet'!$E$13+1,1))-AVERAGE(OFFSET($H$3,0,0,'Données projet'!$E$13+1,1))</f>
        <v>287.28439432670405</v>
      </c>
      <c r="CZ50" s="59">
        <f t="shared" si="42"/>
        <v>276.01618888357268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10.685038184934657</v>
      </c>
      <c r="DH50" s="21">
        <f>EXP(-LN(2)/2)*DH49+(1-EXP(-LN(2)/2))/(LN(2)/2)*DB50*DE50*VLOOKUP('Données projet'!$B$13,Paramètres!$A$1:$I$89,3,0)*0.475*44/12</f>
        <v>2.319142370212786</v>
      </c>
      <c r="DI50" s="22">
        <f t="shared" si="15"/>
        <v>13.004180555147443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2.5641025641025634</v>
      </c>
      <c r="DO50" s="12">
        <f>IF('Données projet'!$A$166&gt;35,DO49+DN50-DW49,IF(A50&lt;'Données projet'!$A$166,$DL$205^A50,IF(A50='Données projet'!$A$166,'Données projet'!$B$166,DO49+DN50-DW49)))</f>
        <v>53.846153846153832</v>
      </c>
      <c r="DP50" s="17">
        <f>DO50*VLOOKUP('Données projet'!$B$14,Paramètres!$A$1:$I$89,3,0)*VLOOKUP('Données projet'!$B$14,Paramètres!$A$1:$I$89,5,0)</f>
        <v>52.079999999999984</v>
      </c>
      <c r="DQ50" s="13">
        <f t="shared" si="43"/>
        <v>15.149647884600476</v>
      </c>
      <c r="DR50" s="20">
        <f t="shared" si="16"/>
        <v>117.09163673234582</v>
      </c>
      <c r="DS50" s="59">
        <f t="shared" si="17"/>
        <v>370.15287459654121</v>
      </c>
      <c r="DT50" s="59">
        <f ca="1">AVERAGE(OFFSET($DS$3,0,0,'Données projet'!$E$14+1,1))-AVERAGE(OFFSET($H$3,0,0,'Données projet'!$E$14+1,1))</f>
        <v>206.5245935130306</v>
      </c>
      <c r="DU50" s="59">
        <f t="shared" si="44"/>
        <v>130.57011290898546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2.3677848110650057</v>
      </c>
      <c r="EC50" s="21">
        <f>EXP(-LN(2)/2)*EC49+(1-EXP(-LN(2)/2))/(LN(2)/2)*DW50*DZ50*VLOOKUP('Données projet'!$B$14,Paramètres!$A$1:$I$89,3,0)*0.475*44/12</f>
        <v>0.7988887871363326</v>
      </c>
      <c r="ED50" s="22">
        <f t="shared" si="18"/>
        <v>3.1666735982013385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7.7715686274509812</v>
      </c>
      <c r="EJ50" s="12">
        <f>IF('Données projet'!$A$192&gt;35,EJ49+EI50-ER49,IF(A50&lt;'Données projet'!$A$192,$EG$205^A50,IF(A50='Données projet'!$A$192,'Données projet'!$B$192,EJ49+EI50-ER49)))</f>
        <v>365.2637254901959</v>
      </c>
      <c r="EK50" s="17">
        <f>EJ50*VLOOKUP('Données projet'!$B$15,Paramètres!$A$1:$I$89,3,0)*VLOOKUP('Données projet'!$B$15,Paramètres!$A$1:$I$89,5,0)</f>
        <v>170.94342352941169</v>
      </c>
      <c r="EL50" s="13">
        <f t="shared" si="45"/>
        <v>43.301250967807881</v>
      </c>
      <c r="EM50" s="20">
        <f t="shared" si="19"/>
        <v>373.14280808265738</v>
      </c>
      <c r="EN50" s="59">
        <f t="shared" si="20"/>
        <v>626.20404594685283</v>
      </c>
      <c r="EO50" s="59">
        <f ca="1">AVERAGE(OFFSET($EN$3,0,0,'Données projet'!$E$15+1,1))-AVERAGE(OFFSET($H$3,0,0,'Données projet'!$E$15+1,1))</f>
        <v>374.38106339726073</v>
      </c>
      <c r="EP50" s="59">
        <f t="shared" si="46"/>
        <v>296.53283288925957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9">
        <f t="shared" si="0"/>
        <v>625.32211273176426</v>
      </c>
      <c r="S51" s="59">
        <f ca="1">AVERAGE(OFFSET($R$3,0,0,'Données projet'!$E$9+1,1))-AVERAGE(OFFSET($H$3,0,0,'Données projet'!$E$9+1,1))</f>
        <v>681.47578137804555</v>
      </c>
      <c r="T51" s="59">
        <f t="shared" si="34"/>
        <v>300.88511065995885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153.77856000000003</v>
      </c>
      <c r="AK51" s="13">
        <f t="shared" si="35"/>
        <v>39.436029674841947</v>
      </c>
      <c r="AL51" s="20">
        <f t="shared" si="4"/>
        <v>336.51541035034978</v>
      </c>
      <c r="AM51" s="59">
        <f t="shared" si="5"/>
        <v>590.27527903601754</v>
      </c>
      <c r="AN51" s="59">
        <f ca="1">AVERAGE(OFFSET($AM$3,0,0,'Données projet'!$E$10+1,1))-AVERAGE(OFFSET($H$3,0,0,'Données projet'!$E$10+1,1))</f>
        <v>423.80243030843661</v>
      </c>
      <c r="AO51" s="59">
        <f t="shared" si="36"/>
        <v>260.29028006191834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7.6334957071564071</v>
      </c>
      <c r="AW51" s="21">
        <f>EXP(-LN(2)/2)*AW50+(1-EXP(-LN(2)/2))/(LN(2)/2)*AQ51*AT51*VLOOKUP('Données projet'!$B$10,Paramètres!$A$1:$I$89,3,0)*0.475*44/12</f>
        <v>2.0230852007923752</v>
      </c>
      <c r="AX51" s="21">
        <f t="shared" si="6"/>
        <v>9.6565809079487828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15.714444444444442</v>
      </c>
      <c r="BD51" s="12">
        <f>IF('Données projet'!$A$88&gt;35,BD50+BC51-BL50,IF(A51&lt;'Données projet'!$A$88,$BA$205^A51,IF(A51='Données projet'!$A$88,'Données projet'!$B$88,BD50+BC51-BL50)))</f>
        <v>338.58111111111117</v>
      </c>
      <c r="BE51" s="13">
        <f>BD51*VLOOKUP('Données projet'!$B$11,Paramètres!$A$1:$I$89,3,0)*VLOOKUP('Données projet'!$B$11,Paramètres!$A$1:$I$89,5,0)</f>
        <v>202.47150444444449</v>
      </c>
      <c r="BF51" s="13">
        <f t="shared" si="37"/>
        <v>50.28694073581002</v>
      </c>
      <c r="BG51" s="20">
        <f t="shared" si="7"/>
        <v>440.22095868894326</v>
      </c>
      <c r="BH51" s="59">
        <f t="shared" si="8"/>
        <v>693.98082737461095</v>
      </c>
      <c r="BI51" s="59">
        <f ca="1">AVERAGE(OFFSET($BH$3,0,0,'Données projet'!$E$11+1,1))-AVERAGE(OFFSET($H$3,0,0,'Données projet'!$E$11+1,1))</f>
        <v>373.61861223558259</v>
      </c>
      <c r="BJ51" s="59">
        <f t="shared" si="38"/>
        <v>277.62293009761049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21.840378424672895</v>
      </c>
      <c r="BQ51" s="21">
        <f>EXP(-LN(2)/25)*BQ50+(1-EXP(-LN(2)/25))/(LN(2)/25)*Calculateur!BL51*Calculateur!BN51*VLOOKUP('Données projet'!$B$11,Paramètres!$A$1:$I$89,3,0)*0.475*44/12</f>
        <v>14.760674401154851</v>
      </c>
      <c r="BR51" s="21">
        <f>EXP(-LN(2)/2)*BR50+(1-EXP(-LN(2)/2))/(LN(2)/2)*BL51*BO51*VLOOKUP('Données projet'!$B$11,Paramètres!$A$1:$I$89,3,0)*0.475*44/12</f>
        <v>0.943802651987941</v>
      </c>
      <c r="BS51" s="22">
        <f t="shared" si="9"/>
        <v>37.544855477815695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4.2307692307692291</v>
      </c>
      <c r="BY51" s="12">
        <f>IF('Données projet'!$A$114&gt;35,BY50+BX51-CG50,IF(A51&lt;'Données projet'!$A$114,$BV$205^A51,IF(A51='Données projet'!$A$114,'Données projet'!$B$114,BY50+BX51-CG50)))</f>
        <v>113.97435897435899</v>
      </c>
      <c r="BZ51" s="13">
        <f>BY51*VLOOKUP('Données projet'!$B$12,Paramètres!$A$1:$I$89,3,0)*VLOOKUP('Données projet'!$B$12,Paramètres!$A$1:$I$89,5,0)</f>
        <v>99.568000000000026</v>
      </c>
      <c r="CA51" s="13">
        <f t="shared" si="39"/>
        <v>26.859053587725164</v>
      </c>
      <c r="CB51" s="20">
        <f t="shared" si="10"/>
        <v>220.19378499862137</v>
      </c>
      <c r="CC51" s="59">
        <f t="shared" si="11"/>
        <v>473.95365368428907</v>
      </c>
      <c r="CD51" s="59">
        <f ca="1">AVERAGE(OFFSET($CC$3,0,0,'Données projet'!$E$12+1,1))-AVERAGE(OFFSET($H$3,0,0,'Données projet'!$E$12+1,1))</f>
        <v>251.30277097589737</v>
      </c>
      <c r="CE51" s="59">
        <f t="shared" si="40"/>
        <v>224.11983819941796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13.389442302548931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13.389442302548931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162.79999999999995</v>
      </c>
      <c r="CU51" s="17">
        <f>CT51*VLOOKUP('Données projet'!$B$13,Paramètres!$A$1:$I$89,3,0)*VLOOKUP('Données projet'!$B$13,Paramètres!$A$1:$I$89,5,0)</f>
        <v>142.22207999999998</v>
      </c>
      <c r="CV51" s="13">
        <f t="shared" si="41"/>
        <v>36.805585341198615</v>
      </c>
      <c r="CW51" s="20">
        <f t="shared" si="13"/>
        <v>311.8065171359209</v>
      </c>
      <c r="CX51" s="59">
        <f t="shared" si="14"/>
        <v>565.5663858215886</v>
      </c>
      <c r="CY51" s="59">
        <f ca="1">AVERAGE(OFFSET($CX$3,0,0,'Données projet'!$E$13+1,1))-AVERAGE(OFFSET($H$3,0,0,'Données projet'!$E$13+1,1))</f>
        <v>287.28439432670405</v>
      </c>
      <c r="CZ51" s="59">
        <f t="shared" si="42"/>
        <v>276.01618888357268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10.392855253865882</v>
      </c>
      <c r="DH51" s="21">
        <f>EXP(-LN(2)/2)*DH50+(1-EXP(-LN(2)/2))/(LN(2)/2)*DB51*DE51*VLOOKUP('Données projet'!$B$13,Paramètres!$A$1:$I$89,3,0)*0.475*44/12</f>
        <v>1.6398812965145038</v>
      </c>
      <c r="DI51" s="22">
        <f t="shared" si="15"/>
        <v>12.032736550380386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2.5641025641025634</v>
      </c>
      <c r="DO51" s="12">
        <f>IF('Données projet'!$A$166&gt;35,DO50+DN51-DW50,IF(A51&lt;'Données projet'!$A$166,$DL$205^A51,IF(A51='Données projet'!$A$166,'Données projet'!$B$166,DO50+DN51-DW50)))</f>
        <v>56.410256410256395</v>
      </c>
      <c r="DP51" s="17">
        <f>DO51*VLOOKUP('Données projet'!$B$14,Paramètres!$A$1:$I$89,3,0)*VLOOKUP('Données projet'!$B$14,Paramètres!$A$1:$I$89,5,0)</f>
        <v>54.559999999999988</v>
      </c>
      <c r="DQ51" s="13">
        <f t="shared" si="43"/>
        <v>15.785351276191415</v>
      </c>
      <c r="DR51" s="20">
        <f t="shared" si="16"/>
        <v>122.51815347270004</v>
      </c>
      <c r="DS51" s="59">
        <f t="shared" si="17"/>
        <v>376.27802215836772</v>
      </c>
      <c r="DT51" s="59">
        <f ca="1">AVERAGE(OFFSET($DS$3,0,0,'Données projet'!$E$14+1,1))-AVERAGE(OFFSET($H$3,0,0,'Données projet'!$E$14+1,1))</f>
        <v>206.5245935130306</v>
      </c>
      <c r="DU51" s="59">
        <f t="shared" si="44"/>
        <v>130.57011290898546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2.3030376108900414</v>
      </c>
      <c r="EC51" s="21">
        <f>EXP(-LN(2)/2)*EC50+(1-EXP(-LN(2)/2))/(LN(2)/2)*DW51*DZ51*VLOOKUP('Données projet'!$B$14,Paramètres!$A$1:$I$89,3,0)*0.475*44/12</f>
        <v>0.56489967879799707</v>
      </c>
      <c r="ED51" s="22">
        <f t="shared" si="18"/>
        <v>2.8679372896880384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7.7715686274509812</v>
      </c>
      <c r="EJ51" s="12">
        <f>IF('Données projet'!$A$192&gt;35,EJ50+EI51-ER50,IF(A51&lt;'Données projet'!$A$192,$EG$205^A51,IF(A51='Données projet'!$A$192,'Données projet'!$B$192,EJ50+EI51-ER50)))</f>
        <v>373.03529411764686</v>
      </c>
      <c r="EK51" s="17">
        <f>EJ51*VLOOKUP('Données projet'!$B$15,Paramètres!$A$1:$I$89,3,0)*VLOOKUP('Données projet'!$B$15,Paramètres!$A$1:$I$89,5,0)</f>
        <v>174.58051764705874</v>
      </c>
      <c r="EL51" s="13">
        <f t="shared" si="45"/>
        <v>44.114314325696256</v>
      </c>
      <c r="EM51" s="20">
        <f t="shared" si="19"/>
        <v>380.89349901921491</v>
      </c>
      <c r="EN51" s="59">
        <f t="shared" si="20"/>
        <v>634.65336770488261</v>
      </c>
      <c r="EO51" s="59">
        <f ca="1">AVERAGE(OFFSET($EN$3,0,0,'Données projet'!$E$15+1,1))-AVERAGE(OFFSET($H$3,0,0,'Données projet'!$E$15+1,1))</f>
        <v>374.38106339726073</v>
      </c>
      <c r="EP51" s="59">
        <f t="shared" si="46"/>
        <v>296.53283288925957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9">
        <f t="shared" si="0"/>
        <v>645.49735835863021</v>
      </c>
      <c r="S52" s="59">
        <f ca="1">AVERAGE(OFFSET($R$3,0,0,'Données projet'!$E$9+1,1))-AVERAGE(OFFSET($H$3,0,0,'Données projet'!$E$9+1,1))</f>
        <v>681.47578137804555</v>
      </c>
      <c r="T52" s="59">
        <f t="shared" si="34"/>
        <v>300.88511065995885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161.58168000000001</v>
      </c>
      <c r="AK52" s="13">
        <f t="shared" si="35"/>
        <v>41.199063244334951</v>
      </c>
      <c r="AL52" s="20">
        <f t="shared" si="4"/>
        <v>353.17646115055004</v>
      </c>
      <c r="AM52" s="59">
        <f t="shared" si="5"/>
        <v>607.62284097484201</v>
      </c>
      <c r="AN52" s="59">
        <f ca="1">AVERAGE(OFFSET($AM$3,0,0,'Données projet'!$E$10+1,1))-AVERAGE(OFFSET($H$3,0,0,'Données projet'!$E$10+1,1))</f>
        <v>423.80243030843661</v>
      </c>
      <c r="AO52" s="59">
        <f t="shared" si="36"/>
        <v>260.29028006191834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7.4247573656161228</v>
      </c>
      <c r="AW52" s="21">
        <f>EXP(-LN(2)/2)*AW51+(1-EXP(-LN(2)/2))/(LN(2)/2)*AQ52*AT52*VLOOKUP('Données projet'!$B$10,Paramètres!$A$1:$I$89,3,0)*0.475*44/12</f>
        <v>1.4305372643984366</v>
      </c>
      <c r="AX52" s="21">
        <f t="shared" si="6"/>
        <v>8.8552946300145585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15.714444444444442</v>
      </c>
      <c r="BD52" s="12">
        <f>IF('Données projet'!$A$88&gt;35,BD51+BC52-BL51,IF(A52&lt;'Données projet'!$A$88,$BA$205^A52,IF(A52='Données projet'!$A$88,'Données projet'!$B$88,BD51+BC52-BL51)))</f>
        <v>354.29555555555561</v>
      </c>
      <c r="BE52" s="13">
        <f>BD52*VLOOKUP('Données projet'!$B$11,Paramètres!$A$1:$I$89,3,0)*VLOOKUP('Données projet'!$B$11,Paramètres!$A$1:$I$89,5,0)</f>
        <v>211.86874222222229</v>
      </c>
      <c r="BF52" s="13">
        <f t="shared" si="37"/>
        <v>52.343742090960504</v>
      </c>
      <c r="BG52" s="20">
        <f t="shared" si="7"/>
        <v>460.17007684546002</v>
      </c>
      <c r="BH52" s="59">
        <f t="shared" si="8"/>
        <v>714.61645666975198</v>
      </c>
      <c r="BI52" s="59">
        <f ca="1">AVERAGE(OFFSET($BH$3,0,0,'Données projet'!$E$11+1,1))-AVERAGE(OFFSET($H$3,0,0,'Données projet'!$E$11+1,1))</f>
        <v>373.61861223558259</v>
      </c>
      <c r="BJ52" s="59">
        <f t="shared" si="38"/>
        <v>277.62293009761049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21.412101925080528</v>
      </c>
      <c r="BQ52" s="21">
        <f>EXP(-LN(2)/25)*BQ51+(1-EXP(-LN(2)/25))/(LN(2)/25)*Calculateur!BL52*Calculateur!BN52*VLOOKUP('Données projet'!$B$11,Paramètres!$A$1:$I$89,3,0)*0.475*44/12</f>
        <v>14.357042983425142</v>
      </c>
      <c r="BR52" s="21">
        <f>EXP(-LN(2)/2)*BR51+(1-EXP(-LN(2)/2))/(LN(2)/2)*BL52*BO52*VLOOKUP('Données projet'!$B$11,Paramètres!$A$1:$I$89,3,0)*0.475*44/12</f>
        <v>0.66736925532252034</v>
      </c>
      <c r="BS52" s="22">
        <f t="shared" si="9"/>
        <v>36.436514163828186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4.2307692307692291</v>
      </c>
      <c r="BY52" s="12">
        <f>IF('Données projet'!$A$114&gt;35,BY51+BX52-CG51,IF(A52&lt;'Données projet'!$A$114,$BV$205^A52,IF(A52='Données projet'!$A$114,'Données projet'!$B$114,BY51+BX52-CG51)))</f>
        <v>118.20512820512822</v>
      </c>
      <c r="BZ52" s="13">
        <f>BY52*VLOOKUP('Données projet'!$B$12,Paramètres!$A$1:$I$89,3,0)*VLOOKUP('Données projet'!$B$12,Paramètres!$A$1:$I$89,5,0)</f>
        <v>103.26400000000004</v>
      </c>
      <c r="CA52" s="13">
        <f t="shared" si="39"/>
        <v>27.738141005599104</v>
      </c>
      <c r="CB52" s="20">
        <f t="shared" si="10"/>
        <v>228.16206225141846</v>
      </c>
      <c r="CC52" s="59">
        <f t="shared" si="11"/>
        <v>482.6084420757104</v>
      </c>
      <c r="CD52" s="59">
        <f ca="1">AVERAGE(OFFSET($CC$3,0,0,'Données projet'!$E$12+1,1))-AVERAGE(OFFSET($H$3,0,0,'Données projet'!$E$12+1,1))</f>
        <v>251.30277097589737</v>
      </c>
      <c r="CE52" s="59">
        <f t="shared" si="40"/>
        <v>224.11983819941796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13.023307298665561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13.023307298665561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168.39999999999995</v>
      </c>
      <c r="CU52" s="17">
        <f>CT52*VLOOKUP('Données projet'!$B$13,Paramètres!$A$1:$I$89,3,0)*VLOOKUP('Données projet'!$B$13,Paramètres!$A$1:$I$89,5,0)</f>
        <v>147.11423999999997</v>
      </c>
      <c r="CV52" s="13">
        <f t="shared" si="41"/>
        <v>37.922046712608186</v>
      </c>
      <c r="CW52" s="20">
        <f t="shared" si="13"/>
        <v>322.27153269112586</v>
      </c>
      <c r="CX52" s="59">
        <f t="shared" si="14"/>
        <v>576.71791251541777</v>
      </c>
      <c r="CY52" s="59">
        <f ca="1">AVERAGE(OFFSET($CX$3,0,0,'Données projet'!$E$13+1,1))-AVERAGE(OFFSET($H$3,0,0,'Données projet'!$E$13+1,1))</f>
        <v>287.28439432670405</v>
      </c>
      <c r="CZ52" s="59">
        <f t="shared" si="42"/>
        <v>276.01618888357268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10.108662080412415</v>
      </c>
      <c r="DH52" s="21">
        <f>EXP(-LN(2)/2)*DH51+(1-EXP(-LN(2)/2))/(LN(2)/2)*DB52*DE52*VLOOKUP('Données projet'!$B$13,Paramètres!$A$1:$I$89,3,0)*0.475*44/12</f>
        <v>1.1595711851063932</v>
      </c>
      <c r="DI52" s="22">
        <f t="shared" si="15"/>
        <v>11.268233265518809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2.5641025641025634</v>
      </c>
      <c r="DO52" s="12">
        <f>IF('Données projet'!$A$166&gt;35,DO51+DN52-DW51,IF(A52&lt;'Données projet'!$A$166,$DL$205^A52,IF(A52='Données projet'!$A$166,'Données projet'!$B$166,DO51+DN52-DW51)))</f>
        <v>58.974358974358957</v>
      </c>
      <c r="DP52" s="17">
        <f>DO52*VLOOKUP('Données projet'!$B$14,Paramètres!$A$1:$I$89,3,0)*VLOOKUP('Données projet'!$B$14,Paramètres!$A$1:$I$89,5,0)</f>
        <v>57.039999999999985</v>
      </c>
      <c r="DQ52" s="13">
        <f t="shared" si="43"/>
        <v>16.417698880900208</v>
      </c>
      <c r="DR52" s="20">
        <f t="shared" si="16"/>
        <v>127.93882555090117</v>
      </c>
      <c r="DS52" s="59">
        <f t="shared" si="17"/>
        <v>382.38520537519315</v>
      </c>
      <c r="DT52" s="59">
        <f ca="1">AVERAGE(OFFSET($DS$3,0,0,'Données projet'!$E$14+1,1))-AVERAGE(OFFSET($H$3,0,0,'Données projet'!$E$14+1,1))</f>
        <v>206.5245935130306</v>
      </c>
      <c r="DU52" s="59">
        <f t="shared" si="44"/>
        <v>130.57011290898546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2.240060926308769</v>
      </c>
      <c r="EC52" s="21">
        <f>EXP(-LN(2)/2)*EC51+(1-EXP(-LN(2)/2))/(LN(2)/2)*DW52*DZ52*VLOOKUP('Données projet'!$B$14,Paramètres!$A$1:$I$89,3,0)*0.475*44/12</f>
        <v>0.3994443935681663</v>
      </c>
      <c r="ED52" s="22">
        <f t="shared" si="18"/>
        <v>2.6395053198769354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7.7715686274509812</v>
      </c>
      <c r="EJ52" s="12">
        <f>IF('Données projet'!$A$192&gt;35,EJ51+EI52-ER51,IF(A52&lt;'Données projet'!$A$192,$EG$205^A52,IF(A52='Données projet'!$A$192,'Données projet'!$B$192,EJ51+EI52-ER51)))</f>
        <v>380.80686274509782</v>
      </c>
      <c r="EK52" s="17">
        <f>EJ52*VLOOKUP('Données projet'!$B$15,Paramètres!$A$1:$I$89,3,0)*VLOOKUP('Données projet'!$B$15,Paramètres!$A$1:$I$89,5,0)</f>
        <v>178.21761176470577</v>
      </c>
      <c r="EL52" s="13">
        <f t="shared" si="45"/>
        <v>44.925408243080945</v>
      </c>
      <c r="EM52" s="20">
        <f t="shared" si="19"/>
        <v>388.64075984689515</v>
      </c>
      <c r="EN52" s="59">
        <f t="shared" si="20"/>
        <v>643.08713967118706</v>
      </c>
      <c r="EO52" s="59">
        <f ca="1">AVERAGE(OFFSET($EN$3,0,0,'Données projet'!$E$15+1,1))-AVERAGE(OFFSET($H$3,0,0,'Données projet'!$E$15+1,1))</f>
        <v>374.38106339726073</v>
      </c>
      <c r="EP52" s="59">
        <f t="shared" si="46"/>
        <v>296.53283288925957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9">
        <f t="shared" si="0"/>
        <v>665.63963131211995</v>
      </c>
      <c r="S53" s="59">
        <f ca="1">AVERAGE(OFFSET($R$3,0,0,'Données projet'!$E$9+1,1))-AVERAGE(OFFSET($H$3,0,0,'Données projet'!$E$9+1,1))</f>
        <v>681.47578137804555</v>
      </c>
      <c r="T53" s="59">
        <f t="shared" si="34"/>
        <v>300.88511065995885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169.38480000000001</v>
      </c>
      <c r="AK53" s="13">
        <f t="shared" si="35"/>
        <v>42.952210191662466</v>
      </c>
      <c r="AL53" s="20">
        <f t="shared" si="4"/>
        <v>369.82029275047876</v>
      </c>
      <c r="AM53" s="59">
        <f t="shared" si="5"/>
        <v>624.94127427994886</v>
      </c>
      <c r="AN53" s="59">
        <f ca="1">AVERAGE(OFFSET($AM$3,0,0,'Données projet'!$E$10+1,1))-AVERAGE(OFFSET($H$3,0,0,'Données projet'!$E$10+1,1))</f>
        <v>423.80243030843661</v>
      </c>
      <c r="AO53" s="59">
        <f t="shared" si="36"/>
        <v>260.29028006191834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0.1075</v>
      </c>
      <c r="AT53" s="16">
        <f>IF(ISNA(VLOOKUP(A53,'Données projet'!$A$61:$I$81,7,0)),0%,VLOOKUP(A53,'Données projet'!$A$61:$I$81,7,0))</f>
        <v>0.25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9.5871888155371519</v>
      </c>
      <c r="AW53" s="21">
        <f>EXP(-LN(2)/2)*AW52+(1-EXP(-LN(2)/2))/(LN(2)/2)*AQ53*AT53*VLOOKUP('Données projet'!$B$10,Paramètres!$A$1:$I$89,3,0)*0.475*44/12</f>
        <v>5.7253087130732467</v>
      </c>
      <c r="AX53" s="21">
        <f t="shared" si="6"/>
        <v>15.312497528610399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370.01</v>
      </c>
      <c r="BB53" s="12">
        <f>VLOOKUP(A53,'Données projet'!$A$87:$I$107,9,0)</f>
        <v>15.714444444444442</v>
      </c>
      <c r="BC53" s="12">
        <f t="array" ref="BC53">INDEX(BB:BB,MIN(IF(ISNUMBER(BB53:BB249),ROW(BB53:BB249),"")))</f>
        <v>15.714444444444442</v>
      </c>
      <c r="BD53" s="12">
        <f>IF('Données projet'!$A$88&gt;35,BD52+BC53-BL52,IF(A53&lt;'Données projet'!$A$88,$BA$205^A53,IF(A53='Données projet'!$A$88,'Données projet'!$B$88,BD52+BC53-BL52)))</f>
        <v>370.01000000000005</v>
      </c>
      <c r="BE53" s="13">
        <f>BD53*VLOOKUP('Données projet'!$B$11,Paramètres!$A$1:$I$89,3,0)*VLOOKUP('Données projet'!$B$11,Paramètres!$A$1:$I$89,5,0)</f>
        <v>221.26598000000004</v>
      </c>
      <c r="BF53" s="13">
        <f t="shared" si="37"/>
        <v>54.389948263584252</v>
      </c>
      <c r="BG53" s="20">
        <f t="shared" si="7"/>
        <v>480.10074172574264</v>
      </c>
      <c r="BH53" s="59">
        <f t="shared" si="8"/>
        <v>735.22172325521274</v>
      </c>
      <c r="BI53" s="59">
        <f ca="1">AVERAGE(OFFSET($BH$3,0,0,'Données projet'!$E$11+1,1))-AVERAGE(OFFSET($H$3,0,0,'Données projet'!$E$11+1,1))</f>
        <v>373.61861223558259</v>
      </c>
      <c r="BJ53" s="59">
        <f t="shared" si="38"/>
        <v>277.62293009761049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70.20999999999998</v>
      </c>
      <c r="BM53" s="16">
        <f>IF(ISNA(VLOOKUP(A53,'Données projet'!$A$87:$I$107,5,0)),0%,VLOOKUP(A53,'Données projet'!$A$87:$I$107,5,0)*VLOOKUP('Données projet'!$B$11,Paramètres!$A$1:$I$89,7,0))</f>
        <v>0.27</v>
      </c>
      <c r="BN53" s="16">
        <f>IF(ISNA(VLOOKUP(A53,'Données projet'!$A$87:$I$107,6,0)),0%,VLOOKUP(A53,'Données projet'!$A$87:$I$107,6,0)*VLOOKUP('Données projet'!$B$11,Paramètres!$A$1:$I$89,7,0))</f>
        <v>9.0000000000000011E-2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36.030299745055871</v>
      </c>
      <c r="BQ53" s="21">
        <f>EXP(-LN(2)/25)*BQ52+(1-EXP(-LN(2)/25))/(LN(2)/25)*Calculateur!BL53*Calculateur!BN53*VLOOKUP('Données projet'!$B$11,Paramètres!$A$1:$I$89,3,0)*0.475*44/12</f>
        <v>18.9574040357579</v>
      </c>
      <c r="BR53" s="21">
        <f>EXP(-LN(2)/2)*BR52+(1-EXP(-LN(2)/2))/(LN(2)/2)*BL53*BO53*VLOOKUP('Données projet'!$B$11,Paramètres!$A$1:$I$89,3,0)*0.475*44/12</f>
        <v>9.9793872672702157</v>
      </c>
      <c r="BS53" s="22">
        <f t="shared" si="9"/>
        <v>64.967091048083986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122.43589743589743</v>
      </c>
      <c r="BW53" s="12">
        <f>VLOOKUP(A53,'Données projet'!$A$113:$I$133,9,0)</f>
        <v>4.2307692307692291</v>
      </c>
      <c r="BX53" s="12">
        <f t="array" ref="BX53">INDEX(BW:BW,MIN(IF(ISNUMBER(BW53:BW249),ROW(BW53:BW249),"")))</f>
        <v>4.2307692307692291</v>
      </c>
      <c r="BY53" s="12">
        <f>IF('Données projet'!$A$114&gt;35,BY52+BX53-CG52,IF(A53&lt;'Données projet'!$A$114,$BV$205^A53,IF(A53='Données projet'!$A$114,'Données projet'!$B$114,BY52+BX53-CG52)))</f>
        <v>122.43589743589745</v>
      </c>
      <c r="BZ53" s="13">
        <f>BY53*VLOOKUP('Données projet'!$B$12,Paramètres!$A$1:$I$89,3,0)*VLOOKUP('Données projet'!$B$12,Paramètres!$A$1:$I$89,5,0)</f>
        <v>106.96000000000001</v>
      </c>
      <c r="CA53" s="13">
        <f t="shared" si="39"/>
        <v>28.613572798239566</v>
      </c>
      <c r="CB53" s="20">
        <f t="shared" si="10"/>
        <v>236.12397262360059</v>
      </c>
      <c r="CC53" s="59">
        <f t="shared" si="11"/>
        <v>491.24495415307069</v>
      </c>
      <c r="CD53" s="59">
        <f ca="1">AVERAGE(OFFSET($CC$3,0,0,'Données projet'!$E$12+1,1))-AVERAGE(OFFSET($H$3,0,0,'Données projet'!$E$12+1,1))</f>
        <v>251.30277097589737</v>
      </c>
      <c r="CE53" s="59">
        <f t="shared" si="40"/>
        <v>224.11983819941796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13.461538461538462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0.215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15.451250322584968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15.451250322584968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174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173.99999999999994</v>
      </c>
      <c r="CU53" s="17">
        <f>CT53*VLOOKUP('Données projet'!$B$13,Paramètres!$A$1:$I$89,3,0)*VLOOKUP('Données projet'!$B$13,Paramètres!$A$1:$I$89,5,0)</f>
        <v>152.00639999999999</v>
      </c>
      <c r="CV53" s="13">
        <f t="shared" si="41"/>
        <v>39.03419401656145</v>
      </c>
      <c r="CW53" s="20">
        <f t="shared" si="13"/>
        <v>332.72903457884451</v>
      </c>
      <c r="CX53" s="59">
        <f t="shared" si="14"/>
        <v>587.85001610831455</v>
      </c>
      <c r="CY53" s="59">
        <f ca="1">AVERAGE(OFFSET($CX$3,0,0,'Données projet'!$E$13+1,1))-AVERAGE(OFFSET($H$3,0,0,'Données projet'!$E$13+1,1))</f>
        <v>287.28439432670405</v>
      </c>
      <c r="CZ53" s="59">
        <f t="shared" si="42"/>
        <v>276.01618888357268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13</v>
      </c>
      <c r="DC53" s="16">
        <f>IF(ISNA(VLOOKUP(A53,'Données projet'!$A$139:$I$159,5,0)),0%,VLOOKUP(A53,'Données projet'!$A$139:$I$159,5,0)*VLOOKUP('Données projet'!$B$13,Paramètres!$A$1:$I$89,7,0))</f>
        <v>0.13250000000000001</v>
      </c>
      <c r="DD53" s="16">
        <f>IF(ISNA(VLOOKUP(A53,'Données projet'!$A$139:$I$159,6,0)),0%,VLOOKUP(A53,'Données projet'!$A$139:$I$159,6,0)*VLOOKUP('Données projet'!$B$13,Paramètres!$A$1:$I$89,7,0))</f>
        <v>0.13250000000000001</v>
      </c>
      <c r="DE53" s="16">
        <f>IF(ISNA(VLOOKUP(A53,'Données projet'!$A$139:$I$159,7,0)),0%,VLOOKUP(A53,'Données projet'!$A$139:$I$159,7,0))</f>
        <v>0.25</v>
      </c>
      <c r="DF53" s="21">
        <f>EXP(-LN(2)/35)*DF52+(1-EXP(-LN(2)/35))/(LN(2)/35)*DB53*DC53*VLOOKUP('Données projet'!$B$13,Paramètres!$A$1:$I$89,3,0)*0.475*44/12</f>
        <v>1.6634852958320749</v>
      </c>
      <c r="DG53" s="21">
        <f>EXP(-LN(2)/25)*DG52+(1-EXP(-LN(2)/25))/(LN(2)/25)*Calculateur!DB53*Calculateur!DD53*VLOOKUP('Données projet'!$B$13,Paramètres!$A$1:$I$89,3,0)*0.475*44/12</f>
        <v>11.489175704616896</v>
      </c>
      <c r="DH53" s="21">
        <f>EXP(-LN(2)/2)*DH52+(1-EXP(-LN(2)/2))/(LN(2)/2)*DB53*DE53*VLOOKUP('Données projet'!$B$13,Paramètres!$A$1:$I$89,3,0)*0.475*44/12</f>
        <v>3.4988022642048704</v>
      </c>
      <c r="DI53" s="22">
        <f t="shared" si="15"/>
        <v>16.651463264653842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61.538461538461533</v>
      </c>
      <c r="DM53" s="12">
        <f>VLOOKUP(A53,'Données projet'!$A$165:$I$185,9,0)</f>
        <v>2.5641025641025634</v>
      </c>
      <c r="DN53" s="12">
        <f t="array" ref="DN53">INDEX(DM:DM,MIN(IF(ISNUMBER(DM53:DM249),ROW(DM53:DM249),"")))</f>
        <v>2.5641025641025634</v>
      </c>
      <c r="DO53" s="12">
        <f>IF('Données projet'!$A$166&gt;35,DO52+DN53-DW52,IF(A53&lt;'Données projet'!$A$166,$DL$205^A53,IF(A53='Données projet'!$A$166,'Données projet'!$B$166,DO52+DN53-DW52)))</f>
        <v>61.538461538461519</v>
      </c>
      <c r="DP53" s="17">
        <f>DO53*VLOOKUP('Données projet'!$B$14,Paramètres!$A$1:$I$89,3,0)*VLOOKUP('Données projet'!$B$14,Paramètres!$A$1:$I$89,5,0)</f>
        <v>59.519999999999982</v>
      </c>
      <c r="DQ53" s="13">
        <f t="shared" si="43"/>
        <v>17.046853278789335</v>
      </c>
      <c r="DR53" s="20">
        <f t="shared" si="16"/>
        <v>133.35393612722473</v>
      </c>
      <c r="DS53" s="59">
        <f t="shared" si="17"/>
        <v>388.47491765669486</v>
      </c>
      <c r="DT53" s="59">
        <f ca="1">AVERAGE(OFFSET($DS$3,0,0,'Données projet'!$E$14+1,1))-AVERAGE(OFFSET($H$3,0,0,'Données projet'!$E$14+1,1))</f>
        <v>206.5245935130306</v>
      </c>
      <c r="DU53" s="59">
        <f t="shared" si="44"/>
        <v>130.57011290898546</v>
      </c>
      <c r="DV53" s="15">
        <f>IF(ISNA(VLOOKUP(A53,'Données projet'!$A$165:$I$185,3,0)),0,VLOOKUP(A53,'Données projet'!$A$165:$I$185,3,0))</f>
        <v>6</v>
      </c>
      <c r="DW53" s="15">
        <f>IF(ISNA(VLOOKUP(A53,'Données projet'!$A$165:$I$185,4,0)),0,VLOOKUP(A53,'Données projet'!$A$165:$I$185,4,0))</f>
        <v>6.4102564102564097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0.1075</v>
      </c>
      <c r="DZ53" s="16">
        <f>IF(ISNA(VLOOKUP(A53,'Données projet'!$A$165:$I$185,7,0)),0%,VLOOKUP(A53,'Données projet'!$A$165:$I$185,7,0))</f>
        <v>0.25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2.9127013038132605</v>
      </c>
      <c r="EC53" s="21">
        <f>EXP(-LN(2)/2)*EC52+(1-EXP(-LN(2)/2))/(LN(2)/2)*DW53*DZ53*VLOOKUP('Données projet'!$B$14,Paramètres!$A$1:$I$89,3,0)*0.475*44/12</f>
        <v>1.7449165570373499</v>
      </c>
      <c r="ED53" s="22">
        <f t="shared" si="18"/>
        <v>4.6576178608506105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7.7715686274509812</v>
      </c>
      <c r="EJ53" s="12">
        <f>IF('Données projet'!$A$192&gt;35,EJ52+EI53-ER52,IF(A53&lt;'Données projet'!$A$192,$EG$205^A53,IF(A53='Données projet'!$A$192,'Données projet'!$B$192,EJ52+EI53-ER52)))</f>
        <v>388.57843137254878</v>
      </c>
      <c r="EK53" s="17">
        <f>EJ53*VLOOKUP('Données projet'!$B$15,Paramètres!$A$1:$I$89,3,0)*VLOOKUP('Données projet'!$B$15,Paramètres!$A$1:$I$89,5,0)</f>
        <v>181.85470588235282</v>
      </c>
      <c r="EL53" s="13">
        <f t="shared" si="45"/>
        <v>45.734577544078526</v>
      </c>
      <c r="EM53" s="20">
        <f t="shared" si="19"/>
        <v>396.38466863436787</v>
      </c>
      <c r="EN53" s="59">
        <f t="shared" si="20"/>
        <v>651.50565016383803</v>
      </c>
      <c r="EO53" s="59">
        <f ca="1">AVERAGE(OFFSET($EN$3,0,0,'Données projet'!$E$15+1,1))-AVERAGE(OFFSET($H$3,0,0,'Données projet'!$E$15+1,1))</f>
        <v>374.38106339726073</v>
      </c>
      <c r="EP53" s="59">
        <f t="shared" si="46"/>
        <v>296.53283288925957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9">
        <f t="shared" si="0"/>
        <v>613.92388973013522</v>
      </c>
      <c r="S54" s="59">
        <f ca="1">AVERAGE(OFFSET($R$3,0,0,'Données projet'!$E$9+1,1))-AVERAGE(OFFSET($H$3,0,0,'Données projet'!$E$9+1,1))</f>
        <v>681.47578137804555</v>
      </c>
      <c r="T54" s="59">
        <f t="shared" si="34"/>
        <v>300.88511065995885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157.01399999999998</v>
      </c>
      <c r="AK54" s="13">
        <f t="shared" si="35"/>
        <v>40.168278112836184</v>
      </c>
      <c r="AL54" s="20">
        <f t="shared" si="4"/>
        <v>343.42580104652302</v>
      </c>
      <c r="AM54" s="59">
        <f t="shared" si="5"/>
        <v>599.20968144976985</v>
      </c>
      <c r="AN54" s="59">
        <f ca="1">AVERAGE(OFFSET($AM$3,0,0,'Données projet'!$E$10+1,1))-AVERAGE(OFFSET($H$3,0,0,'Données projet'!$E$10+1,1))</f>
        <v>423.80243030843661</v>
      </c>
      <c r="AO54" s="59">
        <f t="shared" si="36"/>
        <v>260.29028006191834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9.3250266332079406</v>
      </c>
      <c r="AW54" s="21">
        <f>EXP(-LN(2)/2)*AW53+(1-EXP(-LN(2)/2))/(LN(2)/2)*AQ54*AT54*VLOOKUP('Données projet'!$B$10,Paramètres!$A$1:$I$89,3,0)*0.475*44/12</f>
        <v>4.0484046154005187</v>
      </c>
      <c r="AX54" s="21">
        <f t="shared" si="6"/>
        <v>13.373431248608458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14.113999999999999</v>
      </c>
      <c r="BD54" s="12">
        <f>IF('Données projet'!$A$88&gt;35,BD53+BC54-BL53,IF(A54&lt;'Données projet'!$A$88,$BA$205^A54,IF(A54='Données projet'!$A$88,'Données projet'!$B$88,BD53+BC54-BL53)))</f>
        <v>313.91400000000004</v>
      </c>
      <c r="BE54" s="13">
        <f>BD54*VLOOKUP('Données projet'!$B$11,Paramètres!$A$1:$I$89,3,0)*VLOOKUP('Données projet'!$B$11,Paramètres!$A$1:$I$89,5,0)</f>
        <v>187.72057200000006</v>
      </c>
      <c r="BF54" s="13">
        <f t="shared" si="37"/>
        <v>47.035650233472225</v>
      </c>
      <c r="BG54" s="20">
        <f t="shared" si="7"/>
        <v>408.86708705663085</v>
      </c>
      <c r="BH54" s="59">
        <f t="shared" si="8"/>
        <v>664.65096745987762</v>
      </c>
      <c r="BI54" s="59">
        <f ca="1">AVERAGE(OFFSET($BH$3,0,0,'Données projet'!$E$11+1,1))-AVERAGE(OFFSET($H$3,0,0,'Données projet'!$E$11+1,1))</f>
        <v>373.61861223558259</v>
      </c>
      <c r="BJ54" s="59">
        <f t="shared" si="38"/>
        <v>277.62293009761049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35.323767543368191</v>
      </c>
      <c r="BQ54" s="21">
        <f>EXP(-LN(2)/25)*BQ53+(1-EXP(-LN(2)/25))/(LN(2)/25)*Calculateur!BL54*Calculateur!BN54*VLOOKUP('Données projet'!$B$11,Paramètres!$A$1:$I$89,3,0)*0.475*44/12</f>
        <v>18.439012825473551</v>
      </c>
      <c r="BR54" s="21">
        <f>EXP(-LN(2)/2)*BR53+(1-EXP(-LN(2)/2))/(LN(2)/2)*BL54*BO54*VLOOKUP('Données projet'!$B$11,Paramètres!$A$1:$I$89,3,0)*0.475*44/12</f>
        <v>7.0564924087734591</v>
      </c>
      <c r="BS54" s="22">
        <f t="shared" si="9"/>
        <v>60.819272777615204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3.9743589743589753</v>
      </c>
      <c r="BY54" s="12">
        <f>IF('Données projet'!$A$114&gt;35,BY53+BX54-CG53,IF(A54&lt;'Données projet'!$A$114,$BV$205^A54,IF(A54='Données projet'!$A$114,'Données projet'!$B$114,BY53+BX54-CG53)))</f>
        <v>112.94871794871796</v>
      </c>
      <c r="BZ54" s="13">
        <f>BY54*VLOOKUP('Données projet'!$B$12,Paramètres!$A$1:$I$89,3,0)*VLOOKUP('Données projet'!$B$12,Paramètres!$A$1:$I$89,5,0)</f>
        <v>98.672000000000025</v>
      </c>
      <c r="CA54" s="13">
        <f t="shared" si="39"/>
        <v>26.64537411697647</v>
      </c>
      <c r="CB54" s="20">
        <f t="shared" si="10"/>
        <v>218.26109325373406</v>
      </c>
      <c r="CC54" s="59">
        <f t="shared" si="11"/>
        <v>474.04497365698091</v>
      </c>
      <c r="CD54" s="59">
        <f ca="1">AVERAGE(OFFSET($CC$3,0,0,'Données projet'!$E$12+1,1))-AVERAGE(OFFSET($H$3,0,0,'Données projet'!$E$12+1,1))</f>
        <v>251.30277097589737</v>
      </c>
      <c r="CE54" s="59">
        <f t="shared" si="40"/>
        <v>224.11983819941796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15.028735069967942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15.028735069967942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4.8</v>
      </c>
      <c r="CT54" s="12">
        <f>IF('Données projet'!$A$140&gt;35,CT53+CS54-DB53,IF(A54&lt;'Données projet'!$A$140,$CQ$205^A54,IF(A54='Données projet'!$A$140,'Données projet'!$B$140,CT53+CS54-DB53)))</f>
        <v>165.79999999999995</v>
      </c>
      <c r="CU54" s="17">
        <f>CT54*VLOOKUP('Données projet'!$B$13,Paramètres!$A$1:$I$89,3,0)*VLOOKUP('Données projet'!$B$13,Paramètres!$A$1:$I$89,5,0)</f>
        <v>144.84287999999998</v>
      </c>
      <c r="CV54" s="13">
        <f t="shared" si="41"/>
        <v>37.40423595784457</v>
      </c>
      <c r="CW54" s="20">
        <f t="shared" si="13"/>
        <v>317.41372695991259</v>
      </c>
      <c r="CX54" s="59">
        <f t="shared" si="14"/>
        <v>573.19760736315948</v>
      </c>
      <c r="CY54" s="59">
        <f ca="1">AVERAGE(OFFSET($CX$3,0,0,'Données projet'!$E$13+1,1))-AVERAGE(OFFSET($H$3,0,0,'Données projet'!$E$13+1,1))</f>
        <v>287.28439432670405</v>
      </c>
      <c r="CZ54" s="59">
        <f t="shared" si="42"/>
        <v>276.01618888357268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1.6308653638066524</v>
      </c>
      <c r="DG54" s="21">
        <f>EXP(-LN(2)/25)*DG53+(1-EXP(-LN(2)/25))/(LN(2)/25)*Calculateur!DB54*Calculateur!DD54*VLOOKUP('Données projet'!$B$13,Paramètres!$A$1:$I$89,3,0)*0.475*44/12</f>
        <v>11.175003590784655</v>
      </c>
      <c r="DH54" s="21">
        <f>EXP(-LN(2)/2)*DH53+(1-EXP(-LN(2)/2))/(LN(2)/2)*DB54*DE54*VLOOKUP('Données projet'!$B$13,Paramètres!$A$1:$I$89,3,0)*0.475*44/12</f>
        <v>2.4740268070501106</v>
      </c>
      <c r="DI54" s="22">
        <f t="shared" si="15"/>
        <v>15.279895761641418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2.5641025641025634</v>
      </c>
      <c r="DO54" s="12">
        <f>IF('Données projet'!$A$166&gt;35,DO53+DN54-DW53,IF(A54&lt;'Données projet'!$A$166,$DL$205^A54,IF(A54='Données projet'!$A$166,'Données projet'!$B$166,DO53+DN54-DW53)))</f>
        <v>57.692307692307679</v>
      </c>
      <c r="DP54" s="17">
        <f>DO54*VLOOKUP('Données projet'!$B$14,Paramètres!$A$1:$I$89,3,0)*VLOOKUP('Données projet'!$B$14,Paramètres!$A$1:$I$89,5,0)</f>
        <v>55.79999999999999</v>
      </c>
      <c r="DQ54" s="13">
        <f t="shared" si="43"/>
        <v>16.101934032057411</v>
      </c>
      <c r="DR54" s="20">
        <f t="shared" si="16"/>
        <v>125.22920177249996</v>
      </c>
      <c r="DS54" s="59">
        <f t="shared" si="17"/>
        <v>381.01308217574677</v>
      </c>
      <c r="DT54" s="59">
        <f ca="1">AVERAGE(OFFSET($DS$3,0,0,'Données projet'!$E$14+1,1))-AVERAGE(OFFSET($H$3,0,0,'Données projet'!$E$14+1,1))</f>
        <v>206.5245935130306</v>
      </c>
      <c r="DU54" s="59">
        <f t="shared" si="44"/>
        <v>130.57011290898546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2.8330533334881824</v>
      </c>
      <c r="EC54" s="21">
        <f>EXP(-LN(2)/2)*EC53+(1-EXP(-LN(2)/2))/(LN(2)/2)*DW54*DZ54*VLOOKUP('Données projet'!$B$14,Paramètres!$A$1:$I$89,3,0)*0.475*44/12</f>
        <v>1.2338423300857932</v>
      </c>
      <c r="ED54" s="22">
        <f t="shared" si="18"/>
        <v>4.0668956635739759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>
        <f>VLOOKUP(A54,'Données projet'!$A$191:$I$211,2,0)</f>
        <v>396.35</v>
      </c>
      <c r="EH54" s="12">
        <f>VLOOKUP(A54,'Données projet'!$A$191:$I$211,9,0)</f>
        <v>7.7715686274509812</v>
      </c>
      <c r="EI54" s="12">
        <f t="array" ref="EI54">INDEX(EH:EH,MIN(IF(ISNUMBER(EH54:EH250),ROW(EH54:EH250),"")))</f>
        <v>7.7715686274509812</v>
      </c>
      <c r="EJ54" s="12">
        <f>IF('Données projet'!$A$192&gt;35,EJ53+EI54-ER53,IF(A54&lt;'Données projet'!$A$192,$EG$205^A54,IF(A54='Données projet'!$A$192,'Données projet'!$B$192,EJ53+EI54-ER53)))</f>
        <v>396.34999999999974</v>
      </c>
      <c r="EK54" s="17">
        <f>EJ54*VLOOKUP('Données projet'!$B$15,Paramètres!$A$1:$I$89,3,0)*VLOOKUP('Données projet'!$B$15,Paramètres!$A$1:$I$89,5,0)</f>
        <v>185.49179999999987</v>
      </c>
      <c r="EL54" s="13">
        <f t="shared" si="45"/>
        <v>46.541865157318107</v>
      </c>
      <c r="EM54" s="20">
        <f t="shared" si="19"/>
        <v>404.12530014899545</v>
      </c>
      <c r="EN54" s="59">
        <f t="shared" si="20"/>
        <v>659.90918055224233</v>
      </c>
      <c r="EO54" s="59">
        <f ca="1">AVERAGE(OFFSET($EN$3,0,0,'Données projet'!$E$15+1,1))-AVERAGE(OFFSET($H$3,0,0,'Données projet'!$E$15+1,1))</f>
        <v>374.38106339726073</v>
      </c>
      <c r="EP54" s="59">
        <f t="shared" si="46"/>
        <v>296.53283288925957</v>
      </c>
      <c r="EQ54" s="15">
        <f>IF(ISNA(VLOOKUP(A54,'Données projet'!$A$191:$I$211,3,0)),0,VLOOKUP(A54,'Données projet'!$A$191:$I$211,3,0))</f>
        <v>1</v>
      </c>
      <c r="ER54" s="15">
        <f>IF(ISNA(VLOOKUP(A54,'Données projet'!$A$191:$I$211,4,0)),0,VLOOKUP(A54,'Données projet'!$A$191:$I$211,4,0))</f>
        <v>173.97000000000003</v>
      </c>
      <c r="ES54" s="16">
        <f>IF(ISNA(VLOOKUP(A54,'Données projet'!$A$191:$I$211,5,0)),0%,VLOOKUP(A54,'Données projet'!$A$191:$I$211,5,0)*VLOOKUP('Données projet'!$B$15,Paramètres!$A$1:$I$89,7,0))</f>
        <v>0.13750000000000001</v>
      </c>
      <c r="ET54" s="16">
        <f>IF(ISNA(VLOOKUP(A54,'Données projet'!$A$191:$I$211,6,0)),0%,VLOOKUP(A54,'Données projet'!$A$191:$I$211,6,0)*VLOOKUP('Données projet'!$B$15,Paramètres!$A$1:$I$89,7,0))</f>
        <v>0.20350000000000001</v>
      </c>
      <c r="EU54" s="16">
        <f>IF(ISNA(VLOOKUP(A54,'Données projet'!$A$191:$I$211,7,0)),0%,VLOOKUP(A54,'Données projet'!$A$191:$I$211,7,0))</f>
        <v>0.38</v>
      </c>
      <c r="EV54" s="21">
        <f>EXP(-LN(2)/35)*EV53+(1-EXP(-LN(2)/35))/(LN(2)/35)*ER54*ES54*VLOOKUP('Données projet'!$B$15,Paramètres!$A$1:$I$89,3,0)*0.475*44/12</f>
        <v>14.850848618429765</v>
      </c>
      <c r="EW54" s="21">
        <f>EXP(-LN(2)/25)*EW53+(1-EXP(-LN(2)/25))/(LN(2)/25)*Calculateur!ER54*Calculateur!ET54*VLOOKUP('Données projet'!$B$15,Paramètres!$A$1:$I$89,3,0)*0.475*44/12</f>
        <v>21.892715249827038</v>
      </c>
      <c r="EX54" s="21">
        <f>EXP(-LN(2)/2)*EX53+(1-EXP(-LN(2)/2))/(LN(2)/2)*ER54*EU54*VLOOKUP('Données projet'!$B$15,Paramètres!$A$1:$I$89,3,0)*0.475*44/12</f>
        <v>35.029936686072809</v>
      </c>
      <c r="EY54" s="22">
        <f t="shared" si="21"/>
        <v>71.773500554329615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9">
        <f t="shared" si="0"/>
        <v>634.56848482643636</v>
      </c>
      <c r="S55" s="59">
        <f ca="1">AVERAGE(OFFSET($R$3,0,0,'Données projet'!$E$9+1,1))-AVERAGE(OFFSET($H$3,0,0,'Données projet'!$E$9+1,1))</f>
        <v>681.47578137804555</v>
      </c>
      <c r="T55" s="59">
        <f t="shared" si="34"/>
        <v>300.88511065995885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164.6268</v>
      </c>
      <c r="AK55" s="13">
        <f t="shared" si="35"/>
        <v>41.884365321551833</v>
      </c>
      <c r="AL55" s="20">
        <f t="shared" si="4"/>
        <v>359.67361293503609</v>
      </c>
      <c r="AM55" s="59">
        <f t="shared" si="5"/>
        <v>616.10889239861945</v>
      </c>
      <c r="AN55" s="59">
        <f ca="1">AVERAGE(OFFSET($AM$3,0,0,'Données projet'!$E$10+1,1))-AVERAGE(OFFSET($H$3,0,0,'Données projet'!$E$10+1,1))</f>
        <v>423.80243030843661</v>
      </c>
      <c r="AO55" s="59">
        <f t="shared" si="36"/>
        <v>260.29028006191834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9.0700332895410316</v>
      </c>
      <c r="AW55" s="21">
        <f>EXP(-LN(2)/2)*AW54+(1-EXP(-LN(2)/2))/(LN(2)/2)*AQ55*AT55*VLOOKUP('Données projet'!$B$10,Paramètres!$A$1:$I$89,3,0)*0.475*44/12</f>
        <v>2.8626543565366238</v>
      </c>
      <c r="AX55" s="21">
        <f t="shared" si="6"/>
        <v>11.932687646077655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14.113999999999999</v>
      </c>
      <c r="BD55" s="12">
        <f>IF('Données projet'!$A$88&gt;35,BD54+BC55-BL54,IF(A55&lt;'Données projet'!$A$88,$BA$205^A55,IF(A55='Données projet'!$A$88,'Données projet'!$B$88,BD54+BC55-BL54)))</f>
        <v>328.02800000000002</v>
      </c>
      <c r="BE55" s="13">
        <f>BD55*VLOOKUP('Données projet'!$B$11,Paramètres!$A$1:$I$89,3,0)*VLOOKUP('Données projet'!$B$11,Paramètres!$A$1:$I$89,5,0)</f>
        <v>196.16074400000002</v>
      </c>
      <c r="BF55" s="13">
        <f t="shared" si="37"/>
        <v>48.899465996260361</v>
      </c>
      <c r="BG55" s="20">
        <f t="shared" si="7"/>
        <v>426.81319907682013</v>
      </c>
      <c r="BH55" s="59">
        <f t="shared" si="8"/>
        <v>683.24847854040354</v>
      </c>
      <c r="BI55" s="59">
        <f ca="1">AVERAGE(OFFSET($BH$3,0,0,'Données projet'!$E$11+1,1))-AVERAGE(OFFSET($H$3,0,0,'Données projet'!$E$11+1,1))</f>
        <v>373.61861223558259</v>
      </c>
      <c r="BJ55" s="59">
        <f t="shared" si="38"/>
        <v>277.62293009761049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34.631090007213515</v>
      </c>
      <c r="BQ55" s="21">
        <f>EXP(-LN(2)/25)*BQ54+(1-EXP(-LN(2)/25))/(LN(2)/25)*Calculateur!BL55*Calculateur!BN55*VLOOKUP('Données projet'!$B$11,Paramètres!$A$1:$I$89,3,0)*0.475*44/12</f>
        <v>17.934797050095433</v>
      </c>
      <c r="BR55" s="21">
        <f>EXP(-LN(2)/2)*BR54+(1-EXP(-LN(2)/2))/(LN(2)/2)*BL55*BO55*VLOOKUP('Données projet'!$B$11,Paramètres!$A$1:$I$89,3,0)*0.475*44/12</f>
        <v>4.9896936336351088</v>
      </c>
      <c r="BS55" s="22">
        <f t="shared" si="9"/>
        <v>57.555580690944055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3.9743589743589753</v>
      </c>
      <c r="BY55" s="12">
        <f>IF('Données projet'!$A$114&gt;35,BY54+BX55-CG54,IF(A55&lt;'Données projet'!$A$114,$BV$205^A55,IF(A55='Données projet'!$A$114,'Données projet'!$B$114,BY54+BX55-CG54)))</f>
        <v>116.92307692307693</v>
      </c>
      <c r="BZ55" s="13">
        <f>BY55*VLOOKUP('Données projet'!$B$12,Paramètres!$A$1:$I$89,3,0)*VLOOKUP('Données projet'!$B$12,Paramètres!$A$1:$I$89,5,0)</f>
        <v>102.14400000000002</v>
      </c>
      <c r="CA55" s="13">
        <f t="shared" si="39"/>
        <v>27.472143658119773</v>
      </c>
      <c r="CB55" s="20">
        <f t="shared" si="10"/>
        <v>225.74811687122531</v>
      </c>
      <c r="CC55" s="59">
        <f t="shared" si="11"/>
        <v>482.18339633480866</v>
      </c>
      <c r="CD55" s="59">
        <f ca="1">AVERAGE(OFFSET($CC$3,0,0,'Données projet'!$E$12+1,1))-AVERAGE(OFFSET($H$3,0,0,'Données projet'!$E$12+1,1))</f>
        <v>251.30277097589737</v>
      </c>
      <c r="CE55" s="59">
        <f t="shared" si="40"/>
        <v>224.11983819941796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14.61777351915284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14.61777351915284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4.8</v>
      </c>
      <c r="CT55" s="12">
        <f>IF('Données projet'!$A$140&gt;35,CT54+CS55-DB54,IF(A55&lt;'Données projet'!$A$140,$CQ$205^A55,IF(A55='Données projet'!$A$140,'Données projet'!$B$140,CT54+CS55-DB54)))</f>
        <v>170.59999999999997</v>
      </c>
      <c r="CU55" s="17">
        <f>CT55*VLOOKUP('Données projet'!$B$13,Paramètres!$A$1:$I$89,3,0)*VLOOKUP('Données projet'!$B$13,Paramètres!$A$1:$I$89,5,0)</f>
        <v>149.03616</v>
      </c>
      <c r="CV55" s="13">
        <f t="shared" si="41"/>
        <v>38.35946741279561</v>
      </c>
      <c r="CW55" s="20">
        <f t="shared" si="13"/>
        <v>326.38071774395229</v>
      </c>
      <c r="CX55" s="59">
        <f t="shared" si="14"/>
        <v>582.8159972075357</v>
      </c>
      <c r="CY55" s="59">
        <f ca="1">AVERAGE(OFFSET($CX$3,0,0,'Données projet'!$E$13+1,1))-AVERAGE(OFFSET($H$3,0,0,'Données projet'!$E$13+1,1))</f>
        <v>287.28439432670405</v>
      </c>
      <c r="CZ55" s="59">
        <f t="shared" si="42"/>
        <v>276.01618888357268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1.5988850887520545</v>
      </c>
      <c r="DG55" s="21">
        <f>EXP(-LN(2)/25)*DG54+(1-EXP(-LN(2)/25))/(LN(2)/25)*Calculateur!DB55*Calculateur!DD55*VLOOKUP('Données projet'!$B$13,Paramètres!$A$1:$I$89,3,0)*0.475*44/12</f>
        <v>10.869422529926752</v>
      </c>
      <c r="DH55" s="21">
        <f>EXP(-LN(2)/2)*DH54+(1-EXP(-LN(2)/2))/(LN(2)/2)*DB55*DE55*VLOOKUP('Données projet'!$B$13,Paramètres!$A$1:$I$89,3,0)*0.475*44/12</f>
        <v>1.7494011321024354</v>
      </c>
      <c r="DI55" s="22">
        <f t="shared" si="15"/>
        <v>14.217708750781242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2.5641025641025634</v>
      </c>
      <c r="DO55" s="12">
        <f>IF('Données projet'!$A$166&gt;35,DO54+DN55-DW54,IF(A55&lt;'Données projet'!$A$166,$DL$205^A55,IF(A55='Données projet'!$A$166,'Données projet'!$B$166,DO54+DN55-DW54)))</f>
        <v>60.256410256410241</v>
      </c>
      <c r="DP55" s="17">
        <f>DO55*VLOOKUP('Données projet'!$B$14,Paramètres!$A$1:$I$89,3,0)*VLOOKUP('Données projet'!$B$14,Paramètres!$A$1:$I$89,5,0)</f>
        <v>58.279999999999987</v>
      </c>
      <c r="DQ55" s="13">
        <f t="shared" si="43"/>
        <v>16.732665651028569</v>
      </c>
      <c r="DR55" s="20">
        <f t="shared" si="16"/>
        <v>130.64705934220805</v>
      </c>
      <c r="DS55" s="59">
        <f t="shared" si="17"/>
        <v>387.08233880579144</v>
      </c>
      <c r="DT55" s="59">
        <f ca="1">AVERAGE(OFFSET($DS$3,0,0,'Données projet'!$E$14+1,1))-AVERAGE(OFFSET($H$3,0,0,'Données projet'!$E$14+1,1))</f>
        <v>206.5245935130306</v>
      </c>
      <c r="DU55" s="59">
        <f t="shared" si="44"/>
        <v>130.57011290898546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2.7555833411001482</v>
      </c>
      <c r="EC55" s="21">
        <f>EXP(-LN(2)/2)*EC54+(1-EXP(-LN(2)/2))/(LN(2)/2)*DW55*DZ55*VLOOKUP('Données projet'!$B$14,Paramètres!$A$1:$I$89,3,0)*0.475*44/12</f>
        <v>0.87245827851867497</v>
      </c>
      <c r="ED55" s="22">
        <f t="shared" si="18"/>
        <v>3.6280416196188234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12.999000000000001</v>
      </c>
      <c r="EJ55" s="12">
        <f>IF('Données projet'!$A$192&gt;35,EJ54+EI55-ER54,IF(A55&lt;'Données projet'!$A$192,$EG$205^A55,IF(A55='Données projet'!$A$192,'Données projet'!$B$192,EJ54+EI55-ER54)))</f>
        <v>235.37899999999973</v>
      </c>
      <c r="EK55" s="17">
        <f>EJ55*VLOOKUP('Données projet'!$B$15,Paramètres!$A$1:$I$89,3,0)*VLOOKUP('Données projet'!$B$15,Paramètres!$A$1:$I$89,5,0)</f>
        <v>110.15737199999988</v>
      </c>
      <c r="EL55" s="13">
        <f t="shared" si="45"/>
        <v>29.36805955758571</v>
      </c>
      <c r="EM55" s="20">
        <f t="shared" si="19"/>
        <v>243.00679329612822</v>
      </c>
      <c r="EN55" s="59">
        <f t="shared" si="20"/>
        <v>499.44207275971155</v>
      </c>
      <c r="EO55" s="59">
        <f ca="1">AVERAGE(OFFSET($EN$3,0,0,'Données projet'!$E$15+1,1))-AVERAGE(OFFSET($H$3,0,0,'Données projet'!$E$15+1,1))</f>
        <v>374.38106339726073</v>
      </c>
      <c r="EP55" s="59">
        <f t="shared" si="46"/>
        <v>296.53283288925957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14.5596325351456</v>
      </c>
      <c r="EW55" s="21">
        <f>EXP(-LN(2)/25)*EW54+(1-EXP(-LN(2)/25))/(LN(2)/25)*Calculateur!ER55*Calculateur!ET55*VLOOKUP('Données projet'!$B$15,Paramètres!$A$1:$I$89,3,0)*0.475*44/12</f>
        <v>21.294057800032657</v>
      </c>
      <c r="EX55" s="21">
        <f>EXP(-LN(2)/2)*EX54+(1-EXP(-LN(2)/2))/(LN(2)/2)*ER55*EU55*VLOOKUP('Données projet'!$B$15,Paramètres!$A$1:$I$89,3,0)*0.475*44/12</f>
        <v>24.769905775257502</v>
      </c>
      <c r="EY55" s="22">
        <f t="shared" si="21"/>
        <v>60.623596110435756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9">
        <f t="shared" si="0"/>
        <v>655.17877776242744</v>
      </c>
      <c r="S56" s="59">
        <f ca="1">AVERAGE(OFFSET($R$3,0,0,'Données projet'!$E$9+1,1))-AVERAGE(OFFSET($H$3,0,0,'Données projet'!$E$9+1,1))</f>
        <v>681.47578137804555</v>
      </c>
      <c r="T56" s="59">
        <f t="shared" si="34"/>
        <v>300.88511065995885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172.2396</v>
      </c>
      <c r="AK56" s="13">
        <f t="shared" si="35"/>
        <v>43.591236765546341</v>
      </c>
      <c r="AL56" s="20">
        <f t="shared" si="4"/>
        <v>375.9053740333265</v>
      </c>
      <c r="AM56" s="59">
        <f t="shared" si="5"/>
        <v>632.98075223985973</v>
      </c>
      <c r="AN56" s="59">
        <f ca="1">AVERAGE(OFFSET($AM$3,0,0,'Données projet'!$E$10+1,1))-AVERAGE(OFFSET($H$3,0,0,'Données projet'!$E$10+1,1))</f>
        <v>423.80243030843661</v>
      </c>
      <c r="AO56" s="59">
        <f t="shared" si="36"/>
        <v>260.29028006191834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8.8220127522662111</v>
      </c>
      <c r="AW56" s="21">
        <f>EXP(-LN(2)/2)*AW55+(1-EXP(-LN(2)/2))/(LN(2)/2)*AQ56*AT56*VLOOKUP('Données projet'!$B$10,Paramètres!$A$1:$I$89,3,0)*0.475*44/12</f>
        <v>2.0242023077002598</v>
      </c>
      <c r="AX56" s="21">
        <f t="shared" si="6"/>
        <v>10.846215059966472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14.113999999999999</v>
      </c>
      <c r="BD56" s="12">
        <f>IF('Données projet'!$A$88&gt;35,BD55+BC56-BL55,IF(A56&lt;'Données projet'!$A$88,$BA$205^A56,IF(A56='Données projet'!$A$88,'Données projet'!$B$88,BD55+BC56-BL55)))</f>
        <v>342.142</v>
      </c>
      <c r="BE56" s="13">
        <f>BD56*VLOOKUP('Données projet'!$B$11,Paramètres!$A$1:$I$89,3,0)*VLOOKUP('Données projet'!$B$11,Paramètres!$A$1:$I$89,5,0)</f>
        <v>204.60091600000001</v>
      </c>
      <c r="BF56" s="13">
        <f t="shared" si="37"/>
        <v>50.753967472357871</v>
      </c>
      <c r="BG56" s="20">
        <f t="shared" si="7"/>
        <v>444.74308871435665</v>
      </c>
      <c r="BH56" s="59">
        <f t="shared" si="8"/>
        <v>701.81846692088993</v>
      </c>
      <c r="BI56" s="59">
        <f ca="1">AVERAGE(OFFSET($BH$3,0,0,'Données projet'!$E$11+1,1))-AVERAGE(OFFSET($H$3,0,0,'Données projet'!$E$11+1,1))</f>
        <v>373.61861223558259</v>
      </c>
      <c r="BJ56" s="59">
        <f t="shared" si="38"/>
        <v>277.62293009761049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33.951995455051254</v>
      </c>
      <c r="BQ56" s="21">
        <f>EXP(-LN(2)/25)*BQ55+(1-EXP(-LN(2)/25))/(LN(2)/25)*Calculateur!BL56*Calculateur!BN56*VLOOKUP('Données projet'!$B$11,Paramètres!$A$1:$I$89,3,0)*0.475*44/12</f>
        <v>17.444369081610589</v>
      </c>
      <c r="BR56" s="21">
        <f>EXP(-LN(2)/2)*BR55+(1-EXP(-LN(2)/2))/(LN(2)/2)*BL56*BO56*VLOOKUP('Données projet'!$B$11,Paramètres!$A$1:$I$89,3,0)*0.475*44/12</f>
        <v>3.5282462043867304</v>
      </c>
      <c r="BS56" s="22">
        <f t="shared" si="9"/>
        <v>54.924610741048575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3.9743589743589753</v>
      </c>
      <c r="BY56" s="12">
        <f>IF('Données projet'!$A$114&gt;35,BY55+BX56-CG55,IF(A56&lt;'Données projet'!$A$114,$BV$205^A56,IF(A56='Données projet'!$A$114,'Données projet'!$B$114,BY55+BX56-CG55)))</f>
        <v>120.89743589743591</v>
      </c>
      <c r="BZ56" s="13">
        <f>BY56*VLOOKUP('Données projet'!$B$12,Paramètres!$A$1:$I$89,3,0)*VLOOKUP('Données projet'!$B$12,Paramètres!$A$1:$I$89,5,0)</f>
        <v>105.61600000000001</v>
      </c>
      <c r="CA56" s="13">
        <f t="shared" si="39"/>
        <v>28.29564781884239</v>
      </c>
      <c r="CB56" s="20">
        <f t="shared" si="10"/>
        <v>233.22945328448384</v>
      </c>
      <c r="CC56" s="59">
        <f t="shared" si="11"/>
        <v>490.30483149101707</v>
      </c>
      <c r="CD56" s="59">
        <f ca="1">AVERAGE(OFFSET($CC$3,0,0,'Données projet'!$E$12+1,1))-AVERAGE(OFFSET($H$3,0,0,'Données projet'!$E$12+1,1))</f>
        <v>251.30277097589737</v>
      </c>
      <c r="CE56" s="59">
        <f t="shared" si="40"/>
        <v>224.11983819941796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14.218049733556304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14.218049733556304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4.8</v>
      </c>
      <c r="CT56" s="12">
        <f>IF('Données projet'!$A$140&gt;35,CT55+CS56-DB55,IF(A56&lt;'Données projet'!$A$140,$CQ$205^A56,IF(A56='Données projet'!$A$140,'Données projet'!$B$140,CT55+CS56-DB55)))</f>
        <v>175.39999999999998</v>
      </c>
      <c r="CU56" s="17">
        <f>CT56*VLOOKUP('Données projet'!$B$13,Paramètres!$A$1:$I$89,3,0)*VLOOKUP('Données projet'!$B$13,Paramètres!$A$1:$I$89,5,0)</f>
        <v>153.22943999999998</v>
      </c>
      <c r="CV56" s="13">
        <f t="shared" si="41"/>
        <v>39.311575138468363</v>
      </c>
      <c r="CW56" s="20">
        <f t="shared" si="13"/>
        <v>335.34226803283235</v>
      </c>
      <c r="CX56" s="59">
        <f t="shared" si="14"/>
        <v>592.41764623936558</v>
      </c>
      <c r="CY56" s="59">
        <f ca="1">AVERAGE(OFFSET($CX$3,0,0,'Données projet'!$E$13+1,1))-AVERAGE(OFFSET($H$3,0,0,'Données projet'!$E$13+1,1))</f>
        <v>287.28439432670405</v>
      </c>
      <c r="CZ56" s="59">
        <f t="shared" si="42"/>
        <v>276.01618888357268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1.5675319273852355</v>
      </c>
      <c r="DG56" s="21">
        <f>EXP(-LN(2)/25)*DG55+(1-EXP(-LN(2)/25))/(LN(2)/25)*Calculateur!DB56*Calculateur!DD56*VLOOKUP('Données projet'!$B$13,Paramètres!$A$1:$I$89,3,0)*0.475*44/12</f>
        <v>10.572197599247817</v>
      </c>
      <c r="DH56" s="21">
        <f>EXP(-LN(2)/2)*DH55+(1-EXP(-LN(2)/2))/(LN(2)/2)*DB56*DE56*VLOOKUP('Données projet'!$B$13,Paramètres!$A$1:$I$89,3,0)*0.475*44/12</f>
        <v>1.2370134035250555</v>
      </c>
      <c r="DI56" s="22">
        <f t="shared" si="15"/>
        <v>13.376742930158109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2.5641025641025634</v>
      </c>
      <c r="DO56" s="12">
        <f>IF('Données projet'!$A$166&gt;35,DO55+DN56-DW55,IF(A56&lt;'Données projet'!$A$166,$DL$205^A56,IF(A56='Données projet'!$A$166,'Données projet'!$B$166,DO55+DN56-DW55)))</f>
        <v>62.820512820512803</v>
      </c>
      <c r="DP56" s="17">
        <f>DO56*VLOOKUP('Données projet'!$B$14,Paramètres!$A$1:$I$89,3,0)*VLOOKUP('Données projet'!$B$14,Paramètres!$A$1:$I$89,5,0)</f>
        <v>60.759999999999977</v>
      </c>
      <c r="DQ56" s="13">
        <f t="shared" si="43"/>
        <v>17.360279866424648</v>
      </c>
      <c r="DR56" s="20">
        <f t="shared" si="16"/>
        <v>136.05948743402288</v>
      </c>
      <c r="DS56" s="59">
        <f t="shared" si="17"/>
        <v>393.13486564055609</v>
      </c>
      <c r="DT56" s="59">
        <f ca="1">AVERAGE(OFFSET($DS$3,0,0,'Données projet'!$E$14+1,1))-AVERAGE(OFFSET($H$3,0,0,'Données projet'!$E$14+1,1))</f>
        <v>206.5245935130306</v>
      </c>
      <c r="DU56" s="59">
        <f t="shared" si="44"/>
        <v>130.57011290898546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2.6802317697279348</v>
      </c>
      <c r="EC56" s="21">
        <f>EXP(-LN(2)/2)*EC55+(1-EXP(-LN(2)/2))/(LN(2)/2)*DW56*DZ56*VLOOKUP('Données projet'!$B$14,Paramètres!$A$1:$I$89,3,0)*0.475*44/12</f>
        <v>0.61692116504289662</v>
      </c>
      <c r="ED56" s="22">
        <f t="shared" si="18"/>
        <v>3.2971529347708315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12.999000000000001</v>
      </c>
      <c r="EJ56" s="12">
        <f>IF('Données projet'!$A$192&gt;35,EJ55+EI56-ER55,IF(A56&lt;'Données projet'!$A$192,$EG$205^A56,IF(A56='Données projet'!$A$192,'Données projet'!$B$192,EJ55+EI56-ER55)))</f>
        <v>248.37799999999973</v>
      </c>
      <c r="EK56" s="17">
        <f>EJ56*VLOOKUP('Données projet'!$B$15,Paramètres!$A$1:$I$89,3,0)*VLOOKUP('Données projet'!$B$15,Paramètres!$A$1:$I$89,5,0)</f>
        <v>116.24090399999987</v>
      </c>
      <c r="EL56" s="13">
        <f t="shared" si="45"/>
        <v>30.796634482547404</v>
      </c>
      <c r="EM56" s="20">
        <f t="shared" si="19"/>
        <v>256.09037952376985</v>
      </c>
      <c r="EN56" s="59">
        <f t="shared" si="20"/>
        <v>513.16575773030308</v>
      </c>
      <c r="EO56" s="59">
        <f ca="1">AVERAGE(OFFSET($EN$3,0,0,'Données projet'!$E$15+1,1))-AVERAGE(OFFSET($H$3,0,0,'Données projet'!$E$15+1,1))</f>
        <v>374.38106339726073</v>
      </c>
      <c r="EP56" s="59">
        <f t="shared" si="46"/>
        <v>296.53283288925957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14.274127021630365</v>
      </c>
      <c r="EW56" s="21">
        <f>EXP(-LN(2)/25)*EW55+(1-EXP(-LN(2)/25))/(LN(2)/25)*Calculateur!ER56*Calculateur!ET56*VLOOKUP('Données projet'!$B$15,Paramètres!$A$1:$I$89,3,0)*0.475*44/12</f>
        <v>20.711770669684935</v>
      </c>
      <c r="EX56" s="21">
        <f>EXP(-LN(2)/2)*EX55+(1-EXP(-LN(2)/2))/(LN(2)/2)*ER56*EU56*VLOOKUP('Données projet'!$B$15,Paramètres!$A$1:$I$89,3,0)*0.475*44/12</f>
        <v>17.514968343036408</v>
      </c>
      <c r="EY56" s="22">
        <f t="shared" si="21"/>
        <v>52.500866034351709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9">
        <f t="shared" si="0"/>
        <v>675.75628009389561</v>
      </c>
      <c r="S57" s="59">
        <f ca="1">AVERAGE(OFFSET($R$3,0,0,'Données projet'!$E$9+1,1))-AVERAGE(OFFSET($H$3,0,0,'Données projet'!$E$9+1,1))</f>
        <v>681.47578137804555</v>
      </c>
      <c r="T57" s="59">
        <f t="shared" si="34"/>
        <v>300.88511065995885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179.85239999999999</v>
      </c>
      <c r="AK57" s="13">
        <f t="shared" si="35"/>
        <v>45.289346318280131</v>
      </c>
      <c r="AL57" s="20">
        <f t="shared" si="4"/>
        <v>392.12187483767121</v>
      </c>
      <c r="AM57" s="59">
        <f t="shared" si="5"/>
        <v>649.82624750501054</v>
      </c>
      <c r="AN57" s="59">
        <f ca="1">AVERAGE(OFFSET($AM$3,0,0,'Données projet'!$E$10+1,1))-AVERAGE(OFFSET($H$3,0,0,'Données projet'!$E$10+1,1))</f>
        <v>423.80243030843661</v>
      </c>
      <c r="AO57" s="59">
        <f t="shared" si="36"/>
        <v>260.29028006191834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8.5807743496260045</v>
      </c>
      <c r="AW57" s="21">
        <f>EXP(-LN(2)/2)*AW56+(1-EXP(-LN(2)/2))/(LN(2)/2)*AQ57*AT57*VLOOKUP('Données projet'!$B$10,Paramètres!$A$1:$I$89,3,0)*0.475*44/12</f>
        <v>1.4313271782683121</v>
      </c>
      <c r="AX57" s="21">
        <f t="shared" si="6"/>
        <v>10.012101527894316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14.113999999999999</v>
      </c>
      <c r="BD57" s="12">
        <f>IF('Données projet'!$A$88&gt;35,BD56+BC57-BL56,IF(A57&lt;'Données projet'!$A$88,$BA$205^A57,IF(A57='Données projet'!$A$88,'Données projet'!$B$88,BD56+BC57-BL56)))</f>
        <v>356.25599999999997</v>
      </c>
      <c r="BE57" s="13">
        <f>BD57*VLOOKUP('Données projet'!$B$11,Paramètres!$A$1:$I$89,3,0)*VLOOKUP('Données projet'!$B$11,Paramètres!$A$1:$I$89,5,0)</f>
        <v>213.041088</v>
      </c>
      <c r="BF57" s="13">
        <f t="shared" si="37"/>
        <v>52.599582837576946</v>
      </c>
      <c r="BG57" s="20">
        <f t="shared" si="7"/>
        <v>462.65750170877988</v>
      </c>
      <c r="BH57" s="59">
        <f t="shared" si="8"/>
        <v>720.3618743761192</v>
      </c>
      <c r="BI57" s="59">
        <f ca="1">AVERAGE(OFFSET($BH$3,0,0,'Données projet'!$E$11+1,1))-AVERAGE(OFFSET($H$3,0,0,'Données projet'!$E$11+1,1))</f>
        <v>373.61861223558259</v>
      </c>
      <c r="BJ57" s="59">
        <f t="shared" si="38"/>
        <v>277.62293009761049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33.286217532850117</v>
      </c>
      <c r="BQ57" s="21">
        <f>EXP(-LN(2)/25)*BQ56+(1-EXP(-LN(2)/25))/(LN(2)/25)*Calculateur!BL57*Calculateur!BN57*VLOOKUP('Données projet'!$B$11,Paramètres!$A$1:$I$89,3,0)*0.475*44/12</f>
        <v>16.967351891714447</v>
      </c>
      <c r="BR57" s="21">
        <f>EXP(-LN(2)/2)*BR56+(1-EXP(-LN(2)/2))/(LN(2)/2)*BL57*BO57*VLOOKUP('Données projet'!$B$11,Paramètres!$A$1:$I$89,3,0)*0.475*44/12</f>
        <v>2.4948468168175548</v>
      </c>
      <c r="BS57" s="22">
        <f t="shared" si="9"/>
        <v>52.748416241382117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3.9743589743589753</v>
      </c>
      <c r="BY57" s="12">
        <f>IF('Données projet'!$A$114&gt;35,BY56+BX57-CG56,IF(A57&lt;'Données projet'!$A$114,$BV$205^A57,IF(A57='Données projet'!$A$114,'Données projet'!$B$114,BY56+BX57-CG56)))</f>
        <v>124.87179487179489</v>
      </c>
      <c r="BZ57" s="13">
        <f>BY57*VLOOKUP('Données projet'!$B$12,Paramètres!$A$1:$I$89,3,0)*VLOOKUP('Données projet'!$B$12,Paramètres!$A$1:$I$89,5,0)</f>
        <v>109.08800000000004</v>
      </c>
      <c r="CA57" s="13">
        <f t="shared" si="39"/>
        <v>29.116006254416277</v>
      </c>
      <c r="CB57" s="20">
        <f t="shared" si="10"/>
        <v>240.70531089310836</v>
      </c>
      <c r="CC57" s="59">
        <f t="shared" si="11"/>
        <v>498.40968356044766</v>
      </c>
      <c r="CD57" s="59">
        <f ca="1">AVERAGE(OFFSET($CC$3,0,0,'Données projet'!$E$12+1,1))-AVERAGE(OFFSET($H$3,0,0,'Données projet'!$E$12+1,1))</f>
        <v>251.30277097589737</v>
      </c>
      <c r="CE57" s="59">
        <f t="shared" si="40"/>
        <v>224.11983819941796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13.829256415897467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13.829256415897467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4.8</v>
      </c>
      <c r="CT57" s="12">
        <f>IF('Données projet'!$A$140&gt;35,CT56+CS57-DB56,IF(A57&lt;'Données projet'!$A$140,$CQ$205^A57,IF(A57='Données projet'!$A$140,'Données projet'!$B$140,CT56+CS57-DB56)))</f>
        <v>180.2</v>
      </c>
      <c r="CU57" s="17">
        <f>CT57*VLOOKUP('Données projet'!$B$13,Paramètres!$A$1:$I$89,3,0)*VLOOKUP('Données projet'!$B$13,Paramètres!$A$1:$I$89,5,0)</f>
        <v>157.42272000000003</v>
      </c>
      <c r="CV57" s="13">
        <f t="shared" si="41"/>
        <v>40.260654441499831</v>
      </c>
      <c r="CW57" s="20">
        <f t="shared" si="13"/>
        <v>344.29854381894557</v>
      </c>
      <c r="CX57" s="59">
        <f t="shared" si="14"/>
        <v>602.0029164862849</v>
      </c>
      <c r="CY57" s="59">
        <f ca="1">AVERAGE(OFFSET($CX$3,0,0,'Données projet'!$E$13+1,1))-AVERAGE(OFFSET($H$3,0,0,'Données projet'!$E$13+1,1))</f>
        <v>287.28439432670405</v>
      </c>
      <c r="CZ57" s="59">
        <f t="shared" si="42"/>
        <v>276.01618888357268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1.5367935823892798</v>
      </c>
      <c r="DG57" s="21">
        <f>EXP(-LN(2)/25)*DG56+(1-EXP(-LN(2)/25))/(LN(2)/25)*Calculateur!DB57*Calculateur!DD57*VLOOKUP('Données projet'!$B$13,Paramètres!$A$1:$I$89,3,0)*0.475*44/12</f>
        <v>10.283100299928677</v>
      </c>
      <c r="DH57" s="21">
        <f>EXP(-LN(2)/2)*DH56+(1-EXP(-LN(2)/2))/(LN(2)/2)*DB57*DE57*VLOOKUP('Données projet'!$B$13,Paramètres!$A$1:$I$89,3,0)*0.475*44/12</f>
        <v>0.87470056605121793</v>
      </c>
      <c r="DI57" s="22">
        <f t="shared" si="15"/>
        <v>12.694594448369173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2.5641025641025634</v>
      </c>
      <c r="DO57" s="12">
        <f>IF('Données projet'!$A$166&gt;35,DO56+DN57-DW56,IF(A57&lt;'Données projet'!$A$166,$DL$205^A57,IF(A57='Données projet'!$A$166,'Données projet'!$B$166,DO56+DN57-DW56)))</f>
        <v>65.384615384615373</v>
      </c>
      <c r="DP57" s="17">
        <f>DO57*VLOOKUP('Données projet'!$B$14,Paramètres!$A$1:$I$89,3,0)*VLOOKUP('Données projet'!$B$14,Paramètres!$A$1:$I$89,5,0)</f>
        <v>63.239999999999995</v>
      </c>
      <c r="DQ57" s="13">
        <f t="shared" si="43"/>
        <v>17.984918473409312</v>
      </c>
      <c r="DR57" s="20">
        <f t="shared" si="16"/>
        <v>141.46673300785451</v>
      </c>
      <c r="DS57" s="59">
        <f t="shared" si="17"/>
        <v>399.17110567519387</v>
      </c>
      <c r="DT57" s="59">
        <f ca="1">AVERAGE(OFFSET($DS$3,0,0,'Données projet'!$E$14+1,1))-AVERAGE(OFFSET($H$3,0,0,'Données projet'!$E$14+1,1))</f>
        <v>206.5245935130306</v>
      </c>
      <c r="DU57" s="59">
        <f t="shared" si="44"/>
        <v>130.57011290898546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2.6069406910374613</v>
      </c>
      <c r="EC57" s="21">
        <f>EXP(-LN(2)/2)*EC56+(1-EXP(-LN(2)/2))/(LN(2)/2)*DW57*DZ57*VLOOKUP('Données projet'!$B$14,Paramètres!$A$1:$I$89,3,0)*0.475*44/12</f>
        <v>0.43622913925933748</v>
      </c>
      <c r="ED57" s="22">
        <f t="shared" si="18"/>
        <v>3.0431698302967987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12.999000000000001</v>
      </c>
      <c r="EJ57" s="12">
        <f>IF('Données projet'!$A$192&gt;35,EJ56+EI57-ER56,IF(A57&lt;'Données projet'!$A$192,$EG$205^A57,IF(A57='Données projet'!$A$192,'Données projet'!$B$192,EJ56+EI57-ER56)))</f>
        <v>261.37699999999973</v>
      </c>
      <c r="EK57" s="17">
        <f>EJ57*VLOOKUP('Données projet'!$B$15,Paramètres!$A$1:$I$89,3,0)*VLOOKUP('Données projet'!$B$15,Paramètres!$A$1:$I$89,5,0)</f>
        <v>122.32443599999988</v>
      </c>
      <c r="EL57" s="13">
        <f t="shared" si="45"/>
        <v>32.216529002111294</v>
      </c>
      <c r="EM57" s="20">
        <f t="shared" si="19"/>
        <v>269.15884737867697</v>
      </c>
      <c r="EN57" s="59">
        <f t="shared" si="20"/>
        <v>526.86322004601629</v>
      </c>
      <c r="EO57" s="59">
        <f ca="1">AVERAGE(OFFSET($EN$3,0,0,'Données projet'!$E$15+1,1))-AVERAGE(OFFSET($H$3,0,0,'Données projet'!$E$15+1,1))</f>
        <v>374.38106339726073</v>
      </c>
      <c r="EP57" s="59">
        <f t="shared" si="46"/>
        <v>296.53283288925957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13.994220097093995</v>
      </c>
      <c r="EW57" s="21">
        <f>EXP(-LN(2)/25)*EW56+(1-EXP(-LN(2)/25))/(LN(2)/25)*Calculateur!ER57*Calculateur!ET57*VLOOKUP('Données projet'!$B$15,Paramètres!$A$1:$I$89,3,0)*0.475*44/12</f>
        <v>20.145406211537718</v>
      </c>
      <c r="EX57" s="21">
        <f>EXP(-LN(2)/2)*EX56+(1-EXP(-LN(2)/2))/(LN(2)/2)*ER57*EU57*VLOOKUP('Données projet'!$B$15,Paramètres!$A$1:$I$89,3,0)*0.475*44/12</f>
        <v>12.384952887628753</v>
      </c>
      <c r="EY57" s="22">
        <f t="shared" si="21"/>
        <v>46.524579196260461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9">
        <f t="shared" si="0"/>
        <v>696.30236424606346</v>
      </c>
      <c r="S58" s="59">
        <f ca="1">AVERAGE(OFFSET($R$3,0,0,'Données projet'!$E$9+1,1))-AVERAGE(OFFSET($H$3,0,0,'Données projet'!$E$9+1,1))</f>
        <v>681.47578137804555</v>
      </c>
      <c r="T58" s="59">
        <f t="shared" si="34"/>
        <v>300.88511065995885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187.46520000000001</v>
      </c>
      <c r="AK58" s="13">
        <f t="shared" si="35"/>
        <v>46.979107256618605</v>
      </c>
      <c r="AL58" s="20">
        <f t="shared" si="4"/>
        <v>408.32383513861078</v>
      </c>
      <c r="AM58" s="59">
        <f t="shared" si="5"/>
        <v>666.64629061908215</v>
      </c>
      <c r="AN58" s="59">
        <f ca="1">AVERAGE(OFFSET($AM$3,0,0,'Données projet'!$E$10+1,1))-AVERAGE(OFFSET($H$3,0,0,'Données projet'!$E$10+1,1))</f>
        <v>423.80243030843661</v>
      </c>
      <c r="AO58" s="59">
        <f t="shared" si="36"/>
        <v>260.29028006191834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0.1075</v>
      </c>
      <c r="AT58" s="16">
        <f>IF(ISNA(VLOOKUP(A58,'Données projet'!$A$61:$I$81,7,0)),0%,VLOOKUP(A58,'Données projet'!$A$61:$I$81,7,0))</f>
        <v>0.25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10.711594454326994</v>
      </c>
      <c r="AW58" s="21">
        <f>EXP(-LN(2)/2)*AW57+(1-EXP(-LN(2)/2))/(LN(2)/2)*AQ58*AT58*VLOOKUP('Données projet'!$B$10,Paramètres!$A$1:$I$89,3,0)*0.475*44/12</f>
        <v>5.7258672665271888</v>
      </c>
      <c r="AX58" s="21">
        <f t="shared" si="6"/>
        <v>16.437461720854181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14.113999999999999</v>
      </c>
      <c r="BD58" s="12">
        <f>IF('Données projet'!$A$88&gt;35,BD57+BC58-BL57,IF(A58&lt;'Données projet'!$A$88,$BA$205^A58,IF(A58='Données projet'!$A$88,'Données projet'!$B$88,BD57+BC58-BL57)))</f>
        <v>370.36999999999995</v>
      </c>
      <c r="BE58" s="13">
        <f>BD58*VLOOKUP('Données projet'!$B$11,Paramètres!$A$1:$I$89,3,0)*VLOOKUP('Données projet'!$B$11,Paramètres!$A$1:$I$89,5,0)</f>
        <v>221.48125999999999</v>
      </c>
      <c r="BF58" s="13">
        <f t="shared" si="37"/>
        <v>54.436704420571644</v>
      </c>
      <c r="BG58" s="20">
        <f t="shared" si="7"/>
        <v>480.55712136582889</v>
      </c>
      <c r="BH58" s="59">
        <f t="shared" si="8"/>
        <v>738.87957684630032</v>
      </c>
      <c r="BI58" s="59">
        <f ca="1">AVERAGE(OFFSET($BH$3,0,0,'Données projet'!$E$11+1,1))-AVERAGE(OFFSET($H$3,0,0,'Données projet'!$E$11+1,1))</f>
        <v>373.61861223558259</v>
      </c>
      <c r="BJ58" s="59">
        <f t="shared" si="38"/>
        <v>277.62293009761049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32.633495109618906</v>
      </c>
      <c r="BQ58" s="21">
        <f>EXP(-LN(2)/25)*BQ57+(1-EXP(-LN(2)/25))/(LN(2)/25)*Calculateur!BL58*Calculateur!BN58*VLOOKUP('Données projet'!$B$11,Paramètres!$A$1:$I$89,3,0)*0.475*44/12</f>
        <v>16.503378761961258</v>
      </c>
      <c r="BR58" s="21">
        <f>EXP(-LN(2)/2)*BR57+(1-EXP(-LN(2)/2))/(LN(2)/2)*BL58*BO58*VLOOKUP('Données projet'!$B$11,Paramètres!$A$1:$I$89,3,0)*0.475*44/12</f>
        <v>1.7641231021933654</v>
      </c>
      <c r="BS58" s="22">
        <f t="shared" si="9"/>
        <v>50.90099697377353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128.84615384615384</v>
      </c>
      <c r="BW58" s="12">
        <f>VLOOKUP(A58,'Données projet'!$A$113:$I$133,9,0)</f>
        <v>3.9743589743589753</v>
      </c>
      <c r="BX58" s="12">
        <f t="array" ref="BX58">INDEX(BW:BW,MIN(IF(ISNUMBER(BW58:BW254),ROW(BW58:BW254),"")))</f>
        <v>3.9743589743589753</v>
      </c>
      <c r="BY58" s="12">
        <f>IF('Données projet'!$A$114&gt;35,BY57+BX58-CG57,IF(A58&lt;'Données projet'!$A$114,$BV$205^A58,IF(A58='Données projet'!$A$114,'Données projet'!$B$114,BY57+BX58-CG57)))</f>
        <v>128.84615384615387</v>
      </c>
      <c r="BZ58" s="13">
        <f>BY58*VLOOKUP('Données projet'!$B$12,Paramètres!$A$1:$I$89,3,0)*VLOOKUP('Données projet'!$B$12,Paramètres!$A$1:$I$89,5,0)</f>
        <v>112.56000000000003</v>
      </c>
      <c r="CA58" s="13">
        <f t="shared" si="39"/>
        <v>29.933330570949426</v>
      </c>
      <c r="CB58" s="20">
        <f t="shared" si="10"/>
        <v>248.17588407773692</v>
      </c>
      <c r="CC58" s="59">
        <f t="shared" si="11"/>
        <v>506.49833955820827</v>
      </c>
      <c r="CD58" s="59">
        <f ca="1">AVERAGE(OFFSET($CC$3,0,0,'Données projet'!$E$12+1,1))-AVERAGE(OFFSET($H$3,0,0,'Données projet'!$E$12+1,1))</f>
        <v>251.30277097589737</v>
      </c>
      <c r="CE58" s="59">
        <f t="shared" si="40"/>
        <v>224.11983819941796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12.820512820512819</v>
      </c>
      <c r="CH58" s="16">
        <f>IF(ISNA(VLOOKUP(A58,'Données projet'!$A$113:$I$133,5,0)),0%,VLOOKUP(A58,'Données projet'!$A$113:$I$133,5,0)*VLOOKUP('Données projet'!$B$12,Paramètres!$A$1:$I$89,7,0))</f>
        <v>4.3000000000000003E-2</v>
      </c>
      <c r="CI58" s="16">
        <f>IF(ISNA(VLOOKUP(A58,'Données projet'!$A$113:$I$133,6,0)),0%,VLOOKUP(A58,'Données projet'!$A$113:$I$133,6,0)*VLOOKUP('Données projet'!$B$12,Paramètres!$A$1:$I$89,7,0))</f>
        <v>0.215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0.53239453478306875</v>
      </c>
      <c r="CL58" s="21">
        <f>EXP(-LN(2)/25)*CL57+(1-EXP(-LN(2)/25))/(LN(2)/25)*Calculateur!CG58*Calculateur!CI58*VLOOKUP('Données projet'!$B$12,Paramètres!$A$1:$I$89,3,0)*0.475*44/12</f>
        <v>16.102586145162796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16.634980679945865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185</v>
      </c>
      <c r="CR58" s="12">
        <f>VLOOKUP(A58,'Données projet'!$A$139:$I$159,9,0)</f>
        <v>4.8</v>
      </c>
      <c r="CS58" s="12">
        <f t="array" ref="CS58">INDEX(CR:CR,MIN(IF(ISNUMBER(CR58:CR254),ROW(CR58:CR254),"")))</f>
        <v>4.8</v>
      </c>
      <c r="CT58" s="12">
        <f>IF('Données projet'!$A$140&gt;35,CT57+CS58-DB57,IF(A58&lt;'Données projet'!$A$140,$CQ$205^A58,IF(A58='Données projet'!$A$140,'Données projet'!$B$140,CT57+CS58-DB57)))</f>
        <v>185</v>
      </c>
      <c r="CU58" s="17">
        <f>CT58*VLOOKUP('Données projet'!$B$13,Paramètres!$A$1:$I$89,3,0)*VLOOKUP('Données projet'!$B$13,Paramètres!$A$1:$I$89,5,0)</f>
        <v>161.61600000000001</v>
      </c>
      <c r="CV58" s="13">
        <f t="shared" si="41"/>
        <v>41.20679526204917</v>
      </c>
      <c r="CW58" s="20">
        <f t="shared" si="13"/>
        <v>353.24970174806896</v>
      </c>
      <c r="CX58" s="59">
        <f t="shared" si="14"/>
        <v>611.57215722854039</v>
      </c>
      <c r="CY58" s="59">
        <f ca="1">AVERAGE(OFFSET($CX$3,0,0,'Données projet'!$E$13+1,1))-AVERAGE(OFFSET($H$3,0,0,'Données projet'!$E$13+1,1))</f>
        <v>287.28439432670405</v>
      </c>
      <c r="CZ58" s="59">
        <f t="shared" si="42"/>
        <v>276.01618888357268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11</v>
      </c>
      <c r="DC58" s="16">
        <f>IF(ISNA(VLOOKUP(A58,'Données projet'!$A$139:$I$159,5,0)),0%,VLOOKUP(A58,'Données projet'!$A$139:$I$159,5,0)*VLOOKUP('Données projet'!$B$13,Paramètres!$A$1:$I$89,7,0))</f>
        <v>0.13250000000000001</v>
      </c>
      <c r="DD58" s="16">
        <f>IF(ISNA(VLOOKUP(A58,'Données projet'!$A$139:$I$159,6,0)),0%,VLOOKUP(A58,'Données projet'!$A$139:$I$159,6,0)*VLOOKUP('Données projet'!$B$13,Paramètres!$A$1:$I$89,7,0))</f>
        <v>0.13250000000000001</v>
      </c>
      <c r="DE58" s="16">
        <f>IF(ISNA(VLOOKUP(A58,'Données projet'!$A$139:$I$159,7,0)),0%,VLOOKUP(A58,'Données projet'!$A$139:$I$159,7,0))</f>
        <v>0.25</v>
      </c>
      <c r="DF58" s="21">
        <f>EXP(-LN(2)/35)*DF57+(1-EXP(-LN(2)/35))/(LN(2)/35)*DB58*DC58*VLOOKUP('Données projet'!$B$13,Paramètres!$A$1:$I$89,3,0)*0.475*44/12</f>
        <v>2.914222478678834</v>
      </c>
      <c r="DG58" s="21">
        <f>EXP(-LN(2)/25)*DG57+(1-EXP(-LN(2)/25))/(LN(2)/25)*Calculateur!DB58*Calculateur!DD58*VLOOKUP('Données projet'!$B$13,Paramètres!$A$1:$I$89,3,0)*0.475*44/12</f>
        <v>11.403930744864905</v>
      </c>
      <c r="DH58" s="21">
        <f>EXP(-LN(2)/2)*DH57+(1-EXP(-LN(2)/2))/(LN(2)/2)*DB58*DE58*VLOOKUP('Données projet'!$B$13,Paramètres!$A$1:$I$89,3,0)*0.475*44/12</f>
        <v>2.8852357614105131</v>
      </c>
      <c r="DI58" s="22">
        <f t="shared" si="15"/>
        <v>17.203388984954252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67.948717948717942</v>
      </c>
      <c r="DM58" s="12">
        <f>VLOOKUP(A58,'Données projet'!$A$165:$I$185,9,0)</f>
        <v>2.5641025641025634</v>
      </c>
      <c r="DN58" s="12">
        <f t="array" ref="DN58">INDEX(DM:DM,MIN(IF(ISNUMBER(DM58:DM254),ROW(DM58:DM254),"")))</f>
        <v>2.5641025641025634</v>
      </c>
      <c r="DO58" s="12">
        <f>IF('Données projet'!$A$166&gt;35,DO57+DN58-DW57,IF(A58&lt;'Données projet'!$A$166,$DL$205^A58,IF(A58='Données projet'!$A$166,'Données projet'!$B$166,DO57+DN58-DW57)))</f>
        <v>67.948717948717942</v>
      </c>
      <c r="DP58" s="17">
        <f>DO58*VLOOKUP('Données projet'!$B$14,Paramètres!$A$1:$I$89,3,0)*VLOOKUP('Données projet'!$B$14,Paramètres!$A$1:$I$89,5,0)</f>
        <v>65.72</v>
      </c>
      <c r="DQ58" s="13">
        <f t="shared" si="43"/>
        <v>18.606711516306749</v>
      </c>
      <c r="DR58" s="20">
        <f t="shared" si="16"/>
        <v>146.86902255756758</v>
      </c>
      <c r="DS58" s="59">
        <f t="shared" si="17"/>
        <v>405.19147803803895</v>
      </c>
      <c r="DT58" s="59">
        <f ca="1">AVERAGE(OFFSET($DS$3,0,0,'Données projet'!$E$14+1,1))-AVERAGE(OFFSET($H$3,0,0,'Données projet'!$E$14+1,1))</f>
        <v>206.5245935130306</v>
      </c>
      <c r="DU58" s="59">
        <f t="shared" si="44"/>
        <v>130.57011290898546</v>
      </c>
      <c r="DV58" s="15">
        <f>IF(ISNA(VLOOKUP(A58,'Données projet'!$A$165:$I$185,3,0)),0,VLOOKUP(A58,'Données projet'!$A$165:$I$185,3,0))</f>
        <v>7</v>
      </c>
      <c r="DW58" s="15">
        <f>IF(ISNA(VLOOKUP(A58,'Données projet'!$A$165:$I$185,4,0)),0,VLOOKUP(A58,'Données projet'!$A$165:$I$185,4,0))</f>
        <v>6.4102564102564097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0.1075</v>
      </c>
      <c r="DZ58" s="16">
        <f>IF(ISNA(VLOOKUP(A58,'Données projet'!$A$165:$I$185,7,0)),0%,VLOOKUP(A58,'Données projet'!$A$165:$I$185,7,0))</f>
        <v>0.25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3.2695487220820785</v>
      </c>
      <c r="EC58" s="21">
        <f>EXP(-LN(2)/2)*EC57+(1-EXP(-LN(2)/2))/(LN(2)/2)*DW58*DZ58*VLOOKUP('Données projet'!$B$14,Paramètres!$A$1:$I$89,3,0)*0.475*44/12</f>
        <v>1.7709273001597998</v>
      </c>
      <c r="ED58" s="22">
        <f t="shared" si="18"/>
        <v>5.0404760222418785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12.999000000000001</v>
      </c>
      <c r="EJ58" s="12">
        <f>IF('Données projet'!$A$192&gt;35,EJ57+EI58-ER57,IF(A58&lt;'Données projet'!$A$192,$EG$205^A58,IF(A58='Données projet'!$A$192,'Données projet'!$B$192,EJ57+EI58-ER57)))</f>
        <v>274.37599999999975</v>
      </c>
      <c r="EK58" s="17">
        <f>EJ58*VLOOKUP('Données projet'!$B$15,Paramètres!$A$1:$I$89,3,0)*VLOOKUP('Données projet'!$B$15,Paramètres!$A$1:$I$89,5,0)</f>
        <v>128.4079679999999</v>
      </c>
      <c r="EL58" s="13">
        <f t="shared" si="45"/>
        <v>33.628224080487712</v>
      </c>
      <c r="EM58" s="20">
        <f t="shared" si="19"/>
        <v>282.21303454018255</v>
      </c>
      <c r="EN58" s="59">
        <f t="shared" si="20"/>
        <v>540.53549002065392</v>
      </c>
      <c r="EO58" s="59">
        <f ca="1">AVERAGE(OFFSET($EN$3,0,0,'Données projet'!$E$15+1,1))-AVERAGE(OFFSET($H$3,0,0,'Données projet'!$E$15+1,1))</f>
        <v>374.38106339726073</v>
      </c>
      <c r="EP58" s="59">
        <f t="shared" si="46"/>
        <v>296.53283288925957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13.719801976621417</v>
      </c>
      <c r="EW58" s="21">
        <f>EXP(-LN(2)/25)*EW57+(1-EXP(-LN(2)/25))/(LN(2)/25)*Calculateur!ER58*Calculateur!ET58*VLOOKUP('Données projet'!$B$15,Paramètres!$A$1:$I$89,3,0)*0.475*44/12</f>
        <v>19.594529019282351</v>
      </c>
      <c r="EX58" s="21">
        <f>EXP(-LN(2)/2)*EX57+(1-EXP(-LN(2)/2))/(LN(2)/2)*ER58*EU58*VLOOKUP('Données projet'!$B$15,Paramètres!$A$1:$I$89,3,0)*0.475*44/12</f>
        <v>8.7574841715182057</v>
      </c>
      <c r="EY58" s="22">
        <f t="shared" si="21"/>
        <v>42.071815167421974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9">
        <f t="shared" si="0"/>
        <v>716.81828324162632</v>
      </c>
      <c r="S59" s="59">
        <f ca="1">AVERAGE(OFFSET($R$3,0,0,'Données projet'!$E$9+1,1))-AVERAGE(OFFSET($H$3,0,0,'Données projet'!$E$9+1,1))</f>
        <v>681.47578137804555</v>
      </c>
      <c r="T59" s="59">
        <f t="shared" si="34"/>
        <v>300.88511065995885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174.71376000000001</v>
      </c>
      <c r="AK59" s="13">
        <f t="shared" si="35"/>
        <v>44.144062647515817</v>
      </c>
      <c r="AL59" s="20">
        <f t="shared" si="4"/>
        <v>381.17737444442338</v>
      </c>
      <c r="AM59" s="59">
        <f t="shared" si="5"/>
        <v>640.10719038304512</v>
      </c>
      <c r="AN59" s="59">
        <f ca="1">AVERAGE(OFFSET($AM$3,0,0,'Données projet'!$E$10+1,1))-AVERAGE(OFFSET($H$3,0,0,'Données projet'!$E$10+1,1))</f>
        <v>423.80243030843661</v>
      </c>
      <c r="AO59" s="59">
        <f t="shared" si="36"/>
        <v>260.29028006191834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10.418685340675152</v>
      </c>
      <c r="AW59" s="21">
        <f>EXP(-LN(2)/2)*AW58+(1-EXP(-LN(2)/2))/(LN(2)/2)*AQ59*AT59*VLOOKUP('Données projet'!$B$10,Paramètres!$A$1:$I$89,3,0)*0.475*44/12</f>
        <v>4.0487995723354562</v>
      </c>
      <c r="AX59" s="21">
        <f t="shared" si="6"/>
        <v>14.467484913010608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14.113999999999999</v>
      </c>
      <c r="BD59" s="12">
        <f>IF('Données projet'!$A$88&gt;35,BD58+BC59-BL58,IF(A59&lt;'Données projet'!$A$88,$BA$205^A59,IF(A59='Données projet'!$A$88,'Données projet'!$B$88,BD58+BC59-BL58)))</f>
        <v>384.48399999999992</v>
      </c>
      <c r="BE59" s="13">
        <f>BD59*VLOOKUP('Données projet'!$B$11,Paramètres!$A$1:$I$89,3,0)*VLOOKUP('Données projet'!$B$11,Paramètres!$A$1:$I$89,5,0)</f>
        <v>229.92143199999998</v>
      </c>
      <c r="BF59" s="13">
        <f t="shared" si="37"/>
        <v>56.265692954832708</v>
      </c>
      <c r="BG59" s="20">
        <f t="shared" si="7"/>
        <v>498.44257596300025</v>
      </c>
      <c r="BH59" s="59">
        <f t="shared" si="8"/>
        <v>757.372391901622</v>
      </c>
      <c r="BI59" s="59">
        <f ca="1">AVERAGE(OFFSET($BH$3,0,0,'Données projet'!$E$11+1,1))-AVERAGE(OFFSET($H$3,0,0,'Données projet'!$E$11+1,1))</f>
        <v>373.61861223558259</v>
      </c>
      <c r="BJ59" s="59">
        <f t="shared" si="38"/>
        <v>277.62293009761049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31.993572174985893</v>
      </c>
      <c r="BQ59" s="21">
        <f>EXP(-LN(2)/25)*BQ58+(1-EXP(-LN(2)/25))/(LN(2)/25)*Calculateur!BL59*Calculateur!BN59*VLOOKUP('Données projet'!$B$11,Paramètres!$A$1:$I$89,3,0)*0.475*44/12</f>
        <v>16.052093001840458</v>
      </c>
      <c r="BR59" s="21">
        <f>EXP(-LN(2)/2)*BR58+(1-EXP(-LN(2)/2))/(LN(2)/2)*BL59*BO59*VLOOKUP('Données projet'!$B$11,Paramètres!$A$1:$I$89,3,0)*0.475*44/12</f>
        <v>1.2474234084087776</v>
      </c>
      <c r="BS59" s="22">
        <f t="shared" si="9"/>
        <v>49.293088585235125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3.3333333333333313</v>
      </c>
      <c r="BY59" s="12">
        <f>IF('Données projet'!$A$114&gt;35,BY58+BX59-CG58,IF(A59&lt;'Données projet'!$A$114,$BV$205^A59,IF(A59='Données projet'!$A$114,'Données projet'!$B$114,BY58+BX59-CG58)))</f>
        <v>119.35897435897439</v>
      </c>
      <c r="BZ59" s="13">
        <f>BY59*VLOOKUP('Données projet'!$B$12,Paramètres!$A$1:$I$89,3,0)*VLOOKUP('Données projet'!$B$12,Paramètres!$A$1:$I$89,5,0)</f>
        <v>104.27200000000005</v>
      </c>
      <c r="CA59" s="13">
        <f t="shared" si="39"/>
        <v>27.977251556977897</v>
      </c>
      <c r="CB59" s="20">
        <f t="shared" si="10"/>
        <v>230.33411312840326</v>
      </c>
      <c r="CC59" s="59">
        <f t="shared" si="11"/>
        <v>489.263929067025</v>
      </c>
      <c r="CD59" s="59">
        <f ca="1">AVERAGE(OFFSET($CC$3,0,0,'Données projet'!$E$12+1,1))-AVERAGE(OFFSET($H$3,0,0,'Données projet'!$E$12+1,1))</f>
        <v>251.30277097589737</v>
      </c>
      <c r="CE59" s="59">
        <f t="shared" si="40"/>
        <v>224.11983819941796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0.52195460268457472</v>
      </c>
      <c r="CL59" s="21">
        <f>EXP(-LN(2)/25)*CL58+(1-EXP(-LN(2)/25))/(LN(2)/25)*Calculateur!CG59*Calculateur!CI59*VLOOKUP('Données projet'!$B$12,Paramètres!$A$1:$I$89,3,0)*0.475*44/12</f>
        <v>15.662260080225117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16.18421468290969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</v>
      </c>
      <c r="CT59" s="12">
        <f>IF('Données projet'!$A$140&gt;35,CT58+CS59-DB58,IF(A59&lt;'Données projet'!$A$140,$CQ$205^A59,IF(A59='Données projet'!$A$140,'Données projet'!$B$140,CT58+CS59-DB58)))</f>
        <v>178</v>
      </c>
      <c r="CU59" s="17">
        <f>CT59*VLOOKUP('Données projet'!$B$13,Paramètres!$A$1:$I$89,3,0)*VLOOKUP('Données projet'!$B$13,Paramètres!$A$1:$I$89,5,0)</f>
        <v>155.50080000000003</v>
      </c>
      <c r="CV59" s="13">
        <f t="shared" si="41"/>
        <v>39.826029828200333</v>
      </c>
      <c r="CW59" s="20">
        <f t="shared" si="13"/>
        <v>340.19422861744891</v>
      </c>
      <c r="CX59" s="59">
        <f t="shared" si="14"/>
        <v>599.12404455607066</v>
      </c>
      <c r="CY59" s="59">
        <f ca="1">AVERAGE(OFFSET($CX$3,0,0,'Données projet'!$E$13+1,1))-AVERAGE(OFFSET($H$3,0,0,'Données projet'!$E$13+1,1))</f>
        <v>287.28439432670405</v>
      </c>
      <c r="CZ59" s="59">
        <f t="shared" si="42"/>
        <v>276.01618888357268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2.8570763533721406</v>
      </c>
      <c r="DG59" s="21">
        <f>EXP(-LN(2)/25)*DG58+(1-EXP(-LN(2)/25))/(LN(2)/25)*Calculateur!DB59*Calculateur!DD59*VLOOKUP('Données projet'!$B$13,Paramètres!$A$1:$I$89,3,0)*0.475*44/12</f>
        <v>11.092089658939921</v>
      </c>
      <c r="DH59" s="21">
        <f>EXP(-LN(2)/2)*DH58+(1-EXP(-LN(2)/2))/(LN(2)/2)*DB59*DE59*VLOOKUP('Données projet'!$B$13,Paramètres!$A$1:$I$89,3,0)*0.475*44/12</f>
        <v>2.0401697722153056</v>
      </c>
      <c r="DI59" s="22">
        <f t="shared" si="15"/>
        <v>15.989335784527368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2.4358974358974366</v>
      </c>
      <c r="DO59" s="12">
        <f>IF('Données projet'!$A$166&gt;35,DO58+DN59-DW58,IF(A59&lt;'Données projet'!$A$166,$DL$205^A59,IF(A59='Données projet'!$A$166,'Données projet'!$B$166,DO58+DN59-DW58)))</f>
        <v>63.974358974358964</v>
      </c>
      <c r="DP59" s="17">
        <f>DO59*VLOOKUP('Données projet'!$B$14,Paramètres!$A$1:$I$89,3,0)*VLOOKUP('Données projet'!$B$14,Paramètres!$A$1:$I$89,5,0)</f>
        <v>61.875999999999991</v>
      </c>
      <c r="DQ59" s="13">
        <f t="shared" si="43"/>
        <v>17.641727437253664</v>
      </c>
      <c r="DR59" s="20">
        <f t="shared" si="16"/>
        <v>138.4933752865501</v>
      </c>
      <c r="DS59" s="59">
        <f t="shared" si="17"/>
        <v>397.42319122517188</v>
      </c>
      <c r="DT59" s="59">
        <f ca="1">AVERAGE(OFFSET($DS$3,0,0,'Données projet'!$E$14+1,1))-AVERAGE(OFFSET($H$3,0,0,'Données projet'!$E$14+1,1))</f>
        <v>206.5245935130306</v>
      </c>
      <c r="DU59" s="59">
        <f t="shared" si="44"/>
        <v>130.57011290898546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3.1801427403386495</v>
      </c>
      <c r="EC59" s="21">
        <f>EXP(-LN(2)/2)*EC58+(1-EXP(-LN(2)/2))/(LN(2)/2)*DW59*DZ59*VLOOKUP('Données projet'!$B$14,Paramètres!$A$1:$I$89,3,0)*0.475*44/12</f>
        <v>1.252234702931379</v>
      </c>
      <c r="ED59" s="22">
        <f t="shared" si="18"/>
        <v>4.4323774432700285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12.999000000000001</v>
      </c>
      <c r="EJ59" s="12">
        <f>IF('Données projet'!$A$192&gt;35,EJ58+EI59-ER58,IF(A59&lt;'Données projet'!$A$192,$EG$205^A59,IF(A59='Données projet'!$A$192,'Données projet'!$B$192,EJ58+EI59-ER58)))</f>
        <v>287.37499999999977</v>
      </c>
      <c r="EK59" s="17">
        <f>EJ59*VLOOKUP('Données projet'!$B$15,Paramètres!$A$1:$I$89,3,0)*VLOOKUP('Données projet'!$B$15,Paramètres!$A$1:$I$89,5,0)</f>
        <v>134.49149999999989</v>
      </c>
      <c r="EL59" s="13">
        <f t="shared" si="45"/>
        <v>35.032152533778529</v>
      </c>
      <c r="EM59" s="20">
        <f t="shared" si="19"/>
        <v>295.25369482966408</v>
      </c>
      <c r="EN59" s="59">
        <f t="shared" si="20"/>
        <v>554.18351076828583</v>
      </c>
      <c r="EO59" s="59">
        <f ca="1">AVERAGE(OFFSET($EN$3,0,0,'Données projet'!$E$15+1,1))-AVERAGE(OFFSET($H$3,0,0,'Données projet'!$E$15+1,1))</f>
        <v>374.38106339726073</v>
      </c>
      <c r="EP59" s="59">
        <f t="shared" si="46"/>
        <v>296.53283288925957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13.45076502811278</v>
      </c>
      <c r="EW59" s="21">
        <f>EXP(-LN(2)/25)*EW58+(1-EXP(-LN(2)/25))/(LN(2)/25)*Calculateur!ER59*Calculateur!ET59*VLOOKUP('Données projet'!$B$15,Paramètres!$A$1:$I$89,3,0)*0.475*44/12</f>
        <v>19.058715592818579</v>
      </c>
      <c r="EX59" s="21">
        <f>EXP(-LN(2)/2)*EX58+(1-EXP(-LN(2)/2))/(LN(2)/2)*ER59*EU59*VLOOKUP('Données projet'!$B$15,Paramètres!$A$1:$I$89,3,0)*0.475*44/12</f>
        <v>6.1924764438143773</v>
      </c>
      <c r="EY59" s="22">
        <f t="shared" si="21"/>
        <v>38.701957064745734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9">
        <f t="shared" si="0"/>
        <v>737.30518682902357</v>
      </c>
      <c r="S60" s="59">
        <f ca="1">AVERAGE(OFFSET($R$3,0,0,'Données projet'!$E$9+1,1))-AVERAGE(OFFSET($H$3,0,0,'Données projet'!$E$9+1,1))</f>
        <v>681.47578137804555</v>
      </c>
      <c r="T60" s="59">
        <f t="shared" si="34"/>
        <v>300.88511065995885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181.94592</v>
      </c>
      <c r="AK60" s="13">
        <f t="shared" si="35"/>
        <v>45.754846212632849</v>
      </c>
      <c r="AL60" s="20">
        <f t="shared" si="4"/>
        <v>396.57883448700221</v>
      </c>
      <c r="AM60" s="59">
        <f t="shared" si="5"/>
        <v>656.10547453767992</v>
      </c>
      <c r="AN60" s="59">
        <f ca="1">AVERAGE(OFFSET($AM$3,0,0,'Données projet'!$E$10+1,1))-AVERAGE(OFFSET($H$3,0,0,'Données projet'!$E$10+1,1))</f>
        <v>423.80243030843661</v>
      </c>
      <c r="AO60" s="59">
        <f t="shared" si="36"/>
        <v>260.29028006191834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10.13378584213954</v>
      </c>
      <c r="AW60" s="21">
        <f>EXP(-LN(2)/2)*AW59+(1-EXP(-LN(2)/2))/(LN(2)/2)*AQ60*AT60*VLOOKUP('Données projet'!$B$10,Paramètres!$A$1:$I$89,3,0)*0.475*44/12</f>
        <v>2.8629336332635948</v>
      </c>
      <c r="AX60" s="21">
        <f t="shared" si="6"/>
        <v>12.996719475403134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14.113999999999999</v>
      </c>
      <c r="BD60" s="12">
        <f>IF('Données projet'!$A$88&gt;35,BD59+BC60-BL59,IF(A60&lt;'Données projet'!$A$88,$BA$205^A60,IF(A60='Données projet'!$A$88,'Données projet'!$B$88,BD59+BC60-BL59)))</f>
        <v>398.5979999999999</v>
      </c>
      <c r="BE60" s="13">
        <f>BD60*VLOOKUP('Données projet'!$B$11,Paramètres!$A$1:$I$89,3,0)*VLOOKUP('Données projet'!$B$11,Paramètres!$A$1:$I$89,5,0)</f>
        <v>238.36160399999994</v>
      </c>
      <c r="BF60" s="13">
        <f t="shared" si="37"/>
        <v>58.086881188787437</v>
      </c>
      <c r="BG60" s="20">
        <f t="shared" si="7"/>
        <v>516.31444503713794</v>
      </c>
      <c r="BH60" s="59">
        <f t="shared" si="8"/>
        <v>775.8410850878156</v>
      </c>
      <c r="BI60" s="59">
        <f ca="1">AVERAGE(OFFSET($BH$3,0,0,'Données projet'!$E$11+1,1))-AVERAGE(OFFSET($H$3,0,0,'Données projet'!$E$11+1,1))</f>
        <v>373.61861223558259</v>
      </c>
      <c r="BJ60" s="59">
        <f t="shared" si="38"/>
        <v>277.62293009761049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31.366197738786585</v>
      </c>
      <c r="BQ60" s="21">
        <f>EXP(-LN(2)/25)*BQ59+(1-EXP(-LN(2)/25))/(LN(2)/25)*Calculateur!BL60*Calculateur!BN60*VLOOKUP('Données projet'!$B$11,Paramètres!$A$1:$I$89,3,0)*0.475*44/12</f>
        <v>15.613147674562248</v>
      </c>
      <c r="BR60" s="21">
        <f>EXP(-LN(2)/2)*BR59+(1-EXP(-LN(2)/2))/(LN(2)/2)*BL60*BO60*VLOOKUP('Données projet'!$B$11,Paramètres!$A$1:$I$89,3,0)*0.475*44/12</f>
        <v>0.88206155109668294</v>
      </c>
      <c r="BS60" s="22">
        <f t="shared" si="9"/>
        <v>47.861406964445514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3.3333333333333313</v>
      </c>
      <c r="BY60" s="12">
        <f>IF('Données projet'!$A$114&gt;35,BY59+BX60-CG59,IF(A60&lt;'Données projet'!$A$114,$BV$205^A60,IF(A60='Données projet'!$A$114,'Données projet'!$B$114,BY59+BX60-CG59)))</f>
        <v>122.69230769230772</v>
      </c>
      <c r="BZ60" s="13">
        <f>BY60*VLOOKUP('Données projet'!$B$12,Paramètres!$A$1:$I$89,3,0)*VLOOKUP('Données projet'!$B$12,Paramètres!$A$1:$I$89,5,0)</f>
        <v>107.18400000000003</v>
      </c>
      <c r="CA60" s="13">
        <f t="shared" si="39"/>
        <v>28.666514942146158</v>
      </c>
      <c r="CB60" s="20">
        <f t="shared" si="10"/>
        <v>236.60631352423798</v>
      </c>
      <c r="CC60" s="59">
        <f t="shared" si="11"/>
        <v>496.13295357491569</v>
      </c>
      <c r="CD60" s="59">
        <f ca="1">AVERAGE(OFFSET($CC$3,0,0,'Données projet'!$E$12+1,1))-AVERAGE(OFFSET($H$3,0,0,'Données projet'!$E$12+1,1))</f>
        <v>251.30277097589737</v>
      </c>
      <c r="CE60" s="59">
        <f t="shared" si="40"/>
        <v>224.11983819941796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0.51171939128680233</v>
      </c>
      <c r="CL60" s="21">
        <f>EXP(-LN(2)/25)*CL59+(1-EXP(-LN(2)/25))/(LN(2)/25)*Calculateur!CG60*Calculateur!CI60*VLOOKUP('Données projet'!$B$12,Paramètres!$A$1:$I$89,3,0)*0.475*44/12</f>
        <v>15.2339747546889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15.745694145975701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</v>
      </c>
      <c r="CT60" s="12">
        <f>IF('Données projet'!$A$140&gt;35,CT59+CS60-DB59,IF(A60&lt;'Données projet'!$A$140,$CQ$205^A60,IF(A60='Données projet'!$A$140,'Données projet'!$B$140,CT59+CS60-DB59)))</f>
        <v>182</v>
      </c>
      <c r="CU60" s="17">
        <f>CT60*VLOOKUP('Données projet'!$B$13,Paramètres!$A$1:$I$89,3,0)*VLOOKUP('Données projet'!$B$13,Paramètres!$A$1:$I$89,5,0)</f>
        <v>158.99520000000004</v>
      </c>
      <c r="CV60" s="13">
        <f t="shared" si="41"/>
        <v>40.615796933386044</v>
      </c>
      <c r="CW60" s="20">
        <f t="shared" si="13"/>
        <v>347.65581965898076</v>
      </c>
      <c r="CX60" s="59">
        <f t="shared" si="14"/>
        <v>607.18245970965847</v>
      </c>
      <c r="CY60" s="59">
        <f ca="1">AVERAGE(OFFSET($CX$3,0,0,'Données projet'!$E$13+1,1))-AVERAGE(OFFSET($H$3,0,0,'Données projet'!$E$13+1,1))</f>
        <v>287.28439432670405</v>
      </c>
      <c r="CZ60" s="59">
        <f t="shared" si="42"/>
        <v>276.01618888357268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2.8010508287270168</v>
      </c>
      <c r="DG60" s="21">
        <f>EXP(-LN(2)/25)*DG59+(1-EXP(-LN(2)/25))/(LN(2)/25)*Calculateur!DB60*Calculateur!DD60*VLOOKUP('Données projet'!$B$13,Paramètres!$A$1:$I$89,3,0)*0.475*44/12</f>
        <v>10.788775883908565</v>
      </c>
      <c r="DH60" s="21">
        <f>EXP(-LN(2)/2)*DH59+(1-EXP(-LN(2)/2))/(LN(2)/2)*DB60*DE60*VLOOKUP('Données projet'!$B$13,Paramètres!$A$1:$I$89,3,0)*0.475*44/12</f>
        <v>1.4426178807052568</v>
      </c>
      <c r="DI60" s="22">
        <f t="shared" si="15"/>
        <v>15.032444593340838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2.4358974358974366</v>
      </c>
      <c r="DO60" s="12">
        <f>IF('Données projet'!$A$166&gt;35,DO59+DN60-DW59,IF(A60&lt;'Données projet'!$A$166,$DL$205^A60,IF(A60='Données projet'!$A$166,'Données projet'!$B$166,DO59+DN60-DW59)))</f>
        <v>66.410256410256395</v>
      </c>
      <c r="DP60" s="17">
        <f>DO60*VLOOKUP('Données projet'!$B$14,Paramètres!$A$1:$I$89,3,0)*VLOOKUP('Données projet'!$B$14,Paramètres!$A$1:$I$89,5,0)</f>
        <v>64.231999999999985</v>
      </c>
      <c r="DQ60" s="13">
        <f t="shared" si="43"/>
        <v>18.233970237719333</v>
      </c>
      <c r="DR60" s="20">
        <f t="shared" si="16"/>
        <v>143.62823149736116</v>
      </c>
      <c r="DS60" s="59">
        <f t="shared" si="17"/>
        <v>403.15487154803884</v>
      </c>
      <c r="DT60" s="59">
        <f ca="1">AVERAGE(OFFSET($DS$3,0,0,'Données projet'!$E$14+1,1))-AVERAGE(OFFSET($H$3,0,0,'Données projet'!$E$14+1,1))</f>
        <v>206.5245935130306</v>
      </c>
      <c r="DU60" s="59">
        <f t="shared" si="44"/>
        <v>130.57011290898546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3.0931815698676508</v>
      </c>
      <c r="EC60" s="21">
        <f>EXP(-LN(2)/2)*EC59+(1-EXP(-LN(2)/2))/(LN(2)/2)*DW60*DZ60*VLOOKUP('Données projet'!$B$14,Paramètres!$A$1:$I$89,3,0)*0.475*44/12</f>
        <v>0.88546365007990002</v>
      </c>
      <c r="ED60" s="22">
        <f t="shared" si="18"/>
        <v>3.978645219947551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12.999000000000001</v>
      </c>
      <c r="EJ60" s="12">
        <f>IF('Données projet'!$A$192&gt;35,EJ59+EI60-ER59,IF(A60&lt;'Données projet'!$A$192,$EG$205^A60,IF(A60='Données projet'!$A$192,'Données projet'!$B$192,EJ59+EI60-ER59)))</f>
        <v>300.3739999999998</v>
      </c>
      <c r="EK60" s="17">
        <f>EJ60*VLOOKUP('Données projet'!$B$15,Paramètres!$A$1:$I$89,3,0)*VLOOKUP('Données projet'!$B$15,Paramètres!$A$1:$I$89,5,0)</f>
        <v>140.57503199999991</v>
      </c>
      <c r="EL60" s="13">
        <f t="shared" si="45"/>
        <v>36.42870580902472</v>
      </c>
      <c r="EM60" s="20">
        <f t="shared" si="19"/>
        <v>308.28151001738462</v>
      </c>
      <c r="EN60" s="59">
        <f t="shared" si="20"/>
        <v>567.80815006806233</v>
      </c>
      <c r="EO60" s="59">
        <f ca="1">AVERAGE(OFFSET($EN$3,0,0,'Données projet'!$E$15+1,1))-AVERAGE(OFFSET($H$3,0,0,'Données projet'!$E$15+1,1))</f>
        <v>374.38106339726073</v>
      </c>
      <c r="EP60" s="59">
        <f t="shared" si="46"/>
        <v>296.53283288925957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13.187003730068062</v>
      </c>
      <c r="EW60" s="21">
        <f>EXP(-LN(2)/25)*EW59+(1-EXP(-LN(2)/25))/(LN(2)/25)*Calculateur!ER60*Calculateur!ET60*VLOOKUP('Données projet'!$B$15,Paramètres!$A$1:$I$89,3,0)*0.475*44/12</f>
        <v>18.537554012678662</v>
      </c>
      <c r="EX60" s="21">
        <f>EXP(-LN(2)/2)*EX59+(1-EXP(-LN(2)/2))/(LN(2)/2)*ER60*EU60*VLOOKUP('Données projet'!$B$15,Paramètres!$A$1:$I$89,3,0)*0.475*44/12</f>
        <v>4.3787420857591028</v>
      </c>
      <c r="EY60" s="22">
        <f t="shared" si="21"/>
        <v>36.103299828505826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9">
        <f t="shared" si="0"/>
        <v>757.76413479475536</v>
      </c>
      <c r="S61" s="59">
        <f ca="1">AVERAGE(OFFSET($R$3,0,0,'Données projet'!$E$9+1,1))-AVERAGE(OFFSET($H$3,0,0,'Données projet'!$E$9+1,1))</f>
        <v>681.47578137804555</v>
      </c>
      <c r="T61" s="59">
        <f t="shared" si="34"/>
        <v>300.88511065995885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189.17807999999999</v>
      </c>
      <c r="AK61" s="13">
        <f t="shared" si="35"/>
        <v>47.358192185392497</v>
      </c>
      <c r="AL61" s="20">
        <f t="shared" si="4"/>
        <v>411.96734072289183</v>
      </c>
      <c r="AM61" s="59">
        <f t="shared" si="5"/>
        <v>672.08045132158031</v>
      </c>
      <c r="AN61" s="59">
        <f ca="1">AVERAGE(OFFSET($AM$3,0,0,'Données projet'!$E$10+1,1))-AVERAGE(OFFSET($H$3,0,0,'Données projet'!$E$10+1,1))</f>
        <v>423.80243030843661</v>
      </c>
      <c r="AO61" s="59">
        <f t="shared" si="36"/>
        <v>260.29028006191834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9.8566769353735975</v>
      </c>
      <c r="AW61" s="21">
        <f>EXP(-LN(2)/2)*AW60+(1-EXP(-LN(2)/2))/(LN(2)/2)*AQ61*AT61*VLOOKUP('Données projet'!$B$10,Paramètres!$A$1:$I$89,3,0)*0.475*44/12</f>
        <v>2.0243997861677285</v>
      </c>
      <c r="AX61" s="21">
        <f t="shared" si="6"/>
        <v>11.881076721541326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14.113999999999999</v>
      </c>
      <c r="BD61" s="12">
        <f>IF('Données projet'!$A$88&gt;35,BD60+BC61-BL60,IF(A61&lt;'Données projet'!$A$88,$BA$205^A61,IF(A61='Données projet'!$A$88,'Données projet'!$B$88,BD60+BC61-BL60)))</f>
        <v>412.71199999999988</v>
      </c>
      <c r="BE61" s="13">
        <f>BD61*VLOOKUP('Données projet'!$B$11,Paramètres!$A$1:$I$89,3,0)*VLOOKUP('Données projet'!$B$11,Paramètres!$A$1:$I$89,5,0)</f>
        <v>246.80177599999993</v>
      </c>
      <c r="BF61" s="13">
        <f t="shared" si="37"/>
        <v>59.900576970210864</v>
      </c>
      <c r="BG61" s="20">
        <f t="shared" si="7"/>
        <v>534.17326475645041</v>
      </c>
      <c r="BH61" s="59">
        <f t="shared" si="8"/>
        <v>794.28637535513883</v>
      </c>
      <c r="BI61" s="59">
        <f ca="1">AVERAGE(OFFSET($BH$3,0,0,'Données projet'!$E$11+1,1))-AVERAGE(OFFSET($H$3,0,0,'Données projet'!$E$11+1,1))</f>
        <v>373.61861223558259</v>
      </c>
      <c r="BJ61" s="59">
        <f t="shared" si="38"/>
        <v>277.62293009761049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30.751125732620523</v>
      </c>
      <c r="BQ61" s="21">
        <f>EXP(-LN(2)/25)*BQ60+(1-EXP(-LN(2)/25))/(LN(2)/25)*Calculateur!BL61*Calculateur!BN61*VLOOKUP('Données projet'!$B$11,Paramètres!$A$1:$I$89,3,0)*0.475*44/12</f>
        <v>15.186205330341592</v>
      </c>
      <c r="BR61" s="21">
        <f>EXP(-LN(2)/2)*BR60+(1-EXP(-LN(2)/2))/(LN(2)/2)*BL61*BO61*VLOOKUP('Données projet'!$B$11,Paramètres!$A$1:$I$89,3,0)*0.475*44/12</f>
        <v>0.62371170420438893</v>
      </c>
      <c r="BS61" s="22">
        <f t="shared" si="9"/>
        <v>46.561042767166505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3.3333333333333313</v>
      </c>
      <c r="BY61" s="12">
        <f>IF('Données projet'!$A$114&gt;35,BY60+BX61-CG60,IF(A61&lt;'Données projet'!$A$114,$BV$205^A61,IF(A61='Données projet'!$A$114,'Données projet'!$B$114,BY60+BX61-CG60)))</f>
        <v>126.02564102564105</v>
      </c>
      <c r="BZ61" s="13">
        <f>BY61*VLOOKUP('Données projet'!$B$12,Paramètres!$A$1:$I$89,3,0)*VLOOKUP('Données projet'!$B$12,Paramètres!$A$1:$I$89,5,0)</f>
        <v>110.09600000000005</v>
      </c>
      <c r="CA61" s="13">
        <f t="shared" si="39"/>
        <v>29.353601772856717</v>
      </c>
      <c r="CB61" s="20">
        <f t="shared" si="10"/>
        <v>242.87472308772553</v>
      </c>
      <c r="CC61" s="59">
        <f t="shared" si="11"/>
        <v>502.98783368641398</v>
      </c>
      <c r="CD61" s="59">
        <f ca="1">AVERAGE(OFFSET($CC$3,0,0,'Données projet'!$E$12+1,1))-AVERAGE(OFFSET($H$3,0,0,'Données projet'!$E$12+1,1))</f>
        <v>251.30277097589737</v>
      </c>
      <c r="CE61" s="59">
        <f t="shared" si="40"/>
        <v>224.11983819941796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0.50168488614167772</v>
      </c>
      <c r="CL61" s="21">
        <f>EXP(-LN(2)/25)*CL60+(1-EXP(-LN(2)/25))/(LN(2)/25)*Calculateur!CG61*Calculateur!CI61*VLOOKUP('Données projet'!$B$12,Paramètres!$A$1:$I$89,3,0)*0.475*44/12</f>
        <v>14.817400913902016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15.319085800043695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</v>
      </c>
      <c r="CT61" s="12">
        <f>IF('Données projet'!$A$140&gt;35,CT60+CS61-DB60,IF(A61&lt;'Données projet'!$A$140,$CQ$205^A61,IF(A61='Données projet'!$A$140,'Données projet'!$B$140,CT60+CS61-DB60)))</f>
        <v>186</v>
      </c>
      <c r="CU61" s="17">
        <f>CT61*VLOOKUP('Données projet'!$B$13,Paramètres!$A$1:$I$89,3,0)*VLOOKUP('Données projet'!$B$13,Paramètres!$A$1:$I$89,5,0)</f>
        <v>162.48960000000002</v>
      </c>
      <c r="CV61" s="13">
        <f t="shared" si="41"/>
        <v>41.403546033820696</v>
      </c>
      <c r="CW61" s="20">
        <f t="shared" si="13"/>
        <v>355.11389600890442</v>
      </c>
      <c r="CX61" s="59">
        <f t="shared" si="14"/>
        <v>615.22700660759278</v>
      </c>
      <c r="CY61" s="59">
        <f ca="1">AVERAGE(OFFSET($CX$3,0,0,'Données projet'!$E$13+1,1))-AVERAGE(OFFSET($H$3,0,0,'Données projet'!$E$13+1,1))</f>
        <v>287.28439432670405</v>
      </c>
      <c r="CZ61" s="59">
        <f t="shared" si="42"/>
        <v>276.01618888357268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2.7461239304479879</v>
      </c>
      <c r="DG61" s="21">
        <f>EXP(-LN(2)/25)*DG60+(1-EXP(-LN(2)/25))/(LN(2)/25)*Calculateur!DB61*Calculateur!DD61*VLOOKUP('Données projet'!$B$13,Paramètres!$A$1:$I$89,3,0)*0.475*44/12</f>
        <v>10.49375624000602</v>
      </c>
      <c r="DH61" s="21">
        <f>EXP(-LN(2)/2)*DH60+(1-EXP(-LN(2)/2))/(LN(2)/2)*DB61*DE61*VLOOKUP('Données projet'!$B$13,Paramètres!$A$1:$I$89,3,0)*0.475*44/12</f>
        <v>1.020084886107653</v>
      </c>
      <c r="DI61" s="22">
        <f t="shared" si="15"/>
        <v>14.259965056561661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2.4358974358974366</v>
      </c>
      <c r="DO61" s="12">
        <f>IF('Données projet'!$A$166&gt;35,DO60+DN61-DW60,IF(A61&lt;'Données projet'!$A$166,$DL$205^A61,IF(A61='Données projet'!$A$166,'Données projet'!$B$166,DO60+DN61-DW60)))</f>
        <v>68.846153846153825</v>
      </c>
      <c r="DP61" s="17">
        <f>DO61*VLOOKUP('Données projet'!$B$14,Paramètres!$A$1:$I$89,3,0)*VLOOKUP('Données projet'!$B$14,Paramètres!$A$1:$I$89,5,0)</f>
        <v>66.58799999999998</v>
      </c>
      <c r="DQ61" s="13">
        <f t="shared" si="43"/>
        <v>18.823689251134553</v>
      </c>
      <c r="DR61" s="20">
        <f t="shared" si="16"/>
        <v>148.75869211239265</v>
      </c>
      <c r="DS61" s="59">
        <f t="shared" si="17"/>
        <v>408.87180271108105</v>
      </c>
      <c r="DT61" s="59">
        <f ca="1">AVERAGE(OFFSET($DS$3,0,0,'Données projet'!$E$14+1,1))-AVERAGE(OFFSET($H$3,0,0,'Données projet'!$E$14+1,1))</f>
        <v>206.5245935130306</v>
      </c>
      <c r="DU61" s="59">
        <f t="shared" si="44"/>
        <v>130.57011290898546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3.0085983571762709</v>
      </c>
      <c r="EC61" s="21">
        <f>EXP(-LN(2)/2)*EC60+(1-EXP(-LN(2)/2))/(LN(2)/2)*DW61*DZ61*VLOOKUP('Données projet'!$B$14,Paramètres!$A$1:$I$89,3,0)*0.475*44/12</f>
        <v>0.62611735146568959</v>
      </c>
      <c r="ED61" s="22">
        <f t="shared" si="18"/>
        <v>3.6347157086419606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12.999000000000001</v>
      </c>
      <c r="EJ61" s="12">
        <f>IF('Données projet'!$A$192&gt;35,EJ60+EI61-ER60,IF(A61&lt;'Données projet'!$A$192,$EG$205^A61,IF(A61='Données projet'!$A$192,'Données projet'!$B$192,EJ60+EI61-ER60)))</f>
        <v>313.37299999999982</v>
      </c>
      <c r="EK61" s="17">
        <f>EJ61*VLOOKUP('Données projet'!$B$15,Paramètres!$A$1:$I$89,3,0)*VLOOKUP('Données projet'!$B$15,Paramètres!$A$1:$I$89,5,0)</f>
        <v>146.6585639999999</v>
      </c>
      <c r="EL61" s="13">
        <f t="shared" si="45"/>
        <v>37.81823955666578</v>
      </c>
      <c r="EM61" s="20">
        <f t="shared" si="19"/>
        <v>321.29709952785942</v>
      </c>
      <c r="EN61" s="59">
        <f t="shared" si="20"/>
        <v>581.41021012654778</v>
      </c>
      <c r="EO61" s="59">
        <f ca="1">AVERAGE(OFFSET($EN$3,0,0,'Données projet'!$E$15+1,1))-AVERAGE(OFFSET($H$3,0,0,'Données projet'!$E$15+1,1))</f>
        <v>374.38106339726073</v>
      </c>
      <c r="EP61" s="59">
        <f t="shared" si="46"/>
        <v>296.53283288925957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12.928414630199494</v>
      </c>
      <c r="EW61" s="21">
        <f>EXP(-LN(2)/25)*EW60+(1-EXP(-LN(2)/25))/(LN(2)/25)*Calculateur!ER61*Calculateur!ET61*VLOOKUP('Données projet'!$B$15,Paramètres!$A$1:$I$89,3,0)*0.475*44/12</f>
        <v>18.030643623354365</v>
      </c>
      <c r="EX61" s="21">
        <f>EXP(-LN(2)/2)*EX60+(1-EXP(-LN(2)/2))/(LN(2)/2)*ER61*EU61*VLOOKUP('Données projet'!$B$15,Paramètres!$A$1:$I$89,3,0)*0.475*44/12</f>
        <v>3.0962382219071887</v>
      </c>
      <c r="EY61" s="22">
        <f t="shared" si="21"/>
        <v>34.055296475461049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9">
        <f t="shared" si="0"/>
        <v>685.99760517267418</v>
      </c>
      <c r="S62" s="59">
        <f ca="1">AVERAGE(OFFSET($R$3,0,0,'Données projet'!$E$9+1,1))-AVERAGE(OFFSET($H$3,0,0,'Données projet'!$E$9+1,1))</f>
        <v>681.47578137804555</v>
      </c>
      <c r="T62" s="59">
        <f t="shared" si="34"/>
        <v>300.88511065995885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196.41023999999999</v>
      </c>
      <c r="AK62" s="13">
        <f t="shared" si="35"/>
        <v>48.954417448783772</v>
      </c>
      <c r="AL62" s="20">
        <f t="shared" si="4"/>
        <v>427.34344505663171</v>
      </c>
      <c r="AM62" s="59">
        <f t="shared" si="5"/>
        <v>688.03285225047443</v>
      </c>
      <c r="AN62" s="59">
        <f ca="1">AVERAGE(OFFSET($AM$3,0,0,'Données projet'!$E$10+1,1))-AVERAGE(OFFSET($H$3,0,0,'Données projet'!$E$10+1,1))</f>
        <v>423.80243030843661</v>
      </c>
      <c r="AO62" s="59">
        <f t="shared" si="36"/>
        <v>260.29028006191834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9.5871455862356942</v>
      </c>
      <c r="AW62" s="21">
        <f>EXP(-LN(2)/2)*AW61+(1-EXP(-LN(2)/2))/(LN(2)/2)*AQ62*AT62*VLOOKUP('Données projet'!$B$10,Paramètres!$A$1:$I$89,3,0)*0.475*44/12</f>
        <v>1.4314668166317976</v>
      </c>
      <c r="AX62" s="21">
        <f t="shared" si="6"/>
        <v>11.018612402867491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14.113999999999999</v>
      </c>
      <c r="BD62" s="12">
        <f>IF('Données projet'!$A$88&gt;35,BD61+BC62-BL61,IF(A62&lt;'Données projet'!$A$88,$BA$205^A62,IF(A62='Données projet'!$A$88,'Données projet'!$B$88,BD61+BC62-BL61)))</f>
        <v>426.82599999999985</v>
      </c>
      <c r="BE62" s="13">
        <f>BD62*VLOOKUP('Données projet'!$B$11,Paramètres!$A$1:$I$89,3,0)*VLOOKUP('Données projet'!$B$11,Paramètres!$A$1:$I$89,5,0)</f>
        <v>255.24194799999992</v>
      </c>
      <c r="BF62" s="13">
        <f t="shared" si="37"/>
        <v>61.707065896857912</v>
      </c>
      <c r="BG62" s="20">
        <f t="shared" si="7"/>
        <v>552.01953253702732</v>
      </c>
      <c r="BH62" s="59">
        <f t="shared" si="8"/>
        <v>812.70893973087004</v>
      </c>
      <c r="BI62" s="59">
        <f ca="1">AVERAGE(OFFSET($BH$3,0,0,'Données projet'!$E$11+1,1))-AVERAGE(OFFSET($H$3,0,0,'Données projet'!$E$11+1,1))</f>
        <v>373.61861223558259</v>
      </c>
      <c r="BJ62" s="59">
        <f t="shared" si="38"/>
        <v>277.62293009761049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30.148114913338496</v>
      </c>
      <c r="BQ62" s="21">
        <f>EXP(-LN(2)/25)*BQ61+(1-EXP(-LN(2)/25))/(LN(2)/25)*Calculateur!BL62*Calculateur!BN62*VLOOKUP('Données projet'!$B$11,Paramètres!$A$1:$I$89,3,0)*0.475*44/12</f>
        <v>14.770937746975571</v>
      </c>
      <c r="BR62" s="21">
        <f>EXP(-LN(2)/2)*BR61+(1-EXP(-LN(2)/2))/(LN(2)/2)*BL62*BO62*VLOOKUP('Données projet'!$B$11,Paramètres!$A$1:$I$89,3,0)*0.475*44/12</f>
        <v>0.44103077554834152</v>
      </c>
      <c r="BS62" s="22">
        <f t="shared" si="9"/>
        <v>45.360083435862407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3.3333333333333313</v>
      </c>
      <c r="BY62" s="12">
        <f>IF('Données projet'!$A$114&gt;35,BY61+BX62-CG61,IF(A62&lt;'Données projet'!$A$114,$BV$205^A62,IF(A62='Données projet'!$A$114,'Données projet'!$B$114,BY61+BX62-CG61)))</f>
        <v>129.35897435897439</v>
      </c>
      <c r="BZ62" s="13">
        <f>BY62*VLOOKUP('Données projet'!$B$12,Paramètres!$A$1:$I$89,3,0)*VLOOKUP('Données projet'!$B$12,Paramètres!$A$1:$I$89,5,0)</f>
        <v>113.00800000000004</v>
      </c>
      <c r="CA62" s="13">
        <f t="shared" si="39"/>
        <v>30.038576235558757</v>
      </c>
      <c r="CB62" s="20">
        <f t="shared" si="10"/>
        <v>249.13945361026489</v>
      </c>
      <c r="CC62" s="59">
        <f t="shared" si="11"/>
        <v>509.82886080410765</v>
      </c>
      <c r="CD62" s="59">
        <f ca="1">AVERAGE(OFFSET($CC$3,0,0,'Données projet'!$E$12+1,1))-AVERAGE(OFFSET($H$3,0,0,'Données projet'!$E$12+1,1))</f>
        <v>251.30277097589737</v>
      </c>
      <c r="CE62" s="59">
        <f t="shared" si="40"/>
        <v>224.11983819941796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0.4918471515220052</v>
      </c>
      <c r="CL62" s="21">
        <f>EXP(-LN(2)/25)*CL61+(1-EXP(-LN(2)/25))/(LN(2)/25)*Calculateur!CG62*Calculateur!CI62*VLOOKUP('Données projet'!$B$12,Paramètres!$A$1:$I$89,3,0)*0.475*44/12</f>
        <v>14.412218306698117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14.904065458220122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</v>
      </c>
      <c r="CT62" s="12">
        <f>IF('Données projet'!$A$140&gt;35,CT61+CS62-DB61,IF(A62&lt;'Données projet'!$A$140,$CQ$205^A62,IF(A62='Données projet'!$A$140,'Données projet'!$B$140,CT61+CS62-DB61)))</f>
        <v>190</v>
      </c>
      <c r="CU62" s="17">
        <f>CT62*VLOOKUP('Données projet'!$B$13,Paramètres!$A$1:$I$89,3,0)*VLOOKUP('Données projet'!$B$13,Paramètres!$A$1:$I$89,5,0)</f>
        <v>165.98400000000001</v>
      </c>
      <c r="CV62" s="13">
        <f t="shared" si="41"/>
        <v>42.189325525922243</v>
      </c>
      <c r="CW62" s="20">
        <f t="shared" si="13"/>
        <v>362.56854195764794</v>
      </c>
      <c r="CX62" s="59">
        <f t="shared" si="14"/>
        <v>623.25794915149072</v>
      </c>
      <c r="CY62" s="59">
        <f ca="1">AVERAGE(OFFSET($CX$3,0,0,'Données projet'!$E$13+1,1))-AVERAGE(OFFSET($H$3,0,0,'Données projet'!$E$13+1,1))</f>
        <v>287.28439432670405</v>
      </c>
      <c r="CZ62" s="59">
        <f t="shared" si="42"/>
        <v>276.01618888357268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2.6922741151421108</v>
      </c>
      <c r="DG62" s="21">
        <f>EXP(-LN(2)/25)*DG61+(1-EXP(-LN(2)/25))/(LN(2)/25)*Calculateur!DB62*Calculateur!DD62*VLOOKUP('Données projet'!$B$13,Paramètres!$A$1:$I$89,3,0)*0.475*44/12</f>
        <v>10.206803923780399</v>
      </c>
      <c r="DH62" s="21">
        <f>EXP(-LN(2)/2)*DH61+(1-EXP(-LN(2)/2))/(LN(2)/2)*DB62*DE62*VLOOKUP('Données projet'!$B$13,Paramètres!$A$1:$I$89,3,0)*0.475*44/12</f>
        <v>0.72130894035262849</v>
      </c>
      <c r="DI62" s="22">
        <f t="shared" si="15"/>
        <v>13.620386979275137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2.4358974358974366</v>
      </c>
      <c r="DO62" s="12">
        <f>IF('Données projet'!$A$166&gt;35,DO61+DN62-DW61,IF(A62&lt;'Données projet'!$A$166,$DL$205^A62,IF(A62='Données projet'!$A$166,'Données projet'!$B$166,DO61+DN62-DW61)))</f>
        <v>71.282051282051256</v>
      </c>
      <c r="DP62" s="17">
        <f>DO62*VLOOKUP('Données projet'!$B$14,Paramètres!$A$1:$I$89,3,0)*VLOOKUP('Données projet'!$B$14,Paramètres!$A$1:$I$89,5,0)</f>
        <v>68.943999999999974</v>
      </c>
      <c r="DQ62" s="13">
        <f t="shared" si="43"/>
        <v>19.410984004776843</v>
      </c>
      <c r="DR62" s="20">
        <f t="shared" si="16"/>
        <v>153.88493047498628</v>
      </c>
      <c r="DS62" s="59">
        <f t="shared" si="17"/>
        <v>414.57433766882906</v>
      </c>
      <c r="DT62" s="59">
        <f ca="1">AVERAGE(OFFSET($DS$3,0,0,'Données projet'!$E$14+1,1))-AVERAGE(OFFSET($H$3,0,0,'Données projet'!$E$14+1,1))</f>
        <v>206.5245935130306</v>
      </c>
      <c r="DU62" s="59">
        <f t="shared" si="44"/>
        <v>130.57011290898546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2.9263280768839746</v>
      </c>
      <c r="EC62" s="21">
        <f>EXP(-LN(2)/2)*EC61+(1-EXP(-LN(2)/2))/(LN(2)/2)*DW62*DZ62*VLOOKUP('Données projet'!$B$14,Paramètres!$A$1:$I$89,3,0)*0.475*44/12</f>
        <v>0.44273182503995007</v>
      </c>
      <c r="ED62" s="22">
        <f t="shared" si="18"/>
        <v>3.3690599019239245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12.999000000000001</v>
      </c>
      <c r="EJ62" s="12">
        <f>IF('Données projet'!$A$192&gt;35,EJ61+EI62-ER61,IF(A62&lt;'Données projet'!$A$192,$EG$205^A62,IF(A62='Données projet'!$A$192,'Données projet'!$B$192,EJ61+EI62-ER61)))</f>
        <v>326.37199999999984</v>
      </c>
      <c r="EK62" s="17">
        <f>EJ62*VLOOKUP('Données projet'!$B$15,Paramètres!$A$1:$I$89,3,0)*VLOOKUP('Données projet'!$B$15,Paramètres!$A$1:$I$89,5,0)</f>
        <v>152.74209599999995</v>
      </c>
      <c r="EL62" s="13">
        <f t="shared" si="45"/>
        <v>39.201078252346029</v>
      </c>
      <c r="EM62" s="20">
        <f t="shared" si="19"/>
        <v>334.30102848950258</v>
      </c>
      <c r="EN62" s="59">
        <f t="shared" si="20"/>
        <v>594.99043568334537</v>
      </c>
      <c r="EO62" s="59">
        <f ca="1">AVERAGE(OFFSET($EN$3,0,0,'Données projet'!$E$15+1,1))-AVERAGE(OFFSET($H$3,0,0,'Données projet'!$E$15+1,1))</f>
        <v>374.38106339726073</v>
      </c>
      <c r="EP62" s="59">
        <f t="shared" si="46"/>
        <v>296.53283288925957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12.674896304855572</v>
      </c>
      <c r="EW62" s="21">
        <f>EXP(-LN(2)/25)*EW61+(1-EXP(-LN(2)/25))/(LN(2)/25)*Calculateur!ER62*Calculateur!ET62*VLOOKUP('Données projet'!$B$15,Paramètres!$A$1:$I$89,3,0)*0.475*44/12</f>
        <v>17.537594725283402</v>
      </c>
      <c r="EX62" s="21">
        <f>EXP(-LN(2)/2)*EX61+(1-EXP(-LN(2)/2))/(LN(2)/2)*ER62*EU62*VLOOKUP('Données projet'!$B$15,Paramètres!$A$1:$I$89,3,0)*0.475*44/12</f>
        <v>2.1893710428795514</v>
      </c>
      <c r="EY62" s="22">
        <f t="shared" si="21"/>
        <v>32.401862073018528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9">
        <f t="shared" si="0"/>
        <v>705.99239080924474</v>
      </c>
      <c r="S63" s="59">
        <f ca="1">AVERAGE(OFFSET($R$3,0,0,'Données projet'!$E$9+1,1))-AVERAGE(OFFSET($H$3,0,0,'Données projet'!$E$9+1,1))</f>
        <v>681.47578137804555</v>
      </c>
      <c r="T63" s="59">
        <f t="shared" si="34"/>
        <v>300.88511065995885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203.64239999999998</v>
      </c>
      <c r="AK63" s="13">
        <f t="shared" si="35"/>
        <v>50.543814227115405</v>
      </c>
      <c r="AL63" s="20">
        <f t="shared" si="4"/>
        <v>442.70765644555928</v>
      </c>
      <c r="AM63" s="59">
        <f t="shared" si="5"/>
        <v>703.96336277703676</v>
      </c>
      <c r="AN63" s="59">
        <f ca="1">AVERAGE(OFFSET($AM$3,0,0,'Données projet'!$E$10+1,1))-AVERAGE(OFFSET($H$3,0,0,'Données projet'!$E$10+1,1))</f>
        <v>423.80243030843661</v>
      </c>
      <c r="AO63" s="59">
        <f t="shared" si="36"/>
        <v>260.29028006191834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0.1075</v>
      </c>
      <c r="AT63" s="16">
        <f>IF(ISNA(VLOOKUP(A63,'Données projet'!$A$61:$I$81,7,0)),0%,VLOOKUP(A63,'Données projet'!$A$61:$I$81,7,0))</f>
        <v>0.25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11.690446416548827</v>
      </c>
      <c r="AW63" s="21">
        <f>EXP(-LN(2)/2)*AW62+(1-EXP(-LN(2)/2))/(LN(2)/2)*AQ63*AT63*VLOOKUP('Données projet'!$B$10,Paramètres!$A$1:$I$89,3,0)*0.475*44/12</f>
        <v>5.7259660057609238</v>
      </c>
      <c r="AX63" s="21">
        <f t="shared" si="6"/>
        <v>17.416412422309751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440.94</v>
      </c>
      <c r="BB63" s="12">
        <f>VLOOKUP(A63,'Données projet'!$A$87:$I$107,9,0)</f>
        <v>14.113999999999999</v>
      </c>
      <c r="BC63" s="12">
        <f t="array" ref="BC63">INDEX(BB:BB,MIN(IF(ISNUMBER(BB63:BB259),ROW(BB63:BB259),"")))</f>
        <v>14.113999999999999</v>
      </c>
      <c r="BD63" s="12">
        <f>IF('Données projet'!$A$88&gt;35,BD62+BC63-BL62,IF(A63&lt;'Données projet'!$A$88,$BA$205^A63,IF(A63='Données projet'!$A$88,'Données projet'!$B$88,BD62+BC63-BL62)))</f>
        <v>440.93999999999983</v>
      </c>
      <c r="BE63" s="13">
        <f>BD63*VLOOKUP('Données projet'!$B$11,Paramètres!$A$1:$I$89,3,0)*VLOOKUP('Données projet'!$B$11,Paramètres!$A$1:$I$89,5,0)</f>
        <v>263.68211999999988</v>
      </c>
      <c r="BF63" s="13">
        <f t="shared" si="37"/>
        <v>63.506613606650006</v>
      </c>
      <c r="BG63" s="20">
        <f t="shared" si="7"/>
        <v>569.85371103158184</v>
      </c>
      <c r="BH63" s="59">
        <f t="shared" si="8"/>
        <v>831.10941736305926</v>
      </c>
      <c r="BI63" s="59">
        <f ca="1">AVERAGE(OFFSET($BH$3,0,0,'Données projet'!$E$11+1,1))-AVERAGE(OFFSET($H$3,0,0,'Données projet'!$E$11+1,1))</f>
        <v>373.61861223558259</v>
      </c>
      <c r="BJ63" s="59">
        <f t="shared" si="38"/>
        <v>277.62293009761049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69.839999999999975</v>
      </c>
      <c r="BM63" s="16">
        <f>IF(ISNA(VLOOKUP(A63,'Données projet'!$A$87:$I$107,5,0)),0%,VLOOKUP(A63,'Données projet'!$A$87:$I$107,5,0)*VLOOKUP('Données projet'!$B$11,Paramètres!$A$1:$I$89,7,0))</f>
        <v>0.27</v>
      </c>
      <c r="BN63" s="16">
        <f>IF(ISNA(VLOOKUP(A63,'Données projet'!$A$87:$I$107,6,0)),0%,VLOOKUP(A63,'Données projet'!$A$87:$I$107,6,0)*VLOOKUP('Données projet'!$B$11,Paramètres!$A$1:$I$89,7,0))</f>
        <v>9.0000000000000011E-2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44.515755621175032</v>
      </c>
      <c r="BQ63" s="21">
        <f>EXP(-LN(2)/25)*BQ62+(1-EXP(-LN(2)/25))/(LN(2)/25)*Calculateur!BL63*Calculateur!BN63*VLOOKUP('Données projet'!$B$11,Paramètres!$A$1:$I$89,3,0)*0.475*44/12</f>
        <v>19.333668428072521</v>
      </c>
      <c r="BR63" s="21">
        <f>EXP(-LN(2)/2)*BR62+(1-EXP(-LN(2)/2))/(LN(2)/2)*BL63*BO63*VLOOKUP('Données projet'!$B$11,Paramètres!$A$1:$I$89,3,0)*0.475*44/12</f>
        <v>9.7692382497482964</v>
      </c>
      <c r="BS63" s="22">
        <f t="shared" si="9"/>
        <v>73.618662298995844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132.69230769230768</v>
      </c>
      <c r="BW63" s="12">
        <f>VLOOKUP(A63,'Données projet'!$A$113:$I$133,9,0)</f>
        <v>3.3333333333333313</v>
      </c>
      <c r="BX63" s="12">
        <f t="array" ref="BX63">INDEX(BW:BW,MIN(IF(ISNUMBER(BW63:BW259),ROW(BW63:BW259),"")))</f>
        <v>3.3333333333333313</v>
      </c>
      <c r="BY63" s="12">
        <f>IF('Données projet'!$A$114&gt;35,BY62+BX63-CG62,IF(A63&lt;'Données projet'!$A$114,$BV$205^A63,IF(A63='Données projet'!$A$114,'Données projet'!$B$114,BY62+BX63-CG62)))</f>
        <v>132.69230769230774</v>
      </c>
      <c r="BZ63" s="13">
        <f>BY63*VLOOKUP('Données projet'!$B$12,Paramètres!$A$1:$I$89,3,0)*VLOOKUP('Données projet'!$B$12,Paramètres!$A$1:$I$89,5,0)</f>
        <v>115.92000000000004</v>
      </c>
      <c r="CA63" s="13">
        <f t="shared" si="39"/>
        <v>30.721499020333283</v>
      </c>
      <c r="CB63" s="20">
        <f t="shared" si="10"/>
        <v>255.40061079374721</v>
      </c>
      <c r="CC63" s="59">
        <f t="shared" si="11"/>
        <v>516.65631712522463</v>
      </c>
      <c r="CD63" s="59">
        <f ca="1">AVERAGE(OFFSET($CC$3,0,0,'Données projet'!$E$12+1,1))-AVERAGE(OFFSET($H$3,0,0,'Données projet'!$E$12+1,1))</f>
        <v>251.30277097589737</v>
      </c>
      <c r="CE63" s="59">
        <f t="shared" si="40"/>
        <v>224.11983819941796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11.538461538461538</v>
      </c>
      <c r="CH63" s="16">
        <f>IF(ISNA(VLOOKUP(A63,'Données projet'!$A$113:$I$133,5,0)),0%,VLOOKUP(A63,'Données projet'!$A$113:$I$133,5,0)*VLOOKUP('Données projet'!$B$12,Paramètres!$A$1:$I$89,7,0))</f>
        <v>4.3000000000000003E-2</v>
      </c>
      <c r="CI63" s="16">
        <f>IF(ISNA(VLOOKUP(A63,'Données projet'!$A$113:$I$133,6,0)),0%,VLOOKUP(A63,'Données projet'!$A$113:$I$133,6,0)*VLOOKUP('Données projet'!$B$12,Paramètres!$A$1:$I$89,7,0))</f>
        <v>0.215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0.96135741018256082</v>
      </c>
      <c r="CL63" s="21">
        <f>EXP(-LN(2)/25)*CL62+(1-EXP(-LN(2)/25))/(LN(2)/25)*Calculateur!CG63*Calculateur!CI63*VLOOKUP('Données projet'!$B$12,Paramètres!$A$1:$I$89,3,0)*0.475*44/12</f>
        <v>16.404457765082164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17.365815175264725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194</v>
      </c>
      <c r="CR63" s="12">
        <f>VLOOKUP(A63,'Données projet'!$A$139:$I$159,9,0)</f>
        <v>4</v>
      </c>
      <c r="CS63" s="12">
        <f t="array" ref="CS63">INDEX(CR:CR,MIN(IF(ISNUMBER(CR63:CR259),ROW(CR63:CR259),"")))</f>
        <v>4</v>
      </c>
      <c r="CT63" s="12">
        <f>IF('Données projet'!$A$140&gt;35,CT62+CS63-DB62,IF(A63&lt;'Données projet'!$A$140,$CQ$205^A63,IF(A63='Données projet'!$A$140,'Données projet'!$B$140,CT62+CS63-DB62)))</f>
        <v>194</v>
      </c>
      <c r="CU63" s="17">
        <f>CT63*VLOOKUP('Données projet'!$B$13,Paramètres!$A$1:$I$89,3,0)*VLOOKUP('Données projet'!$B$13,Paramètres!$A$1:$I$89,5,0)</f>
        <v>169.47840000000002</v>
      </c>
      <c r="CV63" s="13">
        <f t="shared" si="41"/>
        <v>42.973181651930332</v>
      </c>
      <c r="CW63" s="20">
        <f t="shared" si="13"/>
        <v>370.01983804377869</v>
      </c>
      <c r="CX63" s="59">
        <f t="shared" si="14"/>
        <v>631.27554437525623</v>
      </c>
      <c r="CY63" s="59">
        <f ca="1">AVERAGE(OFFSET($CX$3,0,0,'Données projet'!$E$13+1,1))-AVERAGE(OFFSET($H$3,0,0,'Données projet'!$E$13+1,1))</f>
        <v>287.28439432670405</v>
      </c>
      <c r="CZ63" s="59">
        <f t="shared" si="42"/>
        <v>276.01618888357268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9</v>
      </c>
      <c r="DC63" s="16">
        <f>IF(ISNA(VLOOKUP(A63,'Données projet'!$A$139:$I$159,5,0)),0%,VLOOKUP(A63,'Données projet'!$A$139:$I$159,5,0)*VLOOKUP('Données projet'!$B$13,Paramètres!$A$1:$I$89,7,0))</f>
        <v>0.13250000000000001</v>
      </c>
      <c r="DD63" s="16">
        <f>IF(ISNA(VLOOKUP(A63,'Données projet'!$A$139:$I$159,6,0)),0%,VLOOKUP(A63,'Données projet'!$A$139:$I$159,6,0)*VLOOKUP('Données projet'!$B$13,Paramètres!$A$1:$I$89,7,0))</f>
        <v>0.13250000000000001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3.7911239282145202</v>
      </c>
      <c r="DG63" s="21">
        <f>EXP(-LN(2)/25)*DG62+(1-EXP(-LN(2)/25))/(LN(2)/25)*Calculateur!DB63*Calculateur!DD63*VLOOKUP('Données projet'!$B$13,Paramètres!$A$1:$I$89,3,0)*0.475*44/12</f>
        <v>11.074807540152376</v>
      </c>
      <c r="DH63" s="21">
        <f>EXP(-LN(2)/2)*DH62+(1-EXP(-LN(2)/2))/(LN(2)/2)*DB63*DE63*VLOOKUP('Données projet'!$B$13,Paramètres!$A$1:$I$89,3,0)*0.475*44/12</f>
        <v>2.3646389464021778</v>
      </c>
      <c r="DI63" s="22">
        <f t="shared" si="15"/>
        <v>17.230570414769073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73.717948717948715</v>
      </c>
      <c r="DM63" s="12">
        <f>VLOOKUP(A63,'Données projet'!$A$165:$I$185,9,0)</f>
        <v>2.4358974358974366</v>
      </c>
      <c r="DN63" s="12">
        <f t="array" ref="DN63">INDEX(DM:DM,MIN(IF(ISNUMBER(DM63:DM259),ROW(DM63:DM259),"")))</f>
        <v>2.4358974358974366</v>
      </c>
      <c r="DO63" s="12">
        <f>IF('Données projet'!$A$166&gt;35,DO62+DN63-DW62,IF(A63&lt;'Données projet'!$A$166,$DL$205^A63,IF(A63='Données projet'!$A$166,'Données projet'!$B$166,DO62+DN63-DW62)))</f>
        <v>73.717948717948687</v>
      </c>
      <c r="DP63" s="17">
        <f>DO63*VLOOKUP('Données projet'!$B$14,Paramètres!$A$1:$I$89,3,0)*VLOOKUP('Données projet'!$B$14,Paramètres!$A$1:$I$89,5,0)</f>
        <v>71.299999999999969</v>
      </c>
      <c r="DQ63" s="13">
        <f t="shared" si="43"/>
        <v>19.995946837849424</v>
      </c>
      <c r="DR63" s="20">
        <f t="shared" si="16"/>
        <v>159.00710740925433</v>
      </c>
      <c r="DS63" s="59">
        <f t="shared" si="17"/>
        <v>420.26281374073181</v>
      </c>
      <c r="DT63" s="59">
        <f ca="1">AVERAGE(OFFSET($DS$3,0,0,'Données projet'!$E$14+1,1))-AVERAGE(OFFSET($H$3,0,0,'Données projet'!$E$14+1,1))</f>
        <v>206.5245935130306</v>
      </c>
      <c r="DU63" s="59">
        <f t="shared" si="44"/>
        <v>130.57011290898546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6.4102564102564097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0.1075</v>
      </c>
      <c r="DZ63" s="16">
        <f>IF(ISNA(VLOOKUP(A63,'Données projet'!$A$165:$I$185,7,0)),0%,VLOOKUP(A63,'Données projet'!$A$165:$I$185,7,0))</f>
        <v>0.25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3.5802024430667658</v>
      </c>
      <c r="EC63" s="21">
        <f>EXP(-LN(2)/2)*EC62+(1-EXP(-LN(2)/2))/(LN(2)/2)*DW63*DZ63*VLOOKUP('Données projet'!$B$14,Paramètres!$A$1:$I$89,3,0)*0.475*44/12</f>
        <v>1.7755253933711963</v>
      </c>
      <c r="ED63" s="22">
        <f t="shared" si="18"/>
        <v>5.3557278364379624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12.999000000000001</v>
      </c>
      <c r="EJ63" s="12">
        <f>IF('Données projet'!$A$192&gt;35,EJ62+EI63-ER62,IF(A63&lt;'Données projet'!$A$192,$EG$205^A63,IF(A63='Données projet'!$A$192,'Données projet'!$B$192,EJ62+EI63-ER62)))</f>
        <v>339.37099999999987</v>
      </c>
      <c r="EK63" s="17">
        <f>EJ63*VLOOKUP('Données projet'!$B$15,Paramètres!$A$1:$I$89,3,0)*VLOOKUP('Données projet'!$B$15,Paramètres!$A$1:$I$89,5,0)</f>
        <v>158.82562799999994</v>
      </c>
      <c r="EL63" s="13">
        <f t="shared" si="45"/>
        <v>40.577519061672213</v>
      </c>
      <c r="EM63" s="20">
        <f t="shared" si="19"/>
        <v>347.2938144657457</v>
      </c>
      <c r="EN63" s="59">
        <f t="shared" si="20"/>
        <v>608.54952079722318</v>
      </c>
      <c r="EO63" s="59">
        <f ca="1">AVERAGE(OFFSET($EN$3,0,0,'Données projet'!$E$15+1,1))-AVERAGE(OFFSET($H$3,0,0,'Données projet'!$E$15+1,1))</f>
        <v>374.38106339726073</v>
      </c>
      <c r="EP63" s="59">
        <f t="shared" si="46"/>
        <v>296.53283288925957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12.426349319240735</v>
      </c>
      <c r="EW63" s="21">
        <f>EXP(-LN(2)/25)*EW62+(1-EXP(-LN(2)/25))/(LN(2)/25)*Calculateur!ER63*Calculateur!ET63*VLOOKUP('Données projet'!$B$15,Paramètres!$A$1:$I$89,3,0)*0.475*44/12</f>
        <v>17.058028275258504</v>
      </c>
      <c r="EX63" s="21">
        <f>EXP(-LN(2)/2)*EX62+(1-EXP(-LN(2)/2))/(LN(2)/2)*ER63*EU63*VLOOKUP('Données projet'!$B$15,Paramètres!$A$1:$I$89,3,0)*0.475*44/12</f>
        <v>1.5481191109535943</v>
      </c>
      <c r="EY63" s="22">
        <f t="shared" si="21"/>
        <v>31.032496705452832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9">
        <f t="shared" si="0"/>
        <v>725.95918056238668</v>
      </c>
      <c r="S64" s="59">
        <f ca="1">AVERAGE(OFFSET($R$3,0,0,'Données projet'!$E$9+1,1))-AVERAGE(OFFSET($H$3,0,0,'Données projet'!$E$9+1,1))</f>
        <v>681.47578137804555</v>
      </c>
      <c r="T64" s="59">
        <f t="shared" si="34"/>
        <v>300.88511065995885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190.51031999999995</v>
      </c>
      <c r="AK64" s="13">
        <f t="shared" si="35"/>
        <v>47.652759738576151</v>
      </c>
      <c r="AL64" s="20">
        <f t="shared" si="4"/>
        <v>414.80069721135334</v>
      </c>
      <c r="AM64" s="59">
        <f t="shared" si="5"/>
        <v>676.61287865648274</v>
      </c>
      <c r="AN64" s="59">
        <f ca="1">AVERAGE(OFFSET($AM$3,0,0,'Données projet'!$E$10+1,1))-AVERAGE(OFFSET($H$3,0,0,'Données projet'!$E$10+1,1))</f>
        <v>423.80243030843661</v>
      </c>
      <c r="AO64" s="59">
        <f t="shared" si="36"/>
        <v>260.29028006191834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11.370770544514441</v>
      </c>
      <c r="AW64" s="21">
        <f>EXP(-LN(2)/2)*AW63+(1-EXP(-LN(2)/2))/(LN(2)/2)*AQ64*AT64*VLOOKUP('Données projet'!$B$10,Paramètres!$A$1:$I$89,3,0)*0.475*44/12</f>
        <v>4.0488693915171989</v>
      </c>
      <c r="AX64" s="21">
        <f t="shared" si="6"/>
        <v>15.41963993603164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11.896999999999997</v>
      </c>
      <c r="BD64" s="12">
        <f>IF('Données projet'!$A$88&gt;35,BD63+BC64-BL63,IF(A64&lt;'Données projet'!$A$88,$BA$205^A64,IF(A64='Données projet'!$A$88,'Données projet'!$B$88,BD63+BC64-BL63)))</f>
        <v>382.99699999999984</v>
      </c>
      <c r="BE64" s="13">
        <f>BD64*VLOOKUP('Données projet'!$B$11,Paramètres!$A$1:$I$89,3,0)*VLOOKUP('Données projet'!$B$11,Paramètres!$A$1:$I$89,5,0)</f>
        <v>229.03220599999992</v>
      </c>
      <c r="BF64" s="13">
        <f t="shared" si="37"/>
        <v>56.073370514455313</v>
      </c>
      <c r="BG64" s="20">
        <f t="shared" si="7"/>
        <v>496.55887909600943</v>
      </c>
      <c r="BH64" s="59">
        <f t="shared" si="8"/>
        <v>758.37106054113883</v>
      </c>
      <c r="BI64" s="59">
        <f ca="1">AVERAGE(OFFSET($BH$3,0,0,'Données projet'!$E$11+1,1))-AVERAGE(OFFSET($H$3,0,0,'Données projet'!$E$11+1,1))</f>
        <v>373.61861223558259</v>
      </c>
      <c r="BJ64" s="59">
        <f t="shared" si="38"/>
        <v>277.62293009761049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43.642828805373689</v>
      </c>
      <c r="BQ64" s="21">
        <f>EXP(-LN(2)/25)*BQ63+(1-EXP(-LN(2)/25))/(LN(2)/25)*Calculateur!BL64*Calculateur!BN64*VLOOKUP('Données projet'!$B$11,Paramètres!$A$1:$I$89,3,0)*0.475*44/12</f>
        <v>18.804988248193443</v>
      </c>
      <c r="BR64" s="21">
        <f>EXP(-LN(2)/2)*BR63+(1-EXP(-LN(2)/2))/(LN(2)/2)*BL64*BO64*VLOOKUP('Données projet'!$B$11,Paramètres!$A$1:$I$89,3,0)*0.475*44/12</f>
        <v>6.9078946134240198</v>
      </c>
      <c r="BS64" s="22">
        <f t="shared" si="9"/>
        <v>69.355711666991155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3.2051282051282071</v>
      </c>
      <c r="BY64" s="12">
        <f>IF('Données projet'!$A$114&gt;35,BY63+BX64-CG63,IF(A64&lt;'Données projet'!$A$114,$BV$205^A64,IF(A64='Données projet'!$A$114,'Données projet'!$B$114,BY63+BX64-CG63)))</f>
        <v>124.35897435897441</v>
      </c>
      <c r="BZ64" s="13">
        <f>BY64*VLOOKUP('Données projet'!$B$12,Paramètres!$A$1:$I$89,3,0)*VLOOKUP('Données projet'!$B$12,Paramètres!$A$1:$I$89,5,0)</f>
        <v>108.64000000000006</v>
      </c>
      <c r="CA64" s="13">
        <f t="shared" si="39"/>
        <v>29.010326329800307</v>
      </c>
      <c r="CB64" s="20">
        <f t="shared" si="10"/>
        <v>239.74098502440231</v>
      </c>
      <c r="CC64" s="59">
        <f t="shared" si="11"/>
        <v>501.55316646953167</v>
      </c>
      <c r="CD64" s="59">
        <f ca="1">AVERAGE(OFFSET($CC$3,0,0,'Données projet'!$E$12+1,1))-AVERAGE(OFFSET($H$3,0,0,'Données projet'!$E$12+1,1))</f>
        <v>251.30277097589737</v>
      </c>
      <c r="CE64" s="59">
        <f t="shared" si="40"/>
        <v>224.11983819941796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0.94250577773900179</v>
      </c>
      <c r="CL64" s="21">
        <f>EXP(-LN(2)/25)*CL63+(1-EXP(-LN(2)/25))/(LN(2)/25)*Calculateur!CG64*Calculateur!CI64*VLOOKUP('Données projet'!$B$12,Paramètres!$A$1:$I$89,3,0)*0.475*44/12</f>
        <v>15.955877004823051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16.898382782562052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3.4</v>
      </c>
      <c r="CT64" s="12">
        <f>IF('Données projet'!$A$140&gt;35,CT63+CS64-DB63,IF(A64&lt;'Données projet'!$A$140,$CQ$205^A64,IF(A64='Données projet'!$A$140,'Données projet'!$B$140,CT63+CS64-DB63)))</f>
        <v>188.4</v>
      </c>
      <c r="CU64" s="17">
        <f>CT64*VLOOKUP('Données projet'!$B$13,Paramètres!$A$1:$I$89,3,0)*VLOOKUP('Données projet'!$B$13,Paramètres!$A$1:$I$89,5,0)</f>
        <v>164.58624000000003</v>
      </c>
      <c r="CV64" s="13">
        <f t="shared" si="41"/>
        <v>41.875247075991886</v>
      </c>
      <c r="CW64" s="20">
        <f t="shared" si="13"/>
        <v>359.58708999068591</v>
      </c>
      <c r="CX64" s="59">
        <f t="shared" si="14"/>
        <v>621.39927143581531</v>
      </c>
      <c r="CY64" s="59">
        <f ca="1">AVERAGE(OFFSET($CX$3,0,0,'Données projet'!$E$13+1,1))-AVERAGE(OFFSET($H$3,0,0,'Données projet'!$E$13+1,1))</f>
        <v>287.28439432670405</v>
      </c>
      <c r="CZ64" s="59">
        <f t="shared" si="42"/>
        <v>276.01618888357268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3.7167823003395033</v>
      </c>
      <c r="DG64" s="21">
        <f>EXP(-LN(2)/25)*DG63+(1-EXP(-LN(2)/25))/(LN(2)/25)*Calculateur!DB64*Calculateur!DD64*VLOOKUP('Données projet'!$B$13,Paramètres!$A$1:$I$89,3,0)*0.475*44/12</f>
        <v>10.771966345568092</v>
      </c>
      <c r="DH64" s="21">
        <f>EXP(-LN(2)/2)*DH63+(1-EXP(-LN(2)/2))/(LN(2)/2)*DB64*DE64*VLOOKUP('Données projet'!$B$13,Paramètres!$A$1:$I$89,3,0)*0.475*44/12</f>
        <v>1.6720522340587931</v>
      </c>
      <c r="DI64" s="22">
        <f t="shared" si="15"/>
        <v>16.160800879966388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2.1794871794871797</v>
      </c>
      <c r="DO64" s="12">
        <f>IF('Données projet'!$A$166&gt;35,DO63+DN64-DW63,IF(A64&lt;'Données projet'!$A$166,$DL$205^A64,IF(A64='Données projet'!$A$166,'Données projet'!$B$166,DO63+DN64-DW63)))</f>
        <v>69.487179487179461</v>
      </c>
      <c r="DP64" s="17">
        <f>DO64*VLOOKUP('Données projet'!$B$14,Paramètres!$A$1:$I$89,3,0)*VLOOKUP('Données projet'!$B$14,Paramètres!$A$1:$I$89,5,0)</f>
        <v>67.207999999999984</v>
      </c>
      <c r="DQ64" s="13">
        <f t="shared" si="43"/>
        <v>18.97847165054225</v>
      </c>
      <c r="DR64" s="20">
        <f t="shared" si="16"/>
        <v>150.10810479136106</v>
      </c>
      <c r="DS64" s="59">
        <f t="shared" si="17"/>
        <v>411.92028623649037</v>
      </c>
      <c r="DT64" s="59">
        <f ca="1">AVERAGE(OFFSET($DS$3,0,0,'Données projet'!$E$14+1,1))-AVERAGE(OFFSET($H$3,0,0,'Données projet'!$E$14+1,1))</f>
        <v>206.5245935130306</v>
      </c>
      <c r="DU64" s="59">
        <f t="shared" si="44"/>
        <v>130.57011290898546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3.4823016189864413</v>
      </c>
      <c r="EC64" s="21">
        <f>EXP(-LN(2)/2)*EC63+(1-EXP(-LN(2)/2))/(LN(2)/2)*DW64*DZ64*VLOOKUP('Données projet'!$B$14,Paramètres!$A$1:$I$89,3,0)*0.475*44/12</f>
        <v>1.2554860458216852</v>
      </c>
      <c r="ED64" s="22">
        <f t="shared" si="18"/>
        <v>4.7377876648081267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>
        <f>VLOOKUP(A64,'Données projet'!$A$191:$I$211,2,0)</f>
        <v>352.37</v>
      </c>
      <c r="EH64" s="12">
        <f>VLOOKUP(A64,'Données projet'!$A$191:$I$211,9,0)</f>
        <v>12.999000000000001</v>
      </c>
      <c r="EI64" s="12">
        <f t="array" ref="EI64">INDEX(EH:EH,MIN(IF(ISNUMBER(EH64:EH260),ROW(EH64:EH260),"")))</f>
        <v>12.999000000000001</v>
      </c>
      <c r="EJ64" s="12">
        <f>IF('Données projet'!$A$192&gt;35,EJ63+EI64-ER63,IF(A64&lt;'Données projet'!$A$192,$EG$205^A64,IF(A64='Données projet'!$A$192,'Données projet'!$B$192,EJ63+EI64-ER63)))</f>
        <v>352.36999999999989</v>
      </c>
      <c r="EK64" s="17">
        <f>EJ64*VLOOKUP('Données projet'!$B$15,Paramètres!$A$1:$I$89,3,0)*VLOOKUP('Données projet'!$B$15,Paramètres!$A$1:$I$89,5,0)</f>
        <v>164.90915999999996</v>
      </c>
      <c r="EL64" s="13">
        <f t="shared" si="45"/>
        <v>41.947835096187085</v>
      </c>
      <c r="EM64" s="20">
        <f t="shared" si="19"/>
        <v>360.27593312585913</v>
      </c>
      <c r="EN64" s="59">
        <f t="shared" si="20"/>
        <v>622.08811457098841</v>
      </c>
      <c r="EO64" s="59">
        <f ca="1">AVERAGE(OFFSET($EN$3,0,0,'Données projet'!$E$15+1,1))-AVERAGE(OFFSET($H$3,0,0,'Données projet'!$E$15+1,1))</f>
        <v>374.38106339726073</v>
      </c>
      <c r="EP64" s="59">
        <f t="shared" si="46"/>
        <v>296.53283288925957</v>
      </c>
      <c r="EQ64" s="15">
        <f>IF(ISNA(VLOOKUP(A64,'Données projet'!$A$191:$I$211,3,0)),0,VLOOKUP(A64,'Données projet'!$A$191:$I$211,3,0))</f>
        <v>2</v>
      </c>
      <c r="ER64" s="15">
        <f>IF(ISNA(VLOOKUP(A64,'Données projet'!$A$191:$I$211,4,0)),0,VLOOKUP(A64,'Données projet'!$A$191:$I$211,4,0))</f>
        <v>101.36000000000001</v>
      </c>
      <c r="ES64" s="16">
        <f>IF(ISNA(VLOOKUP(A64,'Données projet'!$A$191:$I$211,5,0)),0%,VLOOKUP(A64,'Données projet'!$A$191:$I$211,5,0)*VLOOKUP('Données projet'!$B$15,Paramètres!$A$1:$I$89,7,0))</f>
        <v>0.33</v>
      </c>
      <c r="ET64" s="16">
        <f>IF(ISNA(VLOOKUP(A64,'Données projet'!$A$191:$I$211,6,0)),0%,VLOOKUP(A64,'Données projet'!$A$191:$I$211,6,0)*VLOOKUP('Données projet'!$B$15,Paramètres!$A$1:$I$89,7,0))</f>
        <v>0.11000000000000001</v>
      </c>
      <c r="EU64" s="16">
        <f>IF(ISNA(VLOOKUP(A64,'Données projet'!$A$191:$I$211,7,0)),0%,VLOOKUP(A64,'Données projet'!$A$191:$I$211,7,0))</f>
        <v>0.2</v>
      </c>
      <c r="EV64" s="21">
        <f>EXP(-LN(2)/35)*EV63+(1-EXP(-LN(2)/35))/(LN(2)/35)*ER64*ES64*VLOOKUP('Données projet'!$B$15,Paramètres!$A$1:$I$89,3,0)*0.475*44/12</f>
        <v>32.948767113940768</v>
      </c>
      <c r="EW64" s="21">
        <f>EXP(-LN(2)/25)*EW63+(1-EXP(-LN(2)/25))/(LN(2)/25)*Calculateur!ER64*Calculateur!ET64*VLOOKUP('Données projet'!$B$15,Paramètres!$A$1:$I$89,3,0)*0.475*44/12</f>
        <v>23.486351232712469</v>
      </c>
      <c r="EX64" s="21">
        <f>EXP(-LN(2)/2)*EX63+(1-EXP(-LN(2)/2))/(LN(2)/2)*ER64*EU64*VLOOKUP('Données projet'!$B$15,Paramètres!$A$1:$I$89,3,0)*0.475*44/12</f>
        <v>11.836508468833424</v>
      </c>
      <c r="EY64" s="22">
        <f t="shared" si="21"/>
        <v>68.27162681548667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9">
        <f t="shared" si="0"/>
        <v>745.89901124565245</v>
      </c>
      <c r="S65" s="59">
        <f ca="1">AVERAGE(OFFSET($R$3,0,0,'Données projet'!$E$9+1,1))-AVERAGE(OFFSET($H$3,0,0,'Données projet'!$E$9+1,1))</f>
        <v>681.47578137804555</v>
      </c>
      <c r="T65" s="59">
        <f t="shared" si="34"/>
        <v>300.88511065995885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197.36183999999994</v>
      </c>
      <c r="AK65" s="13">
        <f t="shared" si="35"/>
        <v>49.163932700585988</v>
      </c>
      <c r="AL65" s="20">
        <f t="shared" si="4"/>
        <v>429.36572078685384</v>
      </c>
      <c r="AM65" s="59">
        <f t="shared" si="5"/>
        <v>691.72472374650511</v>
      </c>
      <c r="AN65" s="59">
        <f ca="1">AVERAGE(OFFSET($AM$3,0,0,'Données projet'!$E$10+1,1))-AVERAGE(OFFSET($H$3,0,0,'Données projet'!$E$10+1,1))</f>
        <v>423.80243030843661</v>
      </c>
      <c r="AO65" s="59">
        <f t="shared" si="36"/>
        <v>260.29028006191834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11.059836226011859</v>
      </c>
      <c r="AW65" s="21">
        <f>EXP(-LN(2)/2)*AW64+(1-EXP(-LN(2)/2))/(LN(2)/2)*AQ65*AT65*VLOOKUP('Données projet'!$B$10,Paramètres!$A$1:$I$89,3,0)*0.475*44/12</f>
        <v>2.8629830028804619</v>
      </c>
      <c r="AX65" s="21">
        <f t="shared" si="6"/>
        <v>13.922819228892321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11.896999999999997</v>
      </c>
      <c r="BD65" s="12">
        <f>IF('Données projet'!$A$88&gt;35,BD64+BC65-BL64,IF(A65&lt;'Données projet'!$A$88,$BA$205^A65,IF(A65='Données projet'!$A$88,'Données projet'!$B$88,BD64+BC65-BL64)))</f>
        <v>394.89399999999983</v>
      </c>
      <c r="BE65" s="13">
        <f>BD65*VLOOKUP('Données projet'!$B$11,Paramètres!$A$1:$I$89,3,0)*VLOOKUP('Données projet'!$B$11,Paramètres!$A$1:$I$89,5,0)</f>
        <v>236.14661199999995</v>
      </c>
      <c r="BF65" s="13">
        <f t="shared" si="37"/>
        <v>57.609675887529612</v>
      </c>
      <c r="BG65" s="20">
        <f t="shared" si="7"/>
        <v>511.6255347374472</v>
      </c>
      <c r="BH65" s="59">
        <f t="shared" si="8"/>
        <v>773.98453769709852</v>
      </c>
      <c r="BI65" s="59">
        <f ca="1">AVERAGE(OFFSET($BH$3,0,0,'Données projet'!$E$11+1,1))-AVERAGE(OFFSET($H$3,0,0,'Données projet'!$E$11+1,1))</f>
        <v>373.61861223558259</v>
      </c>
      <c r="BJ65" s="59">
        <f t="shared" si="38"/>
        <v>277.62293009761049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42.787019551997425</v>
      </c>
      <c r="BQ65" s="21">
        <f>EXP(-LN(2)/25)*BQ64+(1-EXP(-LN(2)/25))/(LN(2)/25)*Calculateur!BL65*Calculateur!BN65*VLOOKUP('Données projet'!$B$11,Paramètres!$A$1:$I$89,3,0)*0.475*44/12</f>
        <v>18.290764855635238</v>
      </c>
      <c r="BR65" s="21">
        <f>EXP(-LN(2)/2)*BR64+(1-EXP(-LN(2)/2))/(LN(2)/2)*BL65*BO65*VLOOKUP('Données projet'!$B$11,Paramètres!$A$1:$I$89,3,0)*0.475*44/12</f>
        <v>4.8846191248741491</v>
      </c>
      <c r="BS65" s="22">
        <f t="shared" si="9"/>
        <v>65.962403532506812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3.2051282051282071</v>
      </c>
      <c r="BY65" s="12">
        <f>IF('Données projet'!$A$114&gt;35,BY64+BX65-CG64,IF(A65&lt;'Données projet'!$A$114,$BV$205^A65,IF(A65='Données projet'!$A$114,'Données projet'!$B$114,BY64+BX65-CG64)))</f>
        <v>127.56410256410261</v>
      </c>
      <c r="BZ65" s="13">
        <f>BY65*VLOOKUP('Données projet'!$B$12,Paramètres!$A$1:$I$89,3,0)*VLOOKUP('Données projet'!$B$12,Paramètres!$A$1:$I$89,5,0)</f>
        <v>111.44000000000007</v>
      </c>
      <c r="CA65" s="13">
        <f t="shared" si="39"/>
        <v>29.670002564032032</v>
      </c>
      <c r="CB65" s="20">
        <f t="shared" si="10"/>
        <v>245.76658779902257</v>
      </c>
      <c r="CC65" s="59">
        <f t="shared" si="11"/>
        <v>508.12559075867387</v>
      </c>
      <c r="CD65" s="59">
        <f ca="1">AVERAGE(OFFSET($CC$3,0,0,'Données projet'!$E$12+1,1))-AVERAGE(OFFSET($H$3,0,0,'Données projet'!$E$12+1,1))</f>
        <v>251.30277097589737</v>
      </c>
      <c r="CE65" s="59">
        <f t="shared" si="40"/>
        <v>224.11983819941796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0.92402381430930047</v>
      </c>
      <c r="CL65" s="21">
        <f>EXP(-LN(2)/25)*CL64+(1-EXP(-LN(2)/25))/(LN(2)/25)*Calculateur!CG65*Calculateur!CI65*VLOOKUP('Données projet'!$B$12,Paramètres!$A$1:$I$89,3,0)*0.475*44/12</f>
        <v>15.519562709043061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16.443586523352362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3.4</v>
      </c>
      <c r="CT65" s="12">
        <f>IF('Données projet'!$A$140&gt;35,CT64+CS65-DB64,IF(A65&lt;'Données projet'!$A$140,$CQ$205^A65,IF(A65='Données projet'!$A$140,'Données projet'!$B$140,CT64+CS65-DB64)))</f>
        <v>191.8</v>
      </c>
      <c r="CU65" s="17">
        <f>CT65*VLOOKUP('Données projet'!$B$13,Paramètres!$A$1:$I$89,3,0)*VLOOKUP('Données projet'!$B$13,Paramètres!$A$1:$I$89,5,0)</f>
        <v>167.55648000000002</v>
      </c>
      <c r="CV65" s="13">
        <f t="shared" si="41"/>
        <v>42.542296108660942</v>
      </c>
      <c r="CW65" s="20">
        <f t="shared" si="13"/>
        <v>365.92203505591783</v>
      </c>
      <c r="CX65" s="59">
        <f t="shared" si="14"/>
        <v>628.28103801556915</v>
      </c>
      <c r="CY65" s="59">
        <f ca="1">AVERAGE(OFFSET($CX$3,0,0,'Données projet'!$E$13+1,1))-AVERAGE(OFFSET($H$3,0,0,'Données projet'!$E$13+1,1))</f>
        <v>287.28439432670405</v>
      </c>
      <c r="CZ65" s="59">
        <f t="shared" si="42"/>
        <v>276.01618888357268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3.6438984664431997</v>
      </c>
      <c r="DG65" s="21">
        <f>EXP(-LN(2)/25)*DG64+(1-EXP(-LN(2)/25))/(LN(2)/25)*Calculateur!DB65*Calculateur!DD65*VLOOKUP('Données projet'!$B$13,Paramètres!$A$1:$I$89,3,0)*0.475*44/12</f>
        <v>10.477406359375442</v>
      </c>
      <c r="DH65" s="21">
        <f>EXP(-LN(2)/2)*DH64+(1-EXP(-LN(2)/2))/(LN(2)/2)*DB65*DE65*VLOOKUP('Données projet'!$B$13,Paramètres!$A$1:$I$89,3,0)*0.475*44/12</f>
        <v>1.1823194732010891</v>
      </c>
      <c r="DI65" s="22">
        <f t="shared" si="15"/>
        <v>15.303624299019729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2.1794871794871797</v>
      </c>
      <c r="DO65" s="12">
        <f>IF('Données projet'!$A$166&gt;35,DO64+DN65-DW64,IF(A65&lt;'Données projet'!$A$166,$DL$205^A65,IF(A65='Données projet'!$A$166,'Données projet'!$B$166,DO64+DN65-DW64)))</f>
        <v>71.666666666666643</v>
      </c>
      <c r="DP65" s="17">
        <f>DO65*VLOOKUP('Données projet'!$B$14,Paramètres!$A$1:$I$89,3,0)*VLOOKUP('Données projet'!$B$14,Paramètres!$A$1:$I$89,5,0)</f>
        <v>69.315999999999974</v>
      </c>
      <c r="DQ65" s="13">
        <f t="shared" si="43"/>
        <v>19.503499311459137</v>
      </c>
      <c r="DR65" s="20">
        <f t="shared" si="16"/>
        <v>154.69396130079127</v>
      </c>
      <c r="DS65" s="59">
        <f t="shared" si="17"/>
        <v>417.05296426044259</v>
      </c>
      <c r="DT65" s="59">
        <f ca="1">AVERAGE(OFFSET($DS$3,0,0,'Données projet'!$E$14+1,1))-AVERAGE(OFFSET($H$3,0,0,'Données projet'!$E$14+1,1))</f>
        <v>206.5245935130306</v>
      </c>
      <c r="DU65" s="59">
        <f t="shared" si="44"/>
        <v>130.57011290898546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3.387077898088974</v>
      </c>
      <c r="EC65" s="21">
        <f>EXP(-LN(2)/2)*EC64+(1-EXP(-LN(2)/2))/(LN(2)/2)*DW65*DZ65*VLOOKUP('Données projet'!$B$14,Paramètres!$A$1:$I$89,3,0)*0.475*44/12</f>
        <v>0.88776269668559815</v>
      </c>
      <c r="ED65" s="22">
        <f t="shared" si="18"/>
        <v>4.274840594774572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11.997500000000002</v>
      </c>
      <c r="EJ65" s="12">
        <f>IF('Données projet'!$A$192&gt;35,EJ64+EI65-ER64,IF(A65&lt;'Données projet'!$A$192,$EG$205^A65,IF(A65='Données projet'!$A$192,'Données projet'!$B$192,EJ64+EI65-ER64)))</f>
        <v>263.00749999999988</v>
      </c>
      <c r="EK65" s="17">
        <f>EJ65*VLOOKUP('Données projet'!$B$15,Paramètres!$A$1:$I$89,3,0)*VLOOKUP('Données projet'!$B$15,Paramètres!$A$1:$I$89,5,0)</f>
        <v>123.08750999999994</v>
      </c>
      <c r="EL65" s="13">
        <f t="shared" si="45"/>
        <v>32.394042160547578</v>
      </c>
      <c r="EM65" s="20">
        <f t="shared" si="19"/>
        <v>270.79703667962025</v>
      </c>
      <c r="EN65" s="59">
        <f t="shared" si="20"/>
        <v>533.15603963927151</v>
      </c>
      <c r="EO65" s="59">
        <f ca="1">AVERAGE(OFFSET($EN$3,0,0,'Données projet'!$E$15+1,1))-AVERAGE(OFFSET($H$3,0,0,'Données projet'!$E$15+1,1))</f>
        <v>374.38106339726073</v>
      </c>
      <c r="EP65" s="59">
        <f t="shared" si="46"/>
        <v>296.53283288925957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32.302661887599939</v>
      </c>
      <c r="EW65" s="21">
        <f>EXP(-LN(2)/25)*EW64+(1-EXP(-LN(2)/25))/(LN(2)/25)*Calculateur!ER65*Calculateur!ET65*VLOOKUP('Données projet'!$B$15,Paramètres!$A$1:$I$89,3,0)*0.475*44/12</f>
        <v>22.844115723160414</v>
      </c>
      <c r="EX65" s="21">
        <f>EXP(-LN(2)/2)*EX64+(1-EXP(-LN(2)/2))/(LN(2)/2)*ER65*EU65*VLOOKUP('Données projet'!$B$15,Paramètres!$A$1:$I$89,3,0)*0.475*44/12</f>
        <v>8.3696754038841128</v>
      </c>
      <c r="EY65" s="22">
        <f t="shared" si="21"/>
        <v>63.516453014644469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9">
        <f t="shared" si="0"/>
        <v>765.81284159595975</v>
      </c>
      <c r="S66" s="59">
        <f ca="1">AVERAGE(OFFSET($R$3,0,0,'Données projet'!$E$9+1,1))-AVERAGE(OFFSET($H$3,0,0,'Données projet'!$E$9+1,1))</f>
        <v>681.47578137804555</v>
      </c>
      <c r="T66" s="59">
        <f t="shared" si="34"/>
        <v>300.88511065995885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204.21335999999994</v>
      </c>
      <c r="AK66" s="13">
        <f t="shared" si="35"/>
        <v>50.669010210991836</v>
      </c>
      <c r="AL66" s="20">
        <f t="shared" si="4"/>
        <v>443.9201281174773</v>
      </c>
      <c r="AM66" s="59">
        <f t="shared" si="5"/>
        <v>706.81646646088348</v>
      </c>
      <c r="AN66" s="59">
        <f ca="1">AVERAGE(OFFSET($AM$3,0,0,'Données projet'!$E$10+1,1))-AVERAGE(OFFSET($H$3,0,0,'Données projet'!$E$10+1,1))</f>
        <v>423.80243030843661</v>
      </c>
      <c r="AO66" s="59">
        <f t="shared" si="36"/>
        <v>260.29028006191834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10.757404422800056</v>
      </c>
      <c r="AW66" s="21">
        <f>EXP(-LN(2)/2)*AW65+(1-EXP(-LN(2)/2))/(LN(2)/2)*AQ66*AT66*VLOOKUP('Données projet'!$B$10,Paramètres!$A$1:$I$89,3,0)*0.475*44/12</f>
        <v>2.0244346957585995</v>
      </c>
      <c r="AX66" s="21">
        <f t="shared" si="6"/>
        <v>12.781839118558654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11.896999999999997</v>
      </c>
      <c r="BD66" s="12">
        <f>IF('Données projet'!$A$88&gt;35,BD65+BC66-BL65,IF(A66&lt;'Données projet'!$A$88,$BA$205^A66,IF(A66='Données projet'!$A$88,'Données projet'!$B$88,BD65+BC66-BL65)))</f>
        <v>406.79099999999983</v>
      </c>
      <c r="BE66" s="13">
        <f>BD66*VLOOKUP('Données projet'!$B$11,Paramètres!$A$1:$I$89,3,0)*VLOOKUP('Données projet'!$B$11,Paramètres!$A$1:$I$89,5,0)</f>
        <v>243.26101799999989</v>
      </c>
      <c r="BF66" s="13">
        <f t="shared" si="37"/>
        <v>59.140602334121624</v>
      </c>
      <c r="BG66" s="20">
        <f t="shared" si="7"/>
        <v>526.68282208192829</v>
      </c>
      <c r="BH66" s="59">
        <f t="shared" si="8"/>
        <v>789.57916042533441</v>
      </c>
      <c r="BI66" s="59">
        <f ca="1">AVERAGE(OFFSET($BH$3,0,0,'Données projet'!$E$11+1,1))-AVERAGE(OFFSET($H$3,0,0,'Données projet'!$E$11+1,1))</f>
        <v>373.61861223558259</v>
      </c>
      <c r="BJ66" s="59">
        <f t="shared" si="38"/>
        <v>277.62293009761049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41.947992196087768</v>
      </c>
      <c r="BQ66" s="21">
        <f>EXP(-LN(2)/25)*BQ65+(1-EXP(-LN(2)/25))/(LN(2)/25)*Calculateur!BL66*Calculateur!BN66*VLOOKUP('Données projet'!$B$11,Paramètres!$A$1:$I$89,3,0)*0.475*44/12</f>
        <v>17.790602928788374</v>
      </c>
      <c r="BR66" s="21">
        <f>EXP(-LN(2)/2)*BR65+(1-EXP(-LN(2)/2))/(LN(2)/2)*BL66*BO66*VLOOKUP('Données projet'!$B$11,Paramètres!$A$1:$I$89,3,0)*0.475*44/12</f>
        <v>3.4539473067120103</v>
      </c>
      <c r="BS66" s="22">
        <f t="shared" si="9"/>
        <v>63.192542431588151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3.2051282051282071</v>
      </c>
      <c r="BY66" s="12">
        <f>IF('Données projet'!$A$114&gt;35,BY65+BX66-CG65,IF(A66&lt;'Données projet'!$A$114,$BV$205^A66,IF(A66='Données projet'!$A$114,'Données projet'!$B$114,BY65+BX66-CG65)))</f>
        <v>130.76923076923083</v>
      </c>
      <c r="BZ66" s="13">
        <f>BY66*VLOOKUP('Données projet'!$B$12,Paramètres!$A$1:$I$89,3,0)*VLOOKUP('Données projet'!$B$12,Paramètres!$A$1:$I$89,5,0)</f>
        <v>114.24000000000007</v>
      </c>
      <c r="CA66" s="13">
        <f t="shared" si="39"/>
        <v>30.327752098158413</v>
      </c>
      <c r="CB66" s="20">
        <f t="shared" si="10"/>
        <v>251.78883490429266</v>
      </c>
      <c r="CC66" s="59">
        <f t="shared" si="11"/>
        <v>514.6851732476988</v>
      </c>
      <c r="CD66" s="59">
        <f ca="1">AVERAGE(OFFSET($CC$3,0,0,'Données projet'!$E$12+1,1))-AVERAGE(OFFSET($H$3,0,0,'Données projet'!$E$12+1,1))</f>
        <v>251.30277097589737</v>
      </c>
      <c r="CE66" s="59">
        <f t="shared" si="40"/>
        <v>224.11983819941796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0.90590427090957104</v>
      </c>
      <c r="CL66" s="21">
        <f>EXP(-LN(2)/25)*CL65+(1-EXP(-LN(2)/25))/(LN(2)/25)*Calculateur!CG66*Calculateur!CI66*VLOOKUP('Données projet'!$B$12,Paramètres!$A$1:$I$89,3,0)*0.475*44/12</f>
        <v>15.095179450625947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16.001083721535519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3.4</v>
      </c>
      <c r="CT66" s="12">
        <f>IF('Données projet'!$A$140&gt;35,CT65+CS66-DB65,IF(A66&lt;'Données projet'!$A$140,$CQ$205^A66,IF(A66='Données projet'!$A$140,'Données projet'!$B$140,CT65+CS66-DB65)))</f>
        <v>195.20000000000002</v>
      </c>
      <c r="CU66" s="17">
        <f>CT66*VLOOKUP('Données projet'!$B$13,Paramètres!$A$1:$I$89,3,0)*VLOOKUP('Données projet'!$B$13,Paramètres!$A$1:$I$89,5,0)</f>
        <v>170.52672000000004</v>
      </c>
      <c r="CV66" s="13">
        <f t="shared" si="41"/>
        <v>43.207970095682747</v>
      </c>
      <c r="CW66" s="20">
        <f t="shared" si="13"/>
        <v>372.25458524998089</v>
      </c>
      <c r="CX66" s="59">
        <f t="shared" si="14"/>
        <v>635.15092359338701</v>
      </c>
      <c r="CY66" s="59">
        <f ca="1">AVERAGE(OFFSET($CX$3,0,0,'Données projet'!$E$13+1,1))-AVERAGE(OFFSET($H$3,0,0,'Données projet'!$E$13+1,1))</f>
        <v>287.28439432670405</v>
      </c>
      <c r="CZ66" s="59">
        <f t="shared" si="42"/>
        <v>276.01618888357268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3.5724438400748535</v>
      </c>
      <c r="DG66" s="21">
        <f>EXP(-LN(2)/25)*DG65+(1-EXP(-LN(2)/25))/(LN(2)/25)*Calculateur!DB66*Calculateur!DD66*VLOOKUP('Données projet'!$B$13,Paramètres!$A$1:$I$89,3,0)*0.475*44/12</f>
        <v>10.190901131495465</v>
      </c>
      <c r="DH66" s="21">
        <f>EXP(-LN(2)/2)*DH65+(1-EXP(-LN(2)/2))/(LN(2)/2)*DB66*DE66*VLOOKUP('Données projet'!$B$13,Paramètres!$A$1:$I$89,3,0)*0.475*44/12</f>
        <v>0.83602611702939666</v>
      </c>
      <c r="DI66" s="22">
        <f t="shared" si="15"/>
        <v>14.599371088599716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2.1794871794871797</v>
      </c>
      <c r="DO66" s="12">
        <f>IF('Données projet'!$A$166&gt;35,DO65+DN66-DW65,IF(A66&lt;'Données projet'!$A$166,$DL$205^A66,IF(A66='Données projet'!$A$166,'Données projet'!$B$166,DO65+DN66-DW65)))</f>
        <v>73.846153846153825</v>
      </c>
      <c r="DP66" s="17">
        <f>DO66*VLOOKUP('Données projet'!$B$14,Paramètres!$A$1:$I$89,3,0)*VLOOKUP('Données projet'!$B$14,Paramètres!$A$1:$I$89,5,0)</f>
        <v>71.423999999999978</v>
      </c>
      <c r="DQ66" s="13">
        <f t="shared" si="43"/>
        <v>20.026671414251194</v>
      </c>
      <c r="DR66" s="20">
        <f t="shared" si="16"/>
        <v>159.27658604648744</v>
      </c>
      <c r="DS66" s="59">
        <f t="shared" si="17"/>
        <v>422.17292438989352</v>
      </c>
      <c r="DT66" s="59">
        <f ca="1">AVERAGE(OFFSET($DS$3,0,0,'Données projet'!$E$14+1,1))-AVERAGE(OFFSET($H$3,0,0,'Données projet'!$E$14+1,1))</f>
        <v>206.5245935130306</v>
      </c>
      <c r="DU66" s="59">
        <f t="shared" si="44"/>
        <v>130.57011290898546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3.2944580748470456</v>
      </c>
      <c r="EC66" s="21">
        <f>EXP(-LN(2)/2)*EC65+(1-EXP(-LN(2)/2))/(LN(2)/2)*DW66*DZ66*VLOOKUP('Données projet'!$B$14,Paramètres!$A$1:$I$89,3,0)*0.475*44/12</f>
        <v>0.62774302291084261</v>
      </c>
      <c r="ED66" s="22">
        <f t="shared" si="18"/>
        <v>3.9222010977578883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11.997500000000002</v>
      </c>
      <c r="EJ66" s="12">
        <f>IF('Données projet'!$A$192&gt;35,EJ65+EI66-ER65,IF(A66&lt;'Données projet'!$A$192,$EG$205^A66,IF(A66='Données projet'!$A$192,'Données projet'!$B$192,EJ65+EI66-ER65)))</f>
        <v>275.00499999999988</v>
      </c>
      <c r="EK66" s="17">
        <f>EJ66*VLOOKUP('Données projet'!$B$15,Paramètres!$A$1:$I$89,3,0)*VLOOKUP('Données projet'!$B$15,Paramètres!$A$1:$I$89,5,0)</f>
        <v>128.70233999999996</v>
      </c>
      <c r="EL66" s="13">
        <f t="shared" si="45"/>
        <v>33.69633335682834</v>
      </c>
      <c r="EM66" s="20">
        <f t="shared" si="19"/>
        <v>282.84435609647596</v>
      </c>
      <c r="EN66" s="59">
        <f t="shared" si="20"/>
        <v>545.74069443988208</v>
      </c>
      <c r="EO66" s="59">
        <f ca="1">AVERAGE(OFFSET($EN$3,0,0,'Données projet'!$E$15+1,1))-AVERAGE(OFFSET($H$3,0,0,'Données projet'!$E$15+1,1))</f>
        <v>374.38106339726073</v>
      </c>
      <c r="EP66" s="59">
        <f t="shared" si="46"/>
        <v>296.53283288925957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31.669226390662377</v>
      </c>
      <c r="EW66" s="21">
        <f>EXP(-LN(2)/25)*EW65+(1-EXP(-LN(2)/25))/(LN(2)/25)*Calculateur!ER66*Calculateur!ET66*VLOOKUP('Données projet'!$B$15,Paramètres!$A$1:$I$89,3,0)*0.475*44/12</f>
        <v>22.219442177390757</v>
      </c>
      <c r="EX66" s="21">
        <f>EXP(-LN(2)/2)*EX65+(1-EXP(-LN(2)/2))/(LN(2)/2)*ER66*EU66*VLOOKUP('Données projet'!$B$15,Paramètres!$A$1:$I$89,3,0)*0.475*44/12</f>
        <v>5.9182542344167128</v>
      </c>
      <c r="EY66" s="22">
        <f t="shared" si="21"/>
        <v>59.806922802469849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9">
        <f t="shared" ref="R67:R130" si="55">Q67+(I67+J67)*44/12</f>
        <v>785.70156154047936</v>
      </c>
      <c r="S67" s="59">
        <f ca="1">AVERAGE(OFFSET($R$3,0,0,'Données projet'!$E$9+1,1))-AVERAGE(OFFSET($H$3,0,0,'Données projet'!$E$9+1,1))</f>
        <v>681.47578137804555</v>
      </c>
      <c r="T67" s="59">
        <f t="shared" si="34"/>
        <v>300.88511065995885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211.06487999999993</v>
      </c>
      <c r="AK67" s="13">
        <f t="shared" si="35"/>
        <v>52.168220223304395</v>
      </c>
      <c r="AL67" s="20">
        <f t="shared" si="4"/>
        <v>458.46431622225504</v>
      </c>
      <c r="AM67" s="59">
        <f t="shared" si="5"/>
        <v>721.88866838180979</v>
      </c>
      <c r="AN67" s="59">
        <f ca="1">AVERAGE(OFFSET($AM$3,0,0,'Données projet'!$E$10+1,1))-AVERAGE(OFFSET($H$3,0,0,'Données projet'!$E$10+1,1))</f>
        <v>423.80243030843661</v>
      </c>
      <c r="AO67" s="59">
        <f t="shared" si="36"/>
        <v>260.29028006191834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10.463242633151276</v>
      </c>
      <c r="AW67" s="21">
        <f>EXP(-LN(2)/2)*AW66+(1-EXP(-LN(2)/2))/(LN(2)/2)*AQ67*AT67*VLOOKUP('Données projet'!$B$10,Paramètres!$A$1:$I$89,3,0)*0.475*44/12</f>
        <v>1.431491501440231</v>
      </c>
      <c r="AX67" s="21">
        <f t="shared" si="6"/>
        <v>11.894734134591507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11.896999999999997</v>
      </c>
      <c r="BD67" s="12">
        <f>IF('Données projet'!$A$88&gt;35,BD66+BC67-BL66,IF(A67&lt;'Données projet'!$A$88,$BA$205^A67,IF(A67='Données projet'!$A$88,'Données projet'!$B$88,BD66+BC67-BL66)))</f>
        <v>418.68799999999982</v>
      </c>
      <c r="BE67" s="13">
        <f>BD67*VLOOKUP('Données projet'!$B$11,Paramètres!$A$1:$I$89,3,0)*VLOOKUP('Données projet'!$B$11,Paramètres!$A$1:$I$89,5,0)</f>
        <v>250.37542399999992</v>
      </c>
      <c r="BF67" s="13">
        <f t="shared" si="37"/>
        <v>60.666325229387866</v>
      </c>
      <c r="BG67" s="20">
        <f t="shared" si="7"/>
        <v>541.73104657451711</v>
      </c>
      <c r="BH67" s="59">
        <f t="shared" si="8"/>
        <v>805.15539873407192</v>
      </c>
      <c r="BI67" s="59">
        <f ca="1">AVERAGE(OFFSET($BH$3,0,0,'Données projet'!$E$11+1,1))-AVERAGE(OFFSET($H$3,0,0,'Données projet'!$E$11+1,1))</f>
        <v>373.61861223558259</v>
      </c>
      <c r="BJ67" s="59">
        <f t="shared" si="38"/>
        <v>277.62293009761049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41.125417654871342</v>
      </c>
      <c r="BQ67" s="21">
        <f>EXP(-LN(2)/25)*BQ66+(1-EXP(-LN(2)/25))/(LN(2)/25)*Calculateur!BL67*Calculateur!BN67*VLOOKUP('Données projet'!$B$11,Paramètres!$A$1:$I$89,3,0)*0.475*44/12</f>
        <v>17.30411795613351</v>
      </c>
      <c r="BR67" s="21">
        <f>EXP(-LN(2)/2)*BR66+(1-EXP(-LN(2)/2))/(LN(2)/2)*BL67*BO67*VLOOKUP('Données projet'!$B$11,Paramètres!$A$1:$I$89,3,0)*0.475*44/12</f>
        <v>2.442309562437075</v>
      </c>
      <c r="BS67" s="22">
        <f t="shared" si="9"/>
        <v>60.871845173441926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3.2051282051282071</v>
      </c>
      <c r="BY67" s="12">
        <f>IF('Données projet'!$A$114&gt;35,BY66+BX67-CG66,IF(A67&lt;'Données projet'!$A$114,$BV$205^A67,IF(A67='Données projet'!$A$114,'Données projet'!$B$114,BY66+BX67-CG66)))</f>
        <v>133.97435897435903</v>
      </c>
      <c r="BZ67" s="13">
        <f>BY67*VLOOKUP('Données projet'!$B$12,Paramètres!$A$1:$I$89,3,0)*VLOOKUP('Données projet'!$B$12,Paramètres!$A$1:$I$89,5,0)</f>
        <v>117.04000000000006</v>
      </c>
      <c r="CA67" s="13">
        <f t="shared" si="39"/>
        <v>30.983627587514309</v>
      </c>
      <c r="CB67" s="20">
        <f t="shared" si="10"/>
        <v>257.80781804825421</v>
      </c>
      <c r="CC67" s="59">
        <f t="shared" si="11"/>
        <v>521.23217020780896</v>
      </c>
      <c r="CD67" s="59">
        <f ca="1">AVERAGE(OFFSET($CC$3,0,0,'Données projet'!$E$12+1,1))-AVERAGE(OFFSET($H$3,0,0,'Données projet'!$E$12+1,1))</f>
        <v>251.30277097589737</v>
      </c>
      <c r="CE67" s="59">
        <f t="shared" si="40"/>
        <v>224.11983819941796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0.88814004070408015</v>
      </c>
      <c r="CL67" s="21">
        <f>EXP(-LN(2)/25)*CL66+(1-EXP(-LN(2)/25))/(LN(2)/25)*Calculateur!CG67*Calculateur!CI67*VLOOKUP('Données projet'!$B$12,Paramètres!$A$1:$I$89,3,0)*0.475*44/12</f>
        <v>14.682400974727594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15.570541015431674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3.4</v>
      </c>
      <c r="CT67" s="12">
        <f>IF('Données projet'!$A$140&gt;35,CT66+CS67-DB66,IF(A67&lt;'Données projet'!$A$140,$CQ$205^A67,IF(A67='Données projet'!$A$140,'Données projet'!$B$140,CT66+CS67-DB66)))</f>
        <v>198.60000000000002</v>
      </c>
      <c r="CU67" s="17">
        <f>CT67*VLOOKUP('Données projet'!$B$13,Paramètres!$A$1:$I$89,3,0)*VLOOKUP('Données projet'!$B$13,Paramètres!$A$1:$I$89,5,0)</f>
        <v>173.49696000000003</v>
      </c>
      <c r="CV67" s="13">
        <f t="shared" si="41"/>
        <v>43.872295751131787</v>
      </c>
      <c r="CW67" s="20">
        <f t="shared" si="13"/>
        <v>378.58478709988793</v>
      </c>
      <c r="CX67" s="59">
        <f t="shared" si="14"/>
        <v>642.00913925944269</v>
      </c>
      <c r="CY67" s="59">
        <f ca="1">AVERAGE(OFFSET($CX$3,0,0,'Données projet'!$E$13+1,1))-AVERAGE(OFFSET($H$3,0,0,'Données projet'!$E$13+1,1))</f>
        <v>287.28439432670405</v>
      </c>
      <c r="CZ67" s="59">
        <f t="shared" si="42"/>
        <v>276.01618888357268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3.502390395346572</v>
      </c>
      <c r="DG67" s="21">
        <f>EXP(-LN(2)/25)*DG66+(1-EXP(-LN(2)/25))/(LN(2)/25)*Calculateur!DB67*Calculateur!DD67*VLOOKUP('Données projet'!$B$13,Paramètres!$A$1:$I$89,3,0)*0.475*44/12</f>
        <v>9.9122304041385227</v>
      </c>
      <c r="DH67" s="21">
        <f>EXP(-LN(2)/2)*DH66+(1-EXP(-LN(2)/2))/(LN(2)/2)*DB67*DE67*VLOOKUP('Données projet'!$B$13,Paramètres!$A$1:$I$89,3,0)*0.475*44/12</f>
        <v>0.59115973660054455</v>
      </c>
      <c r="DI67" s="22">
        <f t="shared" si="15"/>
        <v>14.00578053608564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2.1794871794871797</v>
      </c>
      <c r="DO67" s="12">
        <f>IF('Données projet'!$A$166&gt;35,DO66+DN67-DW66,IF(A67&lt;'Données projet'!$A$166,$DL$205^A67,IF(A67='Données projet'!$A$166,'Données projet'!$B$166,DO66+DN67-DW66)))</f>
        <v>76.025641025641008</v>
      </c>
      <c r="DP67" s="17">
        <f>DO67*VLOOKUP('Données projet'!$B$14,Paramètres!$A$1:$I$89,3,0)*VLOOKUP('Données projet'!$B$14,Paramètres!$A$1:$I$89,5,0)</f>
        <v>73.531999999999982</v>
      </c>
      <c r="DQ67" s="13">
        <f t="shared" si="43"/>
        <v>20.548049011340446</v>
      </c>
      <c r="DR67" s="20">
        <f t="shared" si="16"/>
        <v>163.85608536141791</v>
      </c>
      <c r="DS67" s="59">
        <f t="shared" si="17"/>
        <v>427.28043752097267</v>
      </c>
      <c r="DT67" s="59">
        <f ca="1">AVERAGE(OFFSET($DS$3,0,0,'Données projet'!$E$14+1,1))-AVERAGE(OFFSET($H$3,0,0,'Données projet'!$E$14+1,1))</f>
        <v>206.5245935130306</v>
      </c>
      <c r="DU67" s="59">
        <f t="shared" si="44"/>
        <v>130.57011290898546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3.2043709455423324</v>
      </c>
      <c r="EC67" s="21">
        <f>EXP(-LN(2)/2)*EC66+(1-EXP(-LN(2)/2))/(LN(2)/2)*DW67*DZ67*VLOOKUP('Données projet'!$B$14,Paramètres!$A$1:$I$89,3,0)*0.475*44/12</f>
        <v>0.44388134834279908</v>
      </c>
      <c r="ED67" s="22">
        <f t="shared" si="18"/>
        <v>3.6482522938851316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11.997500000000002</v>
      </c>
      <c r="EJ67" s="12">
        <f>IF('Données projet'!$A$192&gt;35,EJ66+EI67-ER66,IF(A67&lt;'Données projet'!$A$192,$EG$205^A67,IF(A67='Données projet'!$A$192,'Données projet'!$B$192,EJ66+EI67-ER66)))</f>
        <v>287.00249999999988</v>
      </c>
      <c r="EK67" s="17">
        <f>EJ67*VLOOKUP('Données projet'!$B$15,Paramètres!$A$1:$I$89,3,0)*VLOOKUP('Données projet'!$B$15,Paramètres!$A$1:$I$89,5,0)</f>
        <v>134.31716999999995</v>
      </c>
      <c r="EL67" s="13">
        <f t="shared" si="45"/>
        <v>34.992025911781333</v>
      </c>
      <c r="EM67" s="20">
        <f t="shared" si="19"/>
        <v>294.88018287968566</v>
      </c>
      <c r="EN67" s="59">
        <f t="shared" si="20"/>
        <v>558.30453503924036</v>
      </c>
      <c r="EO67" s="59">
        <f ca="1">AVERAGE(OFFSET($EN$3,0,0,'Données projet'!$E$15+1,1))-AVERAGE(OFFSET($H$3,0,0,'Données projet'!$E$15+1,1))</f>
        <v>374.38106339726073</v>
      </c>
      <c r="EP67" s="59">
        <f t="shared" si="46"/>
        <v>296.53283288925957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31.048212177462258</v>
      </c>
      <c r="EW67" s="21">
        <f>EXP(-LN(2)/25)*EW66+(1-EXP(-LN(2)/25))/(LN(2)/25)*Calculateur!ER67*Calculateur!ET67*VLOOKUP('Données projet'!$B$15,Paramètres!$A$1:$I$89,3,0)*0.475*44/12</f>
        <v>21.611850362580327</v>
      </c>
      <c r="EX67" s="21">
        <f>EXP(-LN(2)/2)*EX66+(1-EXP(-LN(2)/2))/(LN(2)/2)*ER67*EU67*VLOOKUP('Données projet'!$B$15,Paramètres!$A$1:$I$89,3,0)*0.475*44/12</f>
        <v>4.1848377019420573</v>
      </c>
      <c r="EY67" s="22">
        <f t="shared" si="21"/>
        <v>56.844900241984647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9">
        <f t="shared" si="55"/>
        <v>805.5660000255416</v>
      </c>
      <c r="S68" s="59">
        <f ca="1">AVERAGE(OFFSET($R$3,0,0,'Données projet'!$E$9+1,1))-AVERAGE(OFFSET($H$3,0,0,'Données projet'!$E$9+1,1))</f>
        <v>681.47578137804555</v>
      </c>
      <c r="T68" s="59">
        <f t="shared" si="34"/>
        <v>300.88511065995885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217.91639999999992</v>
      </c>
      <c r="AK68" s="13">
        <f t="shared" si="35"/>
        <v>53.661775051402536</v>
      </c>
      <c r="AL68" s="20">
        <f t="shared" ref="AL68:AL131" si="58">(AJ68+AK68)*0.475*44/12</f>
        <v>472.99865488119258</v>
      </c>
      <c r="AM68" s="59">
        <f t="shared" ref="AM68:AM131" si="59">AL68+(AD68+AE68)*44/12</f>
        <v>736.94186099764784</v>
      </c>
      <c r="AN68" s="59">
        <f ca="1">AVERAGE(OFFSET($AM$3,0,0,'Données projet'!$E$10+1,1))-AVERAGE(OFFSET($H$3,0,0,'Données projet'!$E$10+1,1))</f>
        <v>423.80243030843661</v>
      </c>
      <c r="AO68" s="59">
        <f t="shared" si="36"/>
        <v>260.29028006191834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0.1075</v>
      </c>
      <c r="AT68" s="16">
        <f>IF(ISNA(VLOOKUP(A68,'Données projet'!$A$61:$I$81,7,0)),0%,VLOOKUP(A68,'Données projet'!$A$61:$I$81,7,0))</f>
        <v>0.25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12.542586543644562</v>
      </c>
      <c r="AW68" s="21">
        <f>EXP(-LN(2)/2)*AW67+(1-EXP(-LN(2)/2))/(LN(2)/2)*AQ68*AT68*VLOOKUP('Données projet'!$B$10,Paramètres!$A$1:$I$89,3,0)*0.475*44/12</f>
        <v>5.7259834605563587</v>
      </c>
      <c r="AX68" s="21">
        <f t="shared" ref="AX68:AX131" si="60">SUM(AU68:AW68)</f>
        <v>18.268570004200921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11.896999999999997</v>
      </c>
      <c r="BD68" s="12">
        <f>IF('Données projet'!$A$88&gt;35,BD67+BC68-BL67,IF(A68&lt;'Données projet'!$A$88,$BA$205^A68,IF(A68='Données projet'!$A$88,'Données projet'!$B$88,BD67+BC68-BL67)))</f>
        <v>430.58499999999981</v>
      </c>
      <c r="BE68" s="13">
        <f>BD68*VLOOKUP('Données projet'!$B$11,Paramètres!$A$1:$I$89,3,0)*VLOOKUP('Données projet'!$B$11,Paramètres!$A$1:$I$89,5,0)</f>
        <v>257.48982999999993</v>
      </c>
      <c r="BF68" s="13">
        <f t="shared" si="37"/>
        <v>62.187009415011673</v>
      </c>
      <c r="BG68" s="20">
        <f t="shared" ref="BG68:BG131" si="61">(BE68+BF68)*0.475*44/12</f>
        <v>556.77049531447858</v>
      </c>
      <c r="BH68" s="59">
        <f t="shared" ref="BH68:BH131" si="62">BG68+(AY68+AZ68)*44/12</f>
        <v>820.71370143093372</v>
      </c>
      <c r="BI68" s="59">
        <f ca="1">AVERAGE(OFFSET($BH$3,0,0,'Données projet'!$E$11+1,1))-AVERAGE(OFFSET($H$3,0,0,'Données projet'!$E$11+1,1))</f>
        <v>373.61861223558259</v>
      </c>
      <c r="BJ68" s="59">
        <f t="shared" si="38"/>
        <v>277.62293009761049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40.31897329868724</v>
      </c>
      <c r="BQ68" s="21">
        <f>EXP(-LN(2)/25)*BQ67+(1-EXP(-LN(2)/25))/(LN(2)/25)*Calculateur!BL68*Calculateur!BN68*VLOOKUP('Données projet'!$B$11,Paramètres!$A$1:$I$89,3,0)*0.475*44/12</f>
        <v>16.830935940639026</v>
      </c>
      <c r="BR68" s="21">
        <f>EXP(-LN(2)/2)*BR67+(1-EXP(-LN(2)/2))/(LN(2)/2)*BL68*BO68*VLOOKUP('Données projet'!$B$11,Paramètres!$A$1:$I$89,3,0)*0.475*44/12</f>
        <v>1.7269736533560056</v>
      </c>
      <c r="BS68" s="22">
        <f t="shared" ref="BS68:BS131" si="63">SUM(BP68:BR68)</f>
        <v>58.876882892682268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137.17948717948718</v>
      </c>
      <c r="BW68" s="12">
        <f>VLOOKUP(A68,'Données projet'!$A$113:$I$133,9,0)</f>
        <v>3.2051282051282071</v>
      </c>
      <c r="BX68" s="12">
        <f t="array" ref="BX68">INDEX(BW:BW,MIN(IF(ISNUMBER(BW68:BW264),ROW(BW68:BW264),"")))</f>
        <v>3.2051282051282071</v>
      </c>
      <c r="BY68" s="12">
        <f>IF('Données projet'!$A$114&gt;35,BY67+BX68-CG67,IF(A68&lt;'Données projet'!$A$114,$BV$205^A68,IF(A68='Données projet'!$A$114,'Données projet'!$B$114,BY67+BX68-CG67)))</f>
        <v>137.17948717948724</v>
      </c>
      <c r="BZ68" s="13">
        <f>BY68*VLOOKUP('Données projet'!$B$12,Paramètres!$A$1:$I$89,3,0)*VLOOKUP('Données projet'!$B$12,Paramètres!$A$1:$I$89,5,0)</f>
        <v>119.84000000000006</v>
      </c>
      <c r="CA68" s="13">
        <f t="shared" si="39"/>
        <v>31.637679024355371</v>
      </c>
      <c r="CB68" s="20">
        <f t="shared" ref="CB68:CB131" si="64">(BZ68+CA68)*0.475*44/12</f>
        <v>263.82362430075239</v>
      </c>
      <c r="CC68" s="59">
        <f t="shared" ref="CC68:CC131" si="65">CB68+(BT68+BU68)*44/12</f>
        <v>527.76683041720753</v>
      </c>
      <c r="CD68" s="59">
        <f ca="1">AVERAGE(OFFSET($CC$3,0,0,'Données projet'!$E$12+1,1))-AVERAGE(OFFSET($H$3,0,0,'Données projet'!$E$12+1,1))</f>
        <v>251.30277097589737</v>
      </c>
      <c r="CE68" s="59">
        <f t="shared" si="40"/>
        <v>224.11983819941796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10.897435897435898</v>
      </c>
      <c r="CH68" s="16">
        <f>IF(ISNA(VLOOKUP(A68,'Données projet'!$A$113:$I$133,5,0)),0%,VLOOKUP(A68,'Données projet'!$A$113:$I$133,5,0)*VLOOKUP('Données projet'!$B$12,Paramètres!$A$1:$I$89,7,0))</f>
        <v>4.3000000000000003E-2</v>
      </c>
      <c r="CI68" s="16">
        <f>IF(ISNA(VLOOKUP(A68,'Données projet'!$A$113:$I$133,6,0)),0%,VLOOKUP(A68,'Données projet'!$A$113:$I$133,6,0)*VLOOKUP('Données projet'!$B$12,Paramètres!$A$1:$I$89,7,0))</f>
        <v>0.215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1.3232595107834171</v>
      </c>
      <c r="CL68" s="21">
        <f>EXP(-LN(2)/25)*CL67+(1-EXP(-LN(2)/25))/(LN(2)/25)*Calculateur!CG68*Calculateur!CI68*VLOOKUP('Données projet'!$B$12,Paramètres!$A$1:$I$89,3,0)*0.475*44/12</f>
        <v>16.534677700185735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17.857937210969151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202</v>
      </c>
      <c r="CR68" s="12">
        <f>VLOOKUP(A68,'Données projet'!$A$139:$I$159,9,0)</f>
        <v>3.4</v>
      </c>
      <c r="CS68" s="12">
        <f t="array" ref="CS68">INDEX(CR:CR,MIN(IF(ISNUMBER(CR68:CR264),ROW(CR68:CR264),"")))</f>
        <v>3.4</v>
      </c>
      <c r="CT68" s="12">
        <f>IF('Données projet'!$A$140&gt;35,CT67+CS68-DB67,IF(A68&lt;'Données projet'!$A$140,$CQ$205^A68,IF(A68='Données projet'!$A$140,'Données projet'!$B$140,CT67+CS68-DB67)))</f>
        <v>202.00000000000003</v>
      </c>
      <c r="CU68" s="17">
        <f>CT68*VLOOKUP('Données projet'!$B$13,Paramètres!$A$1:$I$89,3,0)*VLOOKUP('Données projet'!$B$13,Paramètres!$A$1:$I$89,5,0)</f>
        <v>176.46720000000005</v>
      </c>
      <c r="CV68" s="13">
        <f t="shared" si="41"/>
        <v>44.535298821989393</v>
      </c>
      <c r="CW68" s="20">
        <f t="shared" ref="CW68:CW131" si="67">(CU68+CV68)*0.475*44/12</f>
        <v>384.91268544829819</v>
      </c>
      <c r="CX68" s="59">
        <f t="shared" ref="CX68:CX131" si="68">CW68+(CO68+CP68)*44/12</f>
        <v>648.85589156475339</v>
      </c>
      <c r="CY68" s="59">
        <f ca="1">AVERAGE(OFFSET($CX$3,0,0,'Données projet'!$E$13+1,1))-AVERAGE(OFFSET($H$3,0,0,'Données projet'!$E$13+1,1))</f>
        <v>287.28439432670405</v>
      </c>
      <c r="CZ68" s="59">
        <f t="shared" si="42"/>
        <v>276.01618888357268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8</v>
      </c>
      <c r="DC68" s="16">
        <f>IF(ISNA(VLOOKUP(A68,'Données projet'!$A$139:$I$159,5,0)),0%,VLOOKUP(A68,'Données projet'!$A$139:$I$159,5,0)*VLOOKUP('Données projet'!$B$13,Paramètres!$A$1:$I$89,7,0))</f>
        <v>0.13250000000000001</v>
      </c>
      <c r="DD68" s="16">
        <f>IF(ISNA(VLOOKUP(A68,'Données projet'!$A$139:$I$159,6,0)),0%,VLOOKUP(A68,'Données projet'!$A$139:$I$159,6,0)*VLOOKUP('Données projet'!$B$13,Paramètres!$A$1:$I$89,7,0))</f>
        <v>0.13250000000000001</v>
      </c>
      <c r="DE68" s="16">
        <f>IF(ISNA(VLOOKUP(A68,'Données projet'!$A$139:$I$159,7,0)),0%,VLOOKUP(A68,'Données projet'!$A$139:$I$159,7,0))</f>
        <v>0.25</v>
      </c>
      <c r="DF68" s="21">
        <f>EXP(-LN(2)/35)*DF67+(1-EXP(-LN(2)/35))/(LN(2)/35)*DB68*DC68*VLOOKUP('Données projet'!$B$13,Paramètres!$A$1:$I$89,3,0)*0.475*44/12</f>
        <v>4.457393914914614</v>
      </c>
      <c r="DG68" s="21">
        <f>EXP(-LN(2)/25)*DG67+(1-EXP(-LN(2)/25))/(LN(2)/25)*Calculateur!DB68*Calculateur!DD68*VLOOKUP('Données projet'!$B$13,Paramètres!$A$1:$I$89,3,0)*0.475*44/12</f>
        <v>10.660832570404917</v>
      </c>
      <c r="DH68" s="21">
        <f>EXP(-LN(2)/2)*DH67+(1-EXP(-LN(2)/2))/(LN(2)/2)*DB68*DE68*VLOOKUP('Données projet'!$B$13,Paramètres!$A$1:$I$89,3,0)*0.475*44/12</f>
        <v>2.0665432837132327</v>
      </c>
      <c r="DI68" s="22">
        <f t="shared" ref="DI68:DI131" si="69">SUM(DF68:DH68)</f>
        <v>17.184769769032766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78.205128205128204</v>
      </c>
      <c r="DM68" s="12">
        <f>VLOOKUP(A68,'Données projet'!$A$165:$I$185,9,0)</f>
        <v>2.1794871794871797</v>
      </c>
      <c r="DN68" s="12">
        <f t="array" ref="DN68">INDEX(DM:DM,MIN(IF(ISNUMBER(DM68:DM264),ROW(DM68:DM264),"")))</f>
        <v>2.1794871794871797</v>
      </c>
      <c r="DO68" s="12">
        <f>IF('Données projet'!$A$166&gt;35,DO67+DN68-DW67,IF(A68&lt;'Données projet'!$A$166,$DL$205^A68,IF(A68='Données projet'!$A$166,'Données projet'!$B$166,DO67+DN68-DW67)))</f>
        <v>78.20512820512819</v>
      </c>
      <c r="DP68" s="17">
        <f>DO68*VLOOKUP('Données projet'!$B$14,Paramètres!$A$1:$I$89,3,0)*VLOOKUP('Données projet'!$B$14,Paramètres!$A$1:$I$89,5,0)</f>
        <v>75.639999999999986</v>
      </c>
      <c r="DQ68" s="13">
        <f t="shared" si="43"/>
        <v>21.067689455585086</v>
      </c>
      <c r="DR68" s="20">
        <f t="shared" ref="DR68:DR131" si="70">(DP68+DQ68)*0.475*44/12</f>
        <v>168.43255913514398</v>
      </c>
      <c r="DS68" s="59">
        <f t="shared" ref="DS68:DS131" si="71">DR68+(DJ68+DK68)*44/12</f>
        <v>432.3757652515992</v>
      </c>
      <c r="DT68" s="59">
        <f ca="1">AVERAGE(OFFSET($DS$3,0,0,'Données projet'!$E$14+1,1))-AVERAGE(OFFSET($H$3,0,0,'Données projet'!$E$14+1,1))</f>
        <v>206.5245935130306</v>
      </c>
      <c r="DU68" s="59">
        <f t="shared" si="44"/>
        <v>130.57011290898546</v>
      </c>
      <c r="DV68" s="15">
        <f>IF(ISNA(VLOOKUP(A68,'Données projet'!$A$165:$I$185,3,0)),0,VLOOKUP(A68,'Données projet'!$A$165:$I$185,3,0))</f>
        <v>9</v>
      </c>
      <c r="DW68" s="15">
        <f>IF(ISNA(VLOOKUP(A68,'Données projet'!$A$165:$I$185,4,0)),0,VLOOKUP(A68,'Données projet'!$A$165:$I$185,4,0))</f>
        <v>6.4102564102564097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0.1075</v>
      </c>
      <c r="DZ68" s="16">
        <f>IF(ISNA(VLOOKUP(A68,'Données projet'!$A$165:$I$185,7,0)),0%,VLOOKUP(A68,'Données projet'!$A$165:$I$185,7,0))</f>
        <v>0.25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3.8506422148600219</v>
      </c>
      <c r="EC68" s="21">
        <f>EXP(-LN(2)/2)*EC67+(1-EXP(-LN(2)/2))/(LN(2)/2)*DW68*DZ68*VLOOKUP('Données projet'!$B$14,Paramètres!$A$1:$I$89,3,0)*0.475*44/12</f>
        <v>1.7763382290937728</v>
      </c>
      <c r="ED68" s="22">
        <f t="shared" ref="ED68:ED131" si="72">SUM(EA68:EC68)</f>
        <v>5.6269804439537943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11.997500000000002</v>
      </c>
      <c r="EJ68" s="12">
        <f>IF('Données projet'!$A$192&gt;35,EJ67+EI68-ER67,IF(A68&lt;'Données projet'!$A$192,$EG$205^A68,IF(A68='Données projet'!$A$192,'Données projet'!$B$192,EJ67+EI68-ER67)))</f>
        <v>298.99999999999989</v>
      </c>
      <c r="EK68" s="17">
        <f>EJ68*VLOOKUP('Données projet'!$B$15,Paramètres!$A$1:$I$89,3,0)*VLOOKUP('Données projet'!$B$15,Paramètres!$A$1:$I$89,5,0)</f>
        <v>139.93199999999996</v>
      </c>
      <c r="EL68" s="13">
        <f t="shared" si="45"/>
        <v>36.281427209452353</v>
      </c>
      <c r="EM68" s="20">
        <f t="shared" ref="EM68:EM131" si="73">(EK68+EL68)*0.475*44/12</f>
        <v>306.90505238979614</v>
      </c>
      <c r="EN68" s="59">
        <f t="shared" ref="EN68:EN131" si="74">EM68+(EE68+EF68)*44/12</f>
        <v>570.84825850625134</v>
      </c>
      <c r="EO68" s="59">
        <f ca="1">AVERAGE(OFFSET($EN$3,0,0,'Données projet'!$E$15+1,1))-AVERAGE(OFFSET($H$3,0,0,'Données projet'!$E$15+1,1))</f>
        <v>374.38106339726073</v>
      </c>
      <c r="EP68" s="59">
        <f t="shared" si="46"/>
        <v>296.53283288925957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30.439375674201724</v>
      </c>
      <c r="EW68" s="21">
        <f>EXP(-LN(2)/25)*EW67+(1-EXP(-LN(2)/25))/(LN(2)/25)*Calculateur!ER68*Calculateur!ET68*VLOOKUP('Données projet'!$B$15,Paramètres!$A$1:$I$89,3,0)*0.475*44/12</f>
        <v>21.020873177897752</v>
      </c>
      <c r="EX68" s="21">
        <f>EXP(-LN(2)/2)*EX67+(1-EXP(-LN(2)/2))/(LN(2)/2)*ER68*EU68*VLOOKUP('Données projet'!$B$15,Paramètres!$A$1:$I$89,3,0)*0.475*44/12</f>
        <v>2.9591271172083569</v>
      </c>
      <c r="EY68" s="22">
        <f t="shared" ref="EY68:EY131" si="75">SUM(EV68:EX68)</f>
        <v>54.419375969307829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9">
        <f t="shared" si="55"/>
        <v>825.40693167601057</v>
      </c>
      <c r="S69" s="59">
        <f ca="1">AVERAGE(OFFSET($R$3,0,0,'Données projet'!$E$9+1,1))-AVERAGE(OFFSET($H$3,0,0,'Données projet'!$E$9+1,1))</f>
        <v>681.47578137804555</v>
      </c>
      <c r="T69" s="59">
        <f t="shared" ref="T69:T132" si="88">$T$3</f>
        <v>300.88511065995885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204.40367999999995</v>
      </c>
      <c r="AK69" s="13">
        <f t="shared" ref="AK69:AK132" si="89">EXP(-1.0587+0.8836*LN(AJ69)+0.284)</f>
        <v>50.710733146553501</v>
      </c>
      <c r="AL69" s="20">
        <f t="shared" si="58"/>
        <v>444.32426956358057</v>
      </c>
      <c r="AM69" s="59">
        <f t="shared" si="59"/>
        <v>708.7773286807676</v>
      </c>
      <c r="AN69" s="59">
        <f ca="1">AVERAGE(OFFSET($AM$3,0,0,'Données projet'!$E$10+1,1))-AVERAGE(OFFSET($H$3,0,0,'Données projet'!$E$10+1,1))</f>
        <v>423.80243030843661</v>
      </c>
      <c r="AO69" s="59">
        <f t="shared" ref="AO69:AO132" si="90">$AO$3</f>
        <v>260.29028006191834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12.199608855022642</v>
      </c>
      <c r="AW69" s="21">
        <f>EXP(-LN(2)/2)*AW68+(1-EXP(-LN(2)/2))/(LN(2)/2)*AQ69*AT69*VLOOKUP('Données projet'!$B$10,Paramètres!$A$1:$I$89,3,0)*0.475*44/12</f>
        <v>4.0488817339214158</v>
      </c>
      <c r="AX69" s="21">
        <f t="shared" si="60"/>
        <v>16.248490588944058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11.896999999999997</v>
      </c>
      <c r="BD69" s="12">
        <f>IF('Données projet'!$A$88&gt;35,BD68+BC69-BL68,IF(A69&lt;'Données projet'!$A$88,$BA$205^A69,IF(A69='Données projet'!$A$88,'Données projet'!$B$88,BD68+BC69-BL68)))</f>
        <v>442.4819999999998</v>
      </c>
      <c r="BE69" s="13">
        <f>BD69*VLOOKUP('Données projet'!$B$11,Paramètres!$A$1:$I$89,3,0)*VLOOKUP('Données projet'!$B$11,Paramètres!$A$1:$I$89,5,0)</f>
        <v>264.6042359999999</v>
      </c>
      <c r="BF69" s="13">
        <f t="shared" ref="BF69:BF132" si="91">EXP(-1.0587+0.8836*LN(BE69)+0.284)</f>
        <v>63.702810105204811</v>
      </c>
      <c r="BG69" s="20">
        <f t="shared" si="61"/>
        <v>571.80143863323156</v>
      </c>
      <c r="BH69" s="59">
        <f t="shared" si="62"/>
        <v>836.25449775041864</v>
      </c>
      <c r="BI69" s="59">
        <f ca="1">AVERAGE(OFFSET($BH$3,0,0,'Données projet'!$E$11+1,1))-AVERAGE(OFFSET($H$3,0,0,'Données projet'!$E$11+1,1))</f>
        <v>373.61861223558259</v>
      </c>
      <c r="BJ69" s="59">
        <f t="shared" ref="BJ69:BJ132" si="92">$BJ$3</f>
        <v>277.62293009761049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39.528342824445424</v>
      </c>
      <c r="BQ69" s="21">
        <f>EXP(-LN(2)/25)*BQ68+(1-EXP(-LN(2)/25))/(LN(2)/25)*Calculateur!BL69*Calculateur!BN69*VLOOKUP('Données projet'!$B$11,Paramètres!$A$1:$I$89,3,0)*0.475*44/12</f>
        <v>16.370693112241799</v>
      </c>
      <c r="BR69" s="21">
        <f>EXP(-LN(2)/2)*BR68+(1-EXP(-LN(2)/2))/(LN(2)/2)*BL69*BO69*VLOOKUP('Données projet'!$B$11,Paramètres!$A$1:$I$89,3,0)*0.475*44/12</f>
        <v>1.2211547812185377</v>
      </c>
      <c r="BS69" s="22">
        <f t="shared" si="63"/>
        <v>57.120190717905764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2.9487179487179476</v>
      </c>
      <c r="BY69" s="12">
        <f>IF('Données projet'!$A$114&gt;35,BY68+BX69-CG68,IF(A69&lt;'Données projet'!$A$114,$BV$205^A69,IF(A69='Données projet'!$A$114,'Données projet'!$B$114,BY68+BX69-CG68)))</f>
        <v>129.23076923076928</v>
      </c>
      <c r="BZ69" s="13">
        <f>BY69*VLOOKUP('Données projet'!$B$12,Paramètres!$A$1:$I$89,3,0)*VLOOKUP('Données projet'!$B$12,Paramètres!$A$1:$I$89,5,0)</f>
        <v>112.89600000000007</v>
      </c>
      <c r="CA69" s="13">
        <f t="shared" ref="CA69:CA132" si="93">EXP(-1.0587+0.8836*LN(BZ69)+0.284)</f>
        <v>30.012269379763588</v>
      </c>
      <c r="CB69" s="20">
        <f t="shared" si="64"/>
        <v>248.89856916975501</v>
      </c>
      <c r="CC69" s="59">
        <f t="shared" si="65"/>
        <v>513.35162828694206</v>
      </c>
      <c r="CD69" s="59">
        <f ca="1">AVERAGE(OFFSET($CC$3,0,0,'Données projet'!$E$12+1,1))-AVERAGE(OFFSET($H$3,0,0,'Données projet'!$E$12+1,1))</f>
        <v>251.30277097589737</v>
      </c>
      <c r="CE69" s="59">
        <f t="shared" ref="CE69:CE132" si="94">$CE$3</f>
        <v>224.11983819941796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1.2973111988855606</v>
      </c>
      <c r="CL69" s="21">
        <f>EXP(-LN(2)/25)*CL68+(1-EXP(-LN(2)/25))/(LN(2)/25)*Calculateur!CG69*Calculateur!CI69*VLOOKUP('Données projet'!$B$12,Paramètres!$A$1:$I$89,3,0)*0.475*44/12</f>
        <v>16.082536068953246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17.379847267838805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</v>
      </c>
      <c r="CT69" s="12">
        <f>IF('Données projet'!$A$140&gt;35,CT68+CS69-DB68,IF(A69&lt;'Données projet'!$A$140,$CQ$205^A69,IF(A69='Données projet'!$A$140,'Données projet'!$B$140,CT68+CS69-DB68)))</f>
        <v>197.00000000000003</v>
      </c>
      <c r="CU69" s="17">
        <f>CT69*VLOOKUP('Données projet'!$B$13,Paramètres!$A$1:$I$89,3,0)*VLOOKUP('Données projet'!$B$13,Paramètres!$A$1:$I$89,5,0)</f>
        <v>172.09920000000005</v>
      </c>
      <c r="CV69" s="13">
        <f t="shared" ref="CV69:CV132" si="95">EXP(-1.0587+0.8836*LN(CU69)+0.284)</f>
        <v>43.559838214506989</v>
      </c>
      <c r="CW69" s="20">
        <f t="shared" si="67"/>
        <v>375.60615822359978</v>
      </c>
      <c r="CX69" s="59">
        <f t="shared" si="68"/>
        <v>640.05921734078686</v>
      </c>
      <c r="CY69" s="59">
        <f ca="1">AVERAGE(OFFSET($CX$3,0,0,'Données projet'!$E$13+1,1))-AVERAGE(OFFSET($H$3,0,0,'Données projet'!$E$13+1,1))</f>
        <v>287.28439432670405</v>
      </c>
      <c r="CZ69" s="59">
        <f t="shared" ref="CZ69:CZ132" si="96">$CZ$3</f>
        <v>276.01618888357268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4.3699871389849729</v>
      </c>
      <c r="DG69" s="21">
        <f>EXP(-LN(2)/25)*DG68+(1-EXP(-LN(2)/25))/(LN(2)/25)*Calculateur!DB69*Calculateur!DD69*VLOOKUP('Données projet'!$B$13,Paramètres!$A$1:$I$89,3,0)*0.475*44/12</f>
        <v>10.369311543138375</v>
      </c>
      <c r="DH69" s="21">
        <f>EXP(-LN(2)/2)*DH68+(1-EXP(-LN(2)/2))/(LN(2)/2)*DB69*DE69*VLOOKUP('Données projet'!$B$13,Paramètres!$A$1:$I$89,3,0)*0.475*44/12</f>
        <v>1.4612667695291424</v>
      </c>
      <c r="DI69" s="22">
        <f t="shared" si="69"/>
        <v>16.200565451652491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2.3076923076923066</v>
      </c>
      <c r="DO69" s="12">
        <f>IF('Données projet'!$A$166&gt;35,DO68+DN69-DW68,IF(A69&lt;'Données projet'!$A$166,$DL$205^A69,IF(A69='Données projet'!$A$166,'Données projet'!$B$166,DO68+DN69-DW68)))</f>
        <v>74.102564102564088</v>
      </c>
      <c r="DP69" s="17">
        <f>DO69*VLOOKUP('Données projet'!$B$14,Paramètres!$A$1:$I$89,3,0)*VLOOKUP('Données projet'!$B$14,Paramètres!$A$1:$I$89,5,0)</f>
        <v>71.671999999999983</v>
      </c>
      <c r="DQ69" s="13">
        <f t="shared" ref="DQ69:DQ132" si="97">EXP(-1.0587+0.8836*LN(DP69)+0.284)</f>
        <v>20.088101954163189</v>
      </c>
      <c r="DR69" s="20">
        <f t="shared" si="70"/>
        <v>159.81551090350086</v>
      </c>
      <c r="DS69" s="59">
        <f t="shared" si="71"/>
        <v>424.26857002068795</v>
      </c>
      <c r="DT69" s="59">
        <f ca="1">AVERAGE(OFFSET($DS$3,0,0,'Données projet'!$E$14+1,1))-AVERAGE(OFFSET($H$3,0,0,'Données projet'!$E$14+1,1))</f>
        <v>206.5245935130306</v>
      </c>
      <c r="DU69" s="59">
        <f t="shared" ref="DU69:DU132" si="98">$DU$3</f>
        <v>130.57011290898546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3.7453462009982013</v>
      </c>
      <c r="EC69" s="21">
        <f>EXP(-LN(2)/2)*EC68+(1-EXP(-LN(2)/2))/(LN(2)/2)*DW69*DZ69*VLOOKUP('Données projet'!$B$14,Paramètres!$A$1:$I$89,3,0)*0.475*44/12</f>
        <v>1.2560608074731099</v>
      </c>
      <c r="ED69" s="22">
        <f t="shared" si="72"/>
        <v>5.0014070084713111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11.997500000000002</v>
      </c>
      <c r="EJ69" s="12">
        <f>IF('Données projet'!$A$192&gt;35,EJ68+EI69-ER68,IF(A69&lt;'Données projet'!$A$192,$EG$205^A69,IF(A69='Données projet'!$A$192,'Données projet'!$B$192,EJ68+EI69-ER68)))</f>
        <v>310.99749999999989</v>
      </c>
      <c r="EK69" s="17">
        <f>EJ69*VLOOKUP('Données projet'!$B$15,Paramètres!$A$1:$I$89,3,0)*VLOOKUP('Données projet'!$B$15,Paramètres!$A$1:$I$89,5,0)</f>
        <v>145.54682999999994</v>
      </c>
      <c r="EL69" s="13">
        <f t="shared" ref="EL69:EL132" si="99">EXP(-1.0587+0.8836*LN(EK69)+0.284)</f>
        <v>37.564818569836</v>
      </c>
      <c r="EM69" s="20">
        <f t="shared" si="73"/>
        <v>318.91945459246426</v>
      </c>
      <c r="EN69" s="59">
        <f t="shared" si="74"/>
        <v>583.37251370965134</v>
      </c>
      <c r="EO69" s="59">
        <f ca="1">AVERAGE(OFFSET($EN$3,0,0,'Données projet'!$E$15+1,1))-AVERAGE(OFFSET($H$3,0,0,'Données projet'!$E$15+1,1))</f>
        <v>374.38106339726073</v>
      </c>
      <c r="EP69" s="59">
        <f t="shared" ref="EP69:EP132" si="100">$EP$3</f>
        <v>296.53283288925957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29.84247808341653</v>
      </c>
      <c r="EW69" s="21">
        <f>EXP(-LN(2)/25)*EW68+(1-EXP(-LN(2)/25))/(LN(2)/25)*Calculateur!ER69*Calculateur!ET69*VLOOKUP('Données projet'!$B$15,Paramètres!$A$1:$I$89,3,0)*0.475*44/12</f>
        <v>20.446056295408461</v>
      </c>
      <c r="EX69" s="21">
        <f>EXP(-LN(2)/2)*EX68+(1-EXP(-LN(2)/2))/(LN(2)/2)*ER69*EU69*VLOOKUP('Données projet'!$B$15,Paramètres!$A$1:$I$89,3,0)*0.475*44/12</f>
        <v>2.0924188509710291</v>
      </c>
      <c r="EY69" s="22">
        <f t="shared" si="75"/>
        <v>52.38095322979602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9">
        <f t="shared" si="55"/>
        <v>741.74944613631033</v>
      </c>
      <c r="S70" s="59">
        <f ca="1">AVERAGE(OFFSET($R$3,0,0,'Données projet'!$E$9+1,1))-AVERAGE(OFFSET($H$3,0,0,'Données projet'!$E$9+1,1))</f>
        <v>681.47578137804555</v>
      </c>
      <c r="T70" s="59">
        <f t="shared" si="88"/>
        <v>300.88511065995885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210.87455999999995</v>
      </c>
      <c r="AK70" s="13">
        <f t="shared" si="89"/>
        <v>52.126652811854591</v>
      </c>
      <c r="AL70" s="20">
        <f t="shared" si="58"/>
        <v>458.06044564731332</v>
      </c>
      <c r="AM70" s="59">
        <f t="shared" si="59"/>
        <v>723.01451295553022</v>
      </c>
      <c r="AN70" s="59">
        <f ca="1">AVERAGE(OFFSET($AM$3,0,0,'Données projet'!$E$10+1,1))-AVERAGE(OFFSET($H$3,0,0,'Données projet'!$E$10+1,1))</f>
        <v>423.80243030843661</v>
      </c>
      <c r="AO70" s="59">
        <f t="shared" si="90"/>
        <v>260.29028006191834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11.866009909332501</v>
      </c>
      <c r="AW70" s="21">
        <f>EXP(-LN(2)/2)*AW69+(1-EXP(-LN(2)/2))/(LN(2)/2)*AQ70*AT70*VLOOKUP('Données projet'!$B$10,Paramètres!$A$1:$I$89,3,0)*0.475*44/12</f>
        <v>2.8629917302781798</v>
      </c>
      <c r="AX70" s="21">
        <f t="shared" si="60"/>
        <v>14.729001639610681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11.896999999999997</v>
      </c>
      <c r="BD70" s="12">
        <f>IF('Données projet'!$A$88&gt;35,BD69+BC70-BL69,IF(A70&lt;'Données projet'!$A$88,$BA$205^A70,IF(A70='Données projet'!$A$88,'Données projet'!$B$88,BD69+BC70-BL69)))</f>
        <v>454.37899999999979</v>
      </c>
      <c r="BE70" s="13">
        <f>BD70*VLOOKUP('Données projet'!$B$11,Paramètres!$A$1:$I$89,3,0)*VLOOKUP('Données projet'!$B$11,Paramètres!$A$1:$I$89,5,0)</f>
        <v>271.71864199999993</v>
      </c>
      <c r="BF70" s="13">
        <f t="shared" si="91"/>
        <v>65.213873692530555</v>
      </c>
      <c r="BG70" s="20">
        <f t="shared" si="61"/>
        <v>586.82413149782394</v>
      </c>
      <c r="BH70" s="59">
        <f t="shared" si="62"/>
        <v>851.77819880604079</v>
      </c>
      <c r="BI70" s="59">
        <f ca="1">AVERAGE(OFFSET($BH$3,0,0,'Données projet'!$E$11+1,1))-AVERAGE(OFFSET($H$3,0,0,'Données projet'!$E$11+1,1))</f>
        <v>373.61861223558259</v>
      </c>
      <c r="BJ70" s="59">
        <f t="shared" si="92"/>
        <v>277.62293009761049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38.753216131566518</v>
      </c>
      <c r="BQ70" s="21">
        <f>EXP(-LN(2)/25)*BQ69+(1-EXP(-LN(2)/25))/(LN(2)/25)*Calculateur!BL70*Calculateur!BN70*VLOOKUP('Données projet'!$B$11,Paramètres!$A$1:$I$89,3,0)*0.475*44/12</f>
        <v>15.923035648190211</v>
      </c>
      <c r="BR70" s="21">
        <f>EXP(-LN(2)/2)*BR69+(1-EXP(-LN(2)/2))/(LN(2)/2)*BL70*BO70*VLOOKUP('Données projet'!$B$11,Paramètres!$A$1:$I$89,3,0)*0.475*44/12</f>
        <v>0.86348682667800292</v>
      </c>
      <c r="BS70" s="22">
        <f t="shared" si="63"/>
        <v>55.539738606434732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2.9487179487179476</v>
      </c>
      <c r="BY70" s="12">
        <f>IF('Données projet'!$A$114&gt;35,BY69+BX70-CG69,IF(A70&lt;'Données projet'!$A$114,$BV$205^A70,IF(A70='Données projet'!$A$114,'Données projet'!$B$114,BY69+BX70-CG69)))</f>
        <v>132.17948717948724</v>
      </c>
      <c r="BZ70" s="13">
        <f>BY70*VLOOKUP('Données projet'!$B$12,Paramètres!$A$1:$I$89,3,0)*VLOOKUP('Données projet'!$B$12,Paramètres!$A$1:$I$89,5,0)</f>
        <v>115.47200000000007</v>
      </c>
      <c r="CA70" s="13">
        <f t="shared" si="93"/>
        <v>30.616565180303049</v>
      </c>
      <c r="CB70" s="20">
        <f t="shared" si="64"/>
        <v>254.43758435569455</v>
      </c>
      <c r="CC70" s="59">
        <f t="shared" si="65"/>
        <v>519.39165166391149</v>
      </c>
      <c r="CD70" s="59">
        <f ca="1">AVERAGE(OFFSET($CC$3,0,0,'Données projet'!$E$12+1,1))-AVERAGE(OFFSET($H$3,0,0,'Données projet'!$E$12+1,1))</f>
        <v>251.30277097589737</v>
      </c>
      <c r="CE70" s="59">
        <f t="shared" si="94"/>
        <v>224.11983819941796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1.2718717175571135</v>
      </c>
      <c r="CL70" s="21">
        <f>EXP(-LN(2)/25)*CL69+(1-EXP(-LN(2)/25))/(LN(2)/25)*Calculateur!CG70*Calculateur!CI70*VLOOKUP('Données projet'!$B$12,Paramètres!$A$1:$I$89,3,0)*0.475*44/12</f>
        <v>15.642758274403905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16.914629991961018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</v>
      </c>
      <c r="CT70" s="12">
        <f>IF('Données projet'!$A$140&gt;35,CT69+CS70-DB69,IF(A70&lt;'Données projet'!$A$140,$CQ$205^A70,IF(A70='Données projet'!$A$140,'Données projet'!$B$140,CT69+CS70-DB69)))</f>
        <v>200.00000000000003</v>
      </c>
      <c r="CU70" s="17">
        <f>CT70*VLOOKUP('Données projet'!$B$13,Paramètres!$A$1:$I$89,3,0)*VLOOKUP('Données projet'!$B$13,Paramètres!$A$1:$I$89,5,0)</f>
        <v>174.72000000000006</v>
      </c>
      <c r="CV70" s="13">
        <f t="shared" si="95"/>
        <v>44.145455754865246</v>
      </c>
      <c r="CW70" s="20">
        <f t="shared" si="67"/>
        <v>381.19066877305704</v>
      </c>
      <c r="CX70" s="59">
        <f t="shared" si="68"/>
        <v>646.144736081274</v>
      </c>
      <c r="CY70" s="59">
        <f ca="1">AVERAGE(OFFSET($CX$3,0,0,'Données projet'!$E$13+1,1))-AVERAGE(OFFSET($H$3,0,0,'Données projet'!$E$13+1,1))</f>
        <v>287.28439432670405</v>
      </c>
      <c r="CZ70" s="59">
        <f t="shared" si="96"/>
        <v>276.01618888357268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4.2842943566184433</v>
      </c>
      <c r="DG70" s="21">
        <f>EXP(-LN(2)/25)*DG69+(1-EXP(-LN(2)/25))/(LN(2)/25)*Calculateur!DB70*Calculateur!DD70*VLOOKUP('Données projet'!$B$13,Paramètres!$A$1:$I$89,3,0)*0.475*44/12</f>
        <v>10.085762173692862</v>
      </c>
      <c r="DH70" s="21">
        <f>EXP(-LN(2)/2)*DH69+(1-EXP(-LN(2)/2))/(LN(2)/2)*DB70*DE70*VLOOKUP('Données projet'!$B$13,Paramètres!$A$1:$I$89,3,0)*0.475*44/12</f>
        <v>1.0332716418566166</v>
      </c>
      <c r="DI70" s="22">
        <f t="shared" si="69"/>
        <v>15.403328172167923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2.3076923076923066</v>
      </c>
      <c r="DO70" s="12">
        <f>IF('Données projet'!$A$166&gt;35,DO69+DN70-DW69,IF(A70&lt;'Données projet'!$A$166,$DL$205^A70,IF(A70='Données projet'!$A$166,'Données projet'!$B$166,DO69+DN70-DW69)))</f>
        <v>76.410256410256395</v>
      </c>
      <c r="DP70" s="17">
        <f>DO70*VLOOKUP('Données projet'!$B$14,Paramètres!$A$1:$I$89,3,0)*VLOOKUP('Données projet'!$B$14,Paramètres!$A$1:$I$89,5,0)</f>
        <v>73.903999999999982</v>
      </c>
      <c r="DQ70" s="13">
        <f t="shared" si="97"/>
        <v>20.639874915076501</v>
      </c>
      <c r="DR70" s="20">
        <f t="shared" si="70"/>
        <v>164.66391547709154</v>
      </c>
      <c r="DS70" s="59">
        <f t="shared" si="71"/>
        <v>429.61798278530841</v>
      </c>
      <c r="DT70" s="59">
        <f ca="1">AVERAGE(OFFSET($DS$3,0,0,'Données projet'!$E$14+1,1))-AVERAGE(OFFSET($H$3,0,0,'Données projet'!$E$14+1,1))</f>
        <v>206.5245935130306</v>
      </c>
      <c r="DU70" s="59">
        <f t="shared" si="98"/>
        <v>130.57011290898546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3.6429295121727088</v>
      </c>
      <c r="EC70" s="21">
        <f>EXP(-LN(2)/2)*EC69+(1-EXP(-LN(2)/2))/(LN(2)/2)*DW70*DZ70*VLOOKUP('Données projet'!$B$14,Paramètres!$A$1:$I$89,3,0)*0.475*44/12</f>
        <v>0.88816911454688652</v>
      </c>
      <c r="ED70" s="22">
        <f t="shared" si="72"/>
        <v>4.5310986267195954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11.997500000000002</v>
      </c>
      <c r="EJ70" s="12">
        <f>IF('Données projet'!$A$192&gt;35,EJ69+EI70-ER69,IF(A70&lt;'Données projet'!$A$192,$EG$205^A70,IF(A70='Données projet'!$A$192,'Données projet'!$B$192,EJ69+EI70-ER69)))</f>
        <v>322.99499999999989</v>
      </c>
      <c r="EK70" s="17">
        <f>EJ70*VLOOKUP('Données projet'!$B$15,Paramètres!$A$1:$I$89,3,0)*VLOOKUP('Données projet'!$B$15,Paramètres!$A$1:$I$89,5,0)</f>
        <v>151.16165999999996</v>
      </c>
      <c r="EL70" s="13">
        <f t="shared" si="99"/>
        <v>38.842458378546986</v>
      </c>
      <c r="EM70" s="20">
        <f t="shared" si="73"/>
        <v>330.92383950930258</v>
      </c>
      <c r="EN70" s="59">
        <f t="shared" si="74"/>
        <v>595.87790681751949</v>
      </c>
      <c r="EO70" s="59">
        <f ca="1">AVERAGE(OFFSET($EN$3,0,0,'Données projet'!$E$15+1,1))-AVERAGE(OFFSET($H$3,0,0,'Données projet'!$E$15+1,1))</f>
        <v>374.38106339726073</v>
      </c>
      <c r="EP70" s="59">
        <f t="shared" si="100"/>
        <v>296.53283288925957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29.257285290315053</v>
      </c>
      <c r="EW70" s="21">
        <f>EXP(-LN(2)/25)*EW69+(1-EXP(-LN(2)/25))/(LN(2)/25)*Calculateur!ER70*Calculateur!ET70*VLOOKUP('Données projet'!$B$15,Paramètres!$A$1:$I$89,3,0)*0.475*44/12</f>
        <v>19.886957810799146</v>
      </c>
      <c r="EX70" s="21">
        <f>EXP(-LN(2)/2)*EX69+(1-EXP(-LN(2)/2))/(LN(2)/2)*ER70*EU70*VLOOKUP('Données projet'!$B$15,Paramètres!$A$1:$I$89,3,0)*0.475*44/12</f>
        <v>1.4795635586041787</v>
      </c>
      <c r="EY70" s="22">
        <f t="shared" si="75"/>
        <v>50.623806659718376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9">
        <f t="shared" si="55"/>
        <v>760.9075039416382</v>
      </c>
      <c r="S71" s="59">
        <f ca="1">AVERAGE(OFFSET($R$3,0,0,'Données projet'!$E$9+1,1))-AVERAGE(OFFSET($H$3,0,0,'Données projet'!$E$9+1,1))</f>
        <v>681.47578137804555</v>
      </c>
      <c r="T71" s="59">
        <f t="shared" si="88"/>
        <v>300.88511065995885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217.34543999999994</v>
      </c>
      <c r="AK71" s="13">
        <f t="shared" si="89"/>
        <v>53.537523221233471</v>
      </c>
      <c r="AL71" s="20">
        <f t="shared" si="58"/>
        <v>471.78782761031488</v>
      </c>
      <c r="AM71" s="59">
        <f t="shared" si="59"/>
        <v>737.23421173753377</v>
      </c>
      <c r="AN71" s="59">
        <f ca="1">AVERAGE(OFFSET($AM$3,0,0,'Données projet'!$E$10+1,1))-AVERAGE(OFFSET($H$3,0,0,'Données projet'!$E$10+1,1))</f>
        <v>423.80243030843661</v>
      </c>
      <c r="AO71" s="59">
        <f t="shared" si="90"/>
        <v>260.29028006191834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11.541533244355463</v>
      </c>
      <c r="AW71" s="21">
        <f>EXP(-LN(2)/2)*AW70+(1-EXP(-LN(2)/2))/(LN(2)/2)*AQ71*AT71*VLOOKUP('Données projet'!$B$10,Paramètres!$A$1:$I$89,3,0)*0.475*44/12</f>
        <v>2.0244408669607079</v>
      </c>
      <c r="AX71" s="21">
        <f t="shared" si="60"/>
        <v>13.565974111316171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11.896999999999997</v>
      </c>
      <c r="BD71" s="12">
        <f>IF('Données projet'!$A$88&gt;35,BD70+BC71-BL70,IF(A71&lt;'Données projet'!$A$88,$BA$205^A71,IF(A71='Données projet'!$A$88,'Données projet'!$B$88,BD70+BC71-BL70)))</f>
        <v>466.27599999999978</v>
      </c>
      <c r="BE71" s="13">
        <f>BD71*VLOOKUP('Données projet'!$B$11,Paramètres!$A$1:$I$89,3,0)*VLOOKUP('Données projet'!$B$11,Paramètres!$A$1:$I$89,5,0)</f>
        <v>278.83304799999985</v>
      </c>
      <c r="BF71" s="13">
        <f t="shared" si="91"/>
        <v>66.720338466956676</v>
      </c>
      <c r="BG71" s="20">
        <f t="shared" si="61"/>
        <v>601.83881476328258</v>
      </c>
      <c r="BH71" s="59">
        <f t="shared" si="62"/>
        <v>867.28519889050142</v>
      </c>
      <c r="BI71" s="59">
        <f ca="1">AVERAGE(OFFSET($BH$3,0,0,'Données projet'!$E$11+1,1))-AVERAGE(OFFSET($H$3,0,0,'Données projet'!$E$11+1,1))</f>
        <v>373.61861223558259</v>
      </c>
      <c r="BJ71" s="59">
        <f t="shared" si="92"/>
        <v>277.62293009761049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37.993289200354369</v>
      </c>
      <c r="BQ71" s="21">
        <f>EXP(-LN(2)/25)*BQ70+(1-EXP(-LN(2)/25))/(LN(2)/25)*Calculateur!BL71*Calculateur!BN71*VLOOKUP('Données projet'!$B$11,Paramètres!$A$1:$I$89,3,0)*0.475*44/12</f>
        <v>15.487619401034397</v>
      </c>
      <c r="BR71" s="21">
        <f>EXP(-LN(2)/2)*BR70+(1-EXP(-LN(2)/2))/(LN(2)/2)*BL71*BO71*VLOOKUP('Données projet'!$B$11,Paramètres!$A$1:$I$89,3,0)*0.475*44/12</f>
        <v>0.61057739060926897</v>
      </c>
      <c r="BS71" s="22">
        <f t="shared" si="63"/>
        <v>54.091485991998034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2.9487179487179476</v>
      </c>
      <c r="BY71" s="12">
        <f>IF('Données projet'!$A$114&gt;35,BY70+BX71-CG70,IF(A71&lt;'Données projet'!$A$114,$BV$205^A71,IF(A71='Données projet'!$A$114,'Données projet'!$B$114,BY70+BX71-CG70)))</f>
        <v>135.1282051282052</v>
      </c>
      <c r="BZ71" s="13">
        <f>BY71*VLOOKUP('Données projet'!$B$12,Paramètres!$A$1:$I$89,3,0)*VLOOKUP('Données projet'!$B$12,Paramètres!$A$1:$I$89,5,0)</f>
        <v>118.04800000000007</v>
      </c>
      <c r="CA71" s="13">
        <f t="shared" si="93"/>
        <v>31.219293702767786</v>
      </c>
      <c r="CB71" s="20">
        <f t="shared" si="64"/>
        <v>259.97386986565402</v>
      </c>
      <c r="CC71" s="59">
        <f t="shared" si="65"/>
        <v>525.42025399287286</v>
      </c>
      <c r="CD71" s="59">
        <f ca="1">AVERAGE(OFFSET($CC$3,0,0,'Données projet'!$E$12+1,1))-AVERAGE(OFFSET($H$3,0,0,'Données projet'!$E$12+1,1))</f>
        <v>251.30277097589737</v>
      </c>
      <c r="CE71" s="59">
        <f t="shared" si="94"/>
        <v>224.11983819941796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1.2469310889409657</v>
      </c>
      <c r="CL71" s="21">
        <f>EXP(-LN(2)/25)*CL70+(1-EXP(-LN(2)/25))/(LN(2)/25)*Calculateur!CG71*Calculateur!CI71*VLOOKUP('Données projet'!$B$12,Paramètres!$A$1:$I$89,3,0)*0.475*44/12</f>
        <v>15.215006226773424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16.46193731571439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</v>
      </c>
      <c r="CT71" s="12">
        <f>IF('Données projet'!$A$140&gt;35,CT70+CS71-DB70,IF(A71&lt;'Données projet'!$A$140,$CQ$205^A71,IF(A71='Données projet'!$A$140,'Données projet'!$B$140,CT70+CS71-DB70)))</f>
        <v>203.00000000000003</v>
      </c>
      <c r="CU71" s="17">
        <f>CT71*VLOOKUP('Données projet'!$B$13,Paramètres!$A$1:$I$89,3,0)*VLOOKUP('Données projet'!$B$13,Paramètres!$A$1:$I$89,5,0)</f>
        <v>177.34080000000003</v>
      </c>
      <c r="CV71" s="13">
        <f t="shared" si="95"/>
        <v>44.730051658603102</v>
      </c>
      <c r="CW71" s="20">
        <f t="shared" si="67"/>
        <v>386.77339997206712</v>
      </c>
      <c r="CX71" s="59">
        <f t="shared" si="68"/>
        <v>652.21978409928602</v>
      </c>
      <c r="CY71" s="59">
        <f ca="1">AVERAGE(OFFSET($CX$3,0,0,'Données projet'!$E$13+1,1))-AVERAGE(OFFSET($H$3,0,0,'Données projet'!$E$13+1,1))</f>
        <v>287.28439432670405</v>
      </c>
      <c r="CZ71" s="59">
        <f t="shared" si="96"/>
        <v>276.01618888357268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4.200281957446685</v>
      </c>
      <c r="DG71" s="21">
        <f>EXP(-LN(2)/25)*DG70+(1-EXP(-LN(2)/25))/(LN(2)/25)*Calculateur!DB71*Calculateur!DD71*VLOOKUP('Données projet'!$B$13,Paramètres!$A$1:$I$89,3,0)*0.475*44/12</f>
        <v>9.8099664766660499</v>
      </c>
      <c r="DH71" s="21">
        <f>EXP(-LN(2)/2)*DH70+(1-EXP(-LN(2)/2))/(LN(2)/2)*DB71*DE71*VLOOKUP('Données projet'!$B$13,Paramètres!$A$1:$I$89,3,0)*0.475*44/12</f>
        <v>0.73063338476457129</v>
      </c>
      <c r="DI71" s="22">
        <f t="shared" si="69"/>
        <v>14.740881818877307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2.3076923076923066</v>
      </c>
      <c r="DO71" s="12">
        <f>IF('Données projet'!$A$166&gt;35,DO70+DN71-DW70,IF(A71&lt;'Données projet'!$A$166,$DL$205^A71,IF(A71='Données projet'!$A$166,'Données projet'!$B$166,DO70+DN71-DW70)))</f>
        <v>78.717948717948701</v>
      </c>
      <c r="DP71" s="17">
        <f>DO71*VLOOKUP('Données projet'!$B$14,Paramètres!$A$1:$I$89,3,0)*VLOOKUP('Données projet'!$B$14,Paramètres!$A$1:$I$89,5,0)</f>
        <v>76.135999999999981</v>
      </c>
      <c r="DQ71" s="13">
        <f t="shared" si="97"/>
        <v>21.189711247757238</v>
      </c>
      <c r="DR71" s="20">
        <f t="shared" si="70"/>
        <v>169.50894708984382</v>
      </c>
      <c r="DS71" s="59">
        <f t="shared" si="71"/>
        <v>434.95533121706262</v>
      </c>
      <c r="DT71" s="59">
        <f ca="1">AVERAGE(OFFSET($DS$3,0,0,'Données projet'!$E$14+1,1))-AVERAGE(OFFSET($H$3,0,0,'Données projet'!$E$14+1,1))</f>
        <v>206.5245935130306</v>
      </c>
      <c r="DU71" s="59">
        <f t="shared" si="98"/>
        <v>130.57011290898546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3.5433134130890092</v>
      </c>
      <c r="EC71" s="21">
        <f>EXP(-LN(2)/2)*EC70+(1-EXP(-LN(2)/2))/(LN(2)/2)*DW71*DZ71*VLOOKUP('Données projet'!$B$14,Paramètres!$A$1:$I$89,3,0)*0.475*44/12</f>
        <v>0.62803040373655494</v>
      </c>
      <c r="ED71" s="22">
        <f t="shared" si="72"/>
        <v>4.1713438168255639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11.997500000000002</v>
      </c>
      <c r="EJ71" s="12">
        <f>IF('Données projet'!$A$192&gt;35,EJ70+EI71-ER70,IF(A71&lt;'Données projet'!$A$192,$EG$205^A71,IF(A71='Données projet'!$A$192,'Données projet'!$B$192,EJ70+EI71-ER70)))</f>
        <v>334.99249999999989</v>
      </c>
      <c r="EK71" s="17">
        <f>EJ71*VLOOKUP('Données projet'!$B$15,Paramètres!$A$1:$I$89,3,0)*VLOOKUP('Données projet'!$B$15,Paramètres!$A$1:$I$89,5,0)</f>
        <v>156.77648999999997</v>
      </c>
      <c r="EL71" s="13">
        <f t="shared" si="99"/>
        <v>40.114584738417847</v>
      </c>
      <c r="EM71" s="20">
        <f t="shared" si="73"/>
        <v>342.91862183607765</v>
      </c>
      <c r="EN71" s="59">
        <f t="shared" si="74"/>
        <v>608.36500596329643</v>
      </c>
      <c r="EO71" s="59">
        <f ca="1">AVERAGE(OFFSET($EN$3,0,0,'Données projet'!$E$15+1,1))-AVERAGE(OFFSET($H$3,0,0,'Données projet'!$E$15+1,1))</f>
        <v>374.38106339726073</v>
      </c>
      <c r="EP71" s="59">
        <f t="shared" si="100"/>
        <v>296.53283288925957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28.683567770953935</v>
      </c>
      <c r="EW71" s="21">
        <f>EXP(-LN(2)/25)*EW70+(1-EXP(-LN(2)/25))/(LN(2)/25)*Calculateur!ER71*Calculateur!ET71*VLOOKUP('Données projet'!$B$15,Paramètres!$A$1:$I$89,3,0)*0.475*44/12</f>
        <v>19.343147903653183</v>
      </c>
      <c r="EX71" s="21">
        <f>EXP(-LN(2)/2)*EX70+(1-EXP(-LN(2)/2))/(LN(2)/2)*ER71*EU71*VLOOKUP('Données projet'!$B$15,Paramètres!$A$1:$I$89,3,0)*0.475*44/12</f>
        <v>1.0462094254855145</v>
      </c>
      <c r="EY71" s="22">
        <f t="shared" si="75"/>
        <v>49.072925100092633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9">
        <f t="shared" si="55"/>
        <v>780.0421265759544</v>
      </c>
      <c r="S72" s="59">
        <f ca="1">AVERAGE(OFFSET($R$3,0,0,'Données projet'!$E$9+1,1))-AVERAGE(OFFSET($H$3,0,0,'Données projet'!$E$9+1,1))</f>
        <v>681.47578137804555</v>
      </c>
      <c r="T72" s="59">
        <f t="shared" si="88"/>
        <v>300.88511065995885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223.81631999999999</v>
      </c>
      <c r="AK72" s="13">
        <f t="shared" si="89"/>
        <v>54.94351196072666</v>
      </c>
      <c r="AL72" s="20">
        <f t="shared" si="58"/>
        <v>485.50670733159899</v>
      </c>
      <c r="AM72" s="59">
        <f t="shared" si="59"/>
        <v>751.43686768166549</v>
      </c>
      <c r="AN72" s="59">
        <f ca="1">AVERAGE(OFFSET($AM$3,0,0,'Données projet'!$E$10+1,1))-AVERAGE(OFFSET($H$3,0,0,'Données projet'!$E$10+1,1))</f>
        <v>423.80243030843661</v>
      </c>
      <c r="AO72" s="59">
        <f t="shared" si="90"/>
        <v>260.29028006191834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11.225929410845708</v>
      </c>
      <c r="AW72" s="21">
        <f>EXP(-LN(2)/2)*AW71+(1-EXP(-LN(2)/2))/(LN(2)/2)*AQ72*AT72*VLOOKUP('Données projet'!$B$10,Paramètres!$A$1:$I$89,3,0)*0.475*44/12</f>
        <v>1.4314958651390899</v>
      </c>
      <c r="AX72" s="21">
        <f t="shared" si="60"/>
        <v>12.657425275984798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11.896999999999997</v>
      </c>
      <c r="BD72" s="12">
        <f>IF('Données projet'!$A$88&gt;35,BD71+BC72-BL71,IF(A72&lt;'Données projet'!$A$88,$BA$205^A72,IF(A72='Données projet'!$A$88,'Données projet'!$B$88,BD71+BC72-BL71)))</f>
        <v>478.17299999999977</v>
      </c>
      <c r="BE72" s="13">
        <f>BD72*VLOOKUP('Données projet'!$B$11,Paramètres!$A$1:$I$89,3,0)*VLOOKUP('Données projet'!$B$11,Paramètres!$A$1:$I$89,5,0)</f>
        <v>285.94745399999988</v>
      </c>
      <c r="BF72" s="13">
        <f t="shared" si="91"/>
        <v>68.222335259457765</v>
      </c>
      <c r="BG72" s="20">
        <f t="shared" si="61"/>
        <v>616.84571629355526</v>
      </c>
      <c r="BH72" s="59">
        <f t="shared" si="62"/>
        <v>882.77587664362181</v>
      </c>
      <c r="BI72" s="59">
        <f ca="1">AVERAGE(OFFSET($BH$3,0,0,'Données projet'!$E$11+1,1))-AVERAGE(OFFSET($H$3,0,0,'Données projet'!$E$11+1,1))</f>
        <v>373.61861223558259</v>
      </c>
      <c r="BJ72" s="59">
        <f t="shared" si="92"/>
        <v>277.62293009761049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37.248263972753627</v>
      </c>
      <c r="BQ72" s="21">
        <f>EXP(-LN(2)/25)*BQ71+(1-EXP(-LN(2)/25))/(LN(2)/25)*Calculateur!BL72*Calculateur!BN72*VLOOKUP('Données projet'!$B$11,Paramètres!$A$1:$I$89,3,0)*0.475*44/12</f>
        <v>15.064109634054605</v>
      </c>
      <c r="BR72" s="21">
        <f>EXP(-LN(2)/2)*BR71+(1-EXP(-LN(2)/2))/(LN(2)/2)*BL72*BO72*VLOOKUP('Données projet'!$B$11,Paramètres!$A$1:$I$89,3,0)*0.475*44/12</f>
        <v>0.43174341333900151</v>
      </c>
      <c r="BS72" s="22">
        <f t="shared" si="63"/>
        <v>52.744117020147229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2.9487179487179476</v>
      </c>
      <c r="BY72" s="12">
        <f>IF('Données projet'!$A$114&gt;35,BY71+BX72-CG71,IF(A72&lt;'Données projet'!$A$114,$BV$205^A72,IF(A72='Données projet'!$A$114,'Données projet'!$B$114,BY71+BX72-CG71)))</f>
        <v>138.07692307692315</v>
      </c>
      <c r="BZ72" s="13">
        <f>BY72*VLOOKUP('Données projet'!$B$12,Paramètres!$A$1:$I$89,3,0)*VLOOKUP('Données projet'!$B$12,Paramètres!$A$1:$I$89,5,0)</f>
        <v>120.62400000000008</v>
      </c>
      <c r="CA72" s="13">
        <f t="shared" si="93"/>
        <v>31.820493086332782</v>
      </c>
      <c r="CB72" s="20">
        <f t="shared" si="64"/>
        <v>265.50749212536306</v>
      </c>
      <c r="CC72" s="59">
        <f t="shared" si="65"/>
        <v>531.43765247542956</v>
      </c>
      <c r="CD72" s="59">
        <f ca="1">AVERAGE(OFFSET($CC$3,0,0,'Données projet'!$E$12+1,1))-AVERAGE(OFFSET($H$3,0,0,'Données projet'!$E$12+1,1))</f>
        <v>251.30277097589737</v>
      </c>
      <c r="CE72" s="59">
        <f t="shared" si="94"/>
        <v>224.11983819941796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1.2224795308396992</v>
      </c>
      <c r="CL72" s="21">
        <f>EXP(-LN(2)/25)*CL71+(1-EXP(-LN(2)/25))/(LN(2)/25)*Calculateur!CG72*Calculateur!CI72*VLOOKUP('Données projet'!$B$12,Paramètres!$A$1:$I$89,3,0)*0.475*44/12</f>
        <v>14.798951081379901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16.0214306122196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</v>
      </c>
      <c r="CT72" s="12">
        <f>IF('Données projet'!$A$140&gt;35,CT71+CS72-DB71,IF(A72&lt;'Données projet'!$A$140,$CQ$205^A72,IF(A72='Données projet'!$A$140,'Données projet'!$B$140,CT71+CS72-DB71)))</f>
        <v>206.00000000000003</v>
      </c>
      <c r="CU72" s="17">
        <f>CT72*VLOOKUP('Données projet'!$B$13,Paramètres!$A$1:$I$89,3,0)*VLOOKUP('Données projet'!$B$13,Paramètres!$A$1:$I$89,5,0)</f>
        <v>179.96160000000006</v>
      </c>
      <c r="CV72" s="13">
        <f t="shared" si="95"/>
        <v>45.313642767960104</v>
      </c>
      <c r="CW72" s="20">
        <f t="shared" si="67"/>
        <v>392.3543811541972</v>
      </c>
      <c r="CX72" s="59">
        <f t="shared" si="68"/>
        <v>658.28454150426376</v>
      </c>
      <c r="CY72" s="59">
        <f ca="1">AVERAGE(OFFSET($CX$3,0,0,'Données projet'!$E$13+1,1))-AVERAGE(OFFSET($H$3,0,0,'Données projet'!$E$13+1,1))</f>
        <v>287.28439432670405</v>
      </c>
      <c r="CZ72" s="59">
        <f t="shared" si="96"/>
        <v>276.01618888357268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4.1179169901801806</v>
      </c>
      <c r="DG72" s="21">
        <f>EXP(-LN(2)/25)*DG71+(1-EXP(-LN(2)/25))/(LN(2)/25)*Calculateur!DB72*Calculateur!DD72*VLOOKUP('Données projet'!$B$13,Paramètres!$A$1:$I$89,3,0)*0.475*44/12</f>
        <v>9.5417124274779006</v>
      </c>
      <c r="DH72" s="21">
        <f>EXP(-LN(2)/2)*DH71+(1-EXP(-LN(2)/2))/(LN(2)/2)*DB72*DE72*VLOOKUP('Données projet'!$B$13,Paramètres!$A$1:$I$89,3,0)*0.475*44/12</f>
        <v>0.51663582092830829</v>
      </c>
      <c r="DI72" s="22">
        <f t="shared" si="69"/>
        <v>14.176265238586389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2.3076923076923066</v>
      </c>
      <c r="DO72" s="12">
        <f>IF('Données projet'!$A$166&gt;35,DO71+DN72-DW71,IF(A72&lt;'Données projet'!$A$166,$DL$205^A72,IF(A72='Données projet'!$A$166,'Données projet'!$B$166,DO71+DN72-DW71)))</f>
        <v>81.025641025641008</v>
      </c>
      <c r="DP72" s="17">
        <f>DO72*VLOOKUP('Données projet'!$B$14,Paramètres!$A$1:$I$89,3,0)*VLOOKUP('Données projet'!$B$14,Paramètres!$A$1:$I$89,5,0)</f>
        <v>78.367999999999995</v>
      </c>
      <c r="DQ72" s="13">
        <f t="shared" si="97"/>
        <v>21.737674245188956</v>
      </c>
      <c r="DR72" s="20">
        <f t="shared" si="70"/>
        <v>174.35071597703742</v>
      </c>
      <c r="DS72" s="59">
        <f t="shared" si="71"/>
        <v>440.28087632710401</v>
      </c>
      <c r="DT72" s="59">
        <f ca="1">AVERAGE(OFFSET($DS$3,0,0,'Données projet'!$E$14+1,1))-AVERAGE(OFFSET($H$3,0,0,'Données projet'!$E$14+1,1))</f>
        <v>206.5245935130306</v>
      </c>
      <c r="DU72" s="59">
        <f t="shared" si="98"/>
        <v>130.57011290898546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3.4464213214733364</v>
      </c>
      <c r="EC72" s="21">
        <f>EXP(-LN(2)/2)*EC71+(1-EXP(-LN(2)/2))/(LN(2)/2)*DW72*DZ72*VLOOKUP('Données projet'!$B$14,Paramètres!$A$1:$I$89,3,0)*0.475*44/12</f>
        <v>0.44408455727344326</v>
      </c>
      <c r="ED72" s="22">
        <f t="shared" si="72"/>
        <v>3.8905058787467794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11.997500000000002</v>
      </c>
      <c r="EJ72" s="12">
        <f>IF('Données projet'!$A$192&gt;35,EJ71+EI72-ER71,IF(A72&lt;'Données projet'!$A$192,$EG$205^A72,IF(A72='Données projet'!$A$192,'Données projet'!$B$192,EJ71+EI72-ER71)))</f>
        <v>346.9899999999999</v>
      </c>
      <c r="EK72" s="17">
        <f>EJ72*VLOOKUP('Données projet'!$B$15,Paramètres!$A$1:$I$89,3,0)*VLOOKUP('Données projet'!$B$15,Paramètres!$A$1:$I$89,5,0)</f>
        <v>162.39131999999995</v>
      </c>
      <c r="EL72" s="13">
        <f t="shared" si="99"/>
        <v>41.381417730562205</v>
      </c>
      <c r="EM72" s="20">
        <f t="shared" si="73"/>
        <v>354.90418488072902</v>
      </c>
      <c r="EN72" s="59">
        <f t="shared" si="74"/>
        <v>620.83434523079563</v>
      </c>
      <c r="EO72" s="59">
        <f ca="1">AVERAGE(OFFSET($EN$3,0,0,'Données projet'!$E$15+1,1))-AVERAGE(OFFSET($H$3,0,0,'Données projet'!$E$15+1,1))</f>
        <v>374.38106339726073</v>
      </c>
      <c r="EP72" s="59">
        <f t="shared" si="100"/>
        <v>296.53283288925957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28.121100502214357</v>
      </c>
      <c r="EW72" s="21">
        <f>EXP(-LN(2)/25)*EW71+(1-EXP(-LN(2)/25))/(LN(2)/25)*Calculateur!ER72*Calculateur!ET72*VLOOKUP('Données projet'!$B$15,Paramètres!$A$1:$I$89,3,0)*0.475*44/12</f>
        <v>18.814208507015849</v>
      </c>
      <c r="EX72" s="21">
        <f>EXP(-LN(2)/2)*EX71+(1-EXP(-LN(2)/2))/(LN(2)/2)*ER72*EU72*VLOOKUP('Données projet'!$B$15,Paramètres!$A$1:$I$89,3,0)*0.475*44/12</f>
        <v>0.73978177930208933</v>
      </c>
      <c r="EY72" s="22">
        <f t="shared" si="75"/>
        <v>47.675090788532302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9">
        <f t="shared" si="55"/>
        <v>799.15407824042381</v>
      </c>
      <c r="S73" s="59">
        <f ca="1">AVERAGE(OFFSET($R$3,0,0,'Données projet'!$E$9+1,1))-AVERAGE(OFFSET($H$3,0,0,'Données projet'!$E$9+1,1))</f>
        <v>681.47578137804555</v>
      </c>
      <c r="T73" s="59">
        <f t="shared" si="88"/>
        <v>300.88511065995885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230.28719999999998</v>
      </c>
      <c r="AK73" s="13">
        <f t="shared" si="89"/>
        <v>56.344776374959956</v>
      </c>
      <c r="AL73" s="20">
        <f t="shared" si="58"/>
        <v>499.2173588530552</v>
      </c>
      <c r="AM73" s="59">
        <f t="shared" si="59"/>
        <v>765.62290299006463</v>
      </c>
      <c r="AN73" s="59">
        <f ca="1">AVERAGE(OFFSET($AM$3,0,0,'Données projet'!$E$10+1,1))-AVERAGE(OFFSET($H$3,0,0,'Données projet'!$E$10+1,1))</f>
        <v>423.80243030843661</v>
      </c>
      <c r="AO73" s="59">
        <f t="shared" si="90"/>
        <v>260.29028006191834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0.1075</v>
      </c>
      <c r="AS73" s="16">
        <f>IF(ISNA(VLOOKUP(A73,'Données projet'!$A$61:$I$81,6,0)),0%,VLOOKUP(A73,'Données projet'!$A$61:$I$81,6,0)*VLOOKUP('Données projet'!$B$10,Paramètres!$A$1:$I$89,7,0))</f>
        <v>0.1075</v>
      </c>
      <c r="AT73" s="16">
        <f>IF(ISNA(VLOOKUP(A73,'Données projet'!$A$61:$I$81,7,0)),0%,VLOOKUP(A73,'Données projet'!$A$61:$I$81,7,0))</f>
        <v>0.25</v>
      </c>
      <c r="AU73" s="21">
        <f>EXP(-LN(2)/35)*AU72+(1-EXP(-LN(2)/35))/(LN(2)/35)*AQ73*AR73*VLOOKUP('Données projet'!$B$10,Paramètres!$A$1:$I$89,3,0)*0.475*44/12</f>
        <v>2.3748123717167258</v>
      </c>
      <c r="AV73" s="21">
        <f>EXP(-LN(2)/25)*AV72+(1-EXP(-LN(2)/25))/(LN(2)/25)*Calculateur!AQ73*Calculateur!AS73*VLOOKUP('Données projet'!$B$10,Paramètres!$A$1:$I$89,3,0)*0.475*44/12</f>
        <v>13.284417611294986</v>
      </c>
      <c r="AW73" s="21">
        <f>EXP(-LN(2)/2)*AW72+(1-EXP(-LN(2)/2))/(LN(2)/2)*AQ73*AT73*VLOOKUP('Données projet'!$B$10,Paramètres!$A$1:$I$89,3,0)*0.475*44/12</f>
        <v>5.7259865461574133</v>
      </c>
      <c r="AX73" s="21">
        <f t="shared" si="60"/>
        <v>21.385216529169124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490.07</v>
      </c>
      <c r="BB73" s="12">
        <f>VLOOKUP(A73,'Données projet'!$A$87:$I$107,9,0)</f>
        <v>11.896999999999997</v>
      </c>
      <c r="BC73" s="12">
        <f t="array" ref="BC73">INDEX(BB:BB,MIN(IF(ISNUMBER(BB73:BB269),ROW(BB73:BB269),"")))</f>
        <v>11.896999999999997</v>
      </c>
      <c r="BD73" s="12">
        <f>IF('Données projet'!$A$88&gt;35,BD72+BC73-BL72,IF(A73&lt;'Données projet'!$A$88,$BA$205^A73,IF(A73='Données projet'!$A$88,'Données projet'!$B$88,BD72+BC73-BL72)))</f>
        <v>490.06999999999977</v>
      </c>
      <c r="BE73" s="13">
        <f>BD73*VLOOKUP('Données projet'!$B$11,Paramètres!$A$1:$I$89,3,0)*VLOOKUP('Données projet'!$B$11,Paramètres!$A$1:$I$89,5,0)</f>
        <v>293.06185999999991</v>
      </c>
      <c r="BF73" s="13">
        <f t="shared" si="91"/>
        <v>69.719988019761743</v>
      </c>
      <c r="BG73" s="20">
        <f t="shared" si="61"/>
        <v>631.84505196775149</v>
      </c>
      <c r="BH73" s="59">
        <f t="shared" si="62"/>
        <v>898.25059610476092</v>
      </c>
      <c r="BI73" s="59">
        <f ca="1">AVERAGE(OFFSET($BH$3,0,0,'Données projet'!$E$11+1,1))-AVERAGE(OFFSET($H$3,0,0,'Données projet'!$E$11+1,1))</f>
        <v>373.61861223558259</v>
      </c>
      <c r="BJ73" s="59">
        <f t="shared" si="92"/>
        <v>277.62293009761049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67.88</v>
      </c>
      <c r="BM73" s="16">
        <f>IF(ISNA(VLOOKUP(A73,'Données projet'!$A$87:$I$107,5,0)),0%,VLOOKUP(A73,'Données projet'!$A$87:$I$107,5,0)*VLOOKUP('Données projet'!$B$11,Paramètres!$A$1:$I$89,7,0))</f>
        <v>0.27</v>
      </c>
      <c r="BN73" s="16">
        <f>IF(ISNA(VLOOKUP(A73,'Données projet'!$A$87:$I$107,6,0)),0%,VLOOKUP(A73,'Données projet'!$A$87:$I$107,6,0)*VLOOKUP('Données projet'!$B$11,Paramètres!$A$1:$I$89,7,0))</f>
        <v>9.0000000000000011E-2</v>
      </c>
      <c r="BO73" s="16">
        <f>IF(ISNA(VLOOKUP(A73,'Données projet'!$A$87:$I$107,7,0)),0%,VLOOKUP(A73,'Données projet'!$A$87:$I$107,7,0))</f>
        <v>0.2</v>
      </c>
      <c r="BP73" s="21">
        <f>EXP(-LN(2)/35)*BP72+(1-EXP(-LN(2)/35))/(LN(2)/35)*BL73*BM73*VLOOKUP('Données projet'!$B$11,Paramètres!$A$1:$I$89,3,0)*0.475*44/12</f>
        <v>51.056868378126822</v>
      </c>
      <c r="BQ73" s="21">
        <f>EXP(-LN(2)/25)*BQ72+(1-EXP(-LN(2)/25))/(LN(2)/25)*Calculateur!BL73*Calculateur!BN73*VLOOKUP('Données projet'!$B$11,Paramètres!$A$1:$I$89,3,0)*0.475*44/12</f>
        <v>19.479438924117112</v>
      </c>
      <c r="BR73" s="21">
        <f>EXP(-LN(2)/2)*BR72+(1-EXP(-LN(2)/2))/(LN(2)/2)*BL73*BO73*VLOOKUP('Données projet'!$B$11,Paramètres!$A$1:$I$89,3,0)*0.475*44/12</f>
        <v>9.4972577266937765</v>
      </c>
      <c r="BS73" s="22">
        <f t="shared" si="63"/>
        <v>80.033565028937701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141.02564102564102</v>
      </c>
      <c r="BW73" s="12">
        <f>VLOOKUP(A73,'Données projet'!$A$113:$I$133,9,0)</f>
        <v>2.9487179487179476</v>
      </c>
      <c r="BX73" s="12">
        <f t="array" ref="BX73">INDEX(BW:BW,MIN(IF(ISNUMBER(BW73:BW269),ROW(BW73:BW269),"")))</f>
        <v>2.9487179487179476</v>
      </c>
      <c r="BY73" s="12">
        <f>IF('Données projet'!$A$114&gt;35,BY72+BX73-CG72,IF(A73&lt;'Données projet'!$A$114,$BV$205^A73,IF(A73='Données projet'!$A$114,'Données projet'!$B$114,BY72+BX73-CG72)))</f>
        <v>141.02564102564111</v>
      </c>
      <c r="BZ73" s="13">
        <f>BY73*VLOOKUP('Données projet'!$B$12,Paramètres!$A$1:$I$89,3,0)*VLOOKUP('Données projet'!$B$12,Paramètres!$A$1:$I$89,5,0)</f>
        <v>123.20000000000007</v>
      </c>
      <c r="CA73" s="13">
        <f t="shared" si="93"/>
        <v>32.420199748143155</v>
      </c>
      <c r="CB73" s="20">
        <f t="shared" si="64"/>
        <v>271.03851456134942</v>
      </c>
      <c r="CC73" s="59">
        <f t="shared" si="65"/>
        <v>537.44405869835896</v>
      </c>
      <c r="CD73" s="59">
        <f ca="1">AVERAGE(OFFSET($CC$3,0,0,'Données projet'!$E$12+1,1))-AVERAGE(OFFSET($H$3,0,0,'Données projet'!$E$12+1,1))</f>
        <v>251.30277097589737</v>
      </c>
      <c r="CE73" s="59">
        <f t="shared" si="94"/>
        <v>224.11983819941796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10.256410256410255</v>
      </c>
      <c r="CH73" s="16">
        <f>IF(ISNA(VLOOKUP(A73,'Données projet'!$A$113:$I$133,5,0)),0%,VLOOKUP(A73,'Données projet'!$A$113:$I$133,5,0)*VLOOKUP('Données projet'!$B$12,Paramètres!$A$1:$I$89,7,0))</f>
        <v>4.3000000000000003E-2</v>
      </c>
      <c r="CI73" s="16">
        <f>IF(ISNA(VLOOKUP(A73,'Données projet'!$A$113:$I$133,6,0)),0%,VLOOKUP(A73,'Données projet'!$A$113:$I$133,6,0)*VLOOKUP('Données projet'!$B$12,Paramètres!$A$1:$I$89,7,0))</f>
        <v>0.215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1.6244230807052757</v>
      </c>
      <c r="CL73" s="21">
        <f>EXP(-LN(2)/25)*CL72+(1-EXP(-LN(2)/25))/(LN(2)/25)*Calculateur!CG73*Calculateur!CI73*VLOOKUP('Données projet'!$B$12,Paramètres!$A$1:$I$89,3,0)*0.475*44/12</f>
        <v>16.515466164382179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18.139889245087456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209</v>
      </c>
      <c r="CR73" s="12">
        <f>VLOOKUP(A73,'Données projet'!$A$139:$I$159,9,0)</f>
        <v>3</v>
      </c>
      <c r="CS73" s="12">
        <f t="array" ref="CS73">INDEX(CR:CR,MIN(IF(ISNUMBER(CR73:CR269),ROW(CR73:CR269),"")))</f>
        <v>3</v>
      </c>
      <c r="CT73" s="12">
        <f>IF('Données projet'!$A$140&gt;35,CT72+CS73-DB72,IF(A73&lt;'Données projet'!$A$140,$CQ$205^A73,IF(A73='Données projet'!$A$140,'Données projet'!$B$140,CT72+CS73-DB72)))</f>
        <v>209.00000000000003</v>
      </c>
      <c r="CU73" s="17">
        <f>CT73*VLOOKUP('Données projet'!$B$13,Paramètres!$A$1:$I$89,3,0)*VLOOKUP('Données projet'!$B$13,Paramètres!$A$1:$I$89,5,0)</f>
        <v>182.58240000000004</v>
      </c>
      <c r="CV73" s="13">
        <f t="shared" si="95"/>
        <v>45.896245406460288</v>
      </c>
      <c r="CW73" s="20">
        <f t="shared" si="67"/>
        <v>397.93364074958504</v>
      </c>
      <c r="CX73" s="59">
        <f t="shared" si="68"/>
        <v>664.33918488659447</v>
      </c>
      <c r="CY73" s="59">
        <f ca="1">AVERAGE(OFFSET($CX$3,0,0,'Données projet'!$E$13+1,1))-AVERAGE(OFFSET($H$3,0,0,'Données projet'!$E$13+1,1))</f>
        <v>287.28439432670405</v>
      </c>
      <c r="CZ73" s="59">
        <f t="shared" si="96"/>
        <v>276.01618888357268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8</v>
      </c>
      <c r="DC73" s="16">
        <f>IF(ISNA(VLOOKUP(A73,'Données projet'!$A$139:$I$159,5,0)),0%,VLOOKUP(A73,'Données projet'!$A$139:$I$159,5,0)*VLOOKUP('Données projet'!$B$13,Paramètres!$A$1:$I$89,7,0))</f>
        <v>0.13250000000000001</v>
      </c>
      <c r="DD73" s="16">
        <f>IF(ISNA(VLOOKUP(A73,'Données projet'!$A$139:$I$159,6,0)),0%,VLOOKUP(A73,'Données projet'!$A$139:$I$159,6,0)*VLOOKUP('Données projet'!$B$13,Paramètres!$A$1:$I$89,7,0))</f>
        <v>0.13250000000000001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5.0608504086576875</v>
      </c>
      <c r="DG73" s="21">
        <f>EXP(-LN(2)/25)*DG72+(1-EXP(-LN(2)/25))/(LN(2)/25)*Calculateur!DB73*Calculateur!DD73*VLOOKUP('Données projet'!$B$13,Paramètres!$A$1:$I$89,3,0)*0.475*44/12</f>
        <v>10.300446427300773</v>
      </c>
      <c r="DH73" s="21">
        <f>EXP(-LN(2)/2)*DH72+(1-EXP(-LN(2)/2))/(LN(2)/2)*DB73*DE73*VLOOKUP('Données projet'!$B$13,Paramètres!$A$1:$I$89,3,0)*0.475*44/12</f>
        <v>2.0138469175808202</v>
      </c>
      <c r="DI73" s="22">
        <f t="shared" si="69"/>
        <v>17.37514375353928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83.333333333333329</v>
      </c>
      <c r="DM73" s="12">
        <f>VLOOKUP(A73,'Données projet'!$A$165:$I$185,9,0)</f>
        <v>2.3076923076923066</v>
      </c>
      <c r="DN73" s="12">
        <f t="array" ref="DN73">INDEX(DM:DM,MIN(IF(ISNUMBER(DM73:DM269),ROW(DM73:DM269),"")))</f>
        <v>2.3076923076923066</v>
      </c>
      <c r="DO73" s="12">
        <f>IF('Données projet'!$A$166&gt;35,DO72+DN73-DW72,IF(A73&lt;'Données projet'!$A$166,$DL$205^A73,IF(A73='Données projet'!$A$166,'Données projet'!$B$166,DO72+DN73-DW72)))</f>
        <v>83.333333333333314</v>
      </c>
      <c r="DP73" s="17">
        <f>DO73*VLOOKUP('Données projet'!$B$14,Paramètres!$A$1:$I$89,3,0)*VLOOKUP('Données projet'!$B$14,Paramètres!$A$1:$I$89,5,0)</f>
        <v>80.599999999999994</v>
      </c>
      <c r="DQ73" s="13">
        <f t="shared" si="97"/>
        <v>22.283823389988751</v>
      </c>
      <c r="DR73" s="20">
        <f t="shared" si="70"/>
        <v>179.18932573756373</v>
      </c>
      <c r="DS73" s="59">
        <f t="shared" si="71"/>
        <v>445.59486987457319</v>
      </c>
      <c r="DT73" s="59">
        <f ca="1">AVERAGE(OFFSET($DS$3,0,0,'Données projet'!$E$14+1,1))-AVERAGE(OFFSET($H$3,0,0,'Données projet'!$E$14+1,1))</f>
        <v>206.5245935130306</v>
      </c>
      <c r="DU73" s="59">
        <f t="shared" si="98"/>
        <v>130.57011290898546</v>
      </c>
      <c r="DV73" s="15">
        <f>IF(ISNA(VLOOKUP(A73,'Données projet'!$A$165:$I$185,3,0)),0,VLOOKUP(A73,'Données projet'!$A$165:$I$185,3,0))</f>
        <v>10</v>
      </c>
      <c r="DW73" s="15">
        <f>IF(ISNA(VLOOKUP(A73,'Données projet'!$A$165:$I$185,4,0)),0,VLOOKUP(A73,'Données projet'!$A$165:$I$185,4,0))</f>
        <v>6.4102564102564097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0.1075</v>
      </c>
      <c r="DZ73" s="16">
        <f>IF(ISNA(VLOOKUP(A73,'Données projet'!$A$165:$I$185,7,0)),0%,VLOOKUP(A73,'Données projet'!$A$165:$I$185,7,0))</f>
        <v>0.25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4.0860737105323164</v>
      </c>
      <c r="EC73" s="21">
        <f>EXP(-LN(2)/2)*EC72+(1-EXP(-LN(2)/2))/(LN(2)/2)*DW73*DZ73*VLOOKUP('Données projet'!$B$14,Paramètres!$A$1:$I$89,3,0)*0.475*44/12</f>
        <v>1.776481919506629</v>
      </c>
      <c r="ED73" s="22">
        <f t="shared" si="72"/>
        <v>5.8625556300389459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11.997500000000002</v>
      </c>
      <c r="EJ73" s="12">
        <f>IF('Données projet'!$A$192&gt;35,EJ72+EI73-ER72,IF(A73&lt;'Données projet'!$A$192,$EG$205^A73,IF(A73='Données projet'!$A$192,'Données projet'!$B$192,EJ72+EI73-ER72)))</f>
        <v>358.9874999999999</v>
      </c>
      <c r="EK73" s="17">
        <f>EJ73*VLOOKUP('Données projet'!$B$15,Paramètres!$A$1:$I$89,3,0)*VLOOKUP('Données projet'!$B$15,Paramètres!$A$1:$I$89,5,0)</f>
        <v>168.00614999999993</v>
      </c>
      <c r="EL73" s="13">
        <f t="shared" si="99"/>
        <v>42.643161353938929</v>
      </c>
      <c r="EM73" s="20">
        <f t="shared" si="73"/>
        <v>366.88088394144347</v>
      </c>
      <c r="EN73" s="59">
        <f t="shared" si="74"/>
        <v>633.2864280784529</v>
      </c>
      <c r="EO73" s="59">
        <f ca="1">AVERAGE(OFFSET($EN$3,0,0,'Données projet'!$E$15+1,1))-AVERAGE(OFFSET($H$3,0,0,'Données projet'!$E$15+1,1))</f>
        <v>374.38106339726073</v>
      </c>
      <c r="EP73" s="59">
        <f t="shared" si="100"/>
        <v>296.53283288925957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27.569662873543603</v>
      </c>
      <c r="EW73" s="21">
        <f>EXP(-LN(2)/25)*EW72+(1-EXP(-LN(2)/25))/(LN(2)/25)*Calculateur!ER73*Calculateur!ET73*VLOOKUP('Données projet'!$B$15,Paramètres!$A$1:$I$89,3,0)*0.475*44/12</f>
        <v>18.299732985995277</v>
      </c>
      <c r="EX73" s="21">
        <f>EXP(-LN(2)/2)*EX72+(1-EXP(-LN(2)/2))/(LN(2)/2)*ER73*EU73*VLOOKUP('Données projet'!$B$15,Paramètres!$A$1:$I$89,3,0)*0.475*44/12</f>
        <v>0.52310471274275727</v>
      </c>
      <c r="EY73" s="22">
        <f t="shared" si="75"/>
        <v>46.392500572281641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9">
        <f t="shared" si="55"/>
        <v>818.24407397977234</v>
      </c>
      <c r="S74" s="59">
        <f ca="1">AVERAGE(OFFSET($R$3,0,0,'Données projet'!$E$9+1,1))-AVERAGE(OFFSET($H$3,0,0,'Données projet'!$E$9+1,1))</f>
        <v>681.47578137804555</v>
      </c>
      <c r="T74" s="59">
        <f t="shared" si="88"/>
        <v>300.88511065995885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216.20351999999997</v>
      </c>
      <c r="AK74" s="13">
        <f t="shared" si="89"/>
        <v>53.288905450648613</v>
      </c>
      <c r="AL74" s="20">
        <f t="shared" si="58"/>
        <v>469.36597432654622</v>
      </c>
      <c r="AM74" s="59">
        <f t="shared" si="59"/>
        <v>736.23865540459417</v>
      </c>
      <c r="AN74" s="59">
        <f ca="1">AVERAGE(OFFSET($AM$3,0,0,'Données projet'!$E$10+1,1))-AVERAGE(OFFSET($H$3,0,0,'Données projet'!$E$10+1,1))</f>
        <v>423.80243030843661</v>
      </c>
      <c r="AO74" s="59">
        <f t="shared" si="90"/>
        <v>260.29028006191834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2.3282437495998809</v>
      </c>
      <c r="AV74" s="21">
        <f>EXP(-LN(2)/25)*AV73+(1-EXP(-LN(2)/25))/(LN(2)/25)*Calculateur!AQ74*Calculateur!AS74*VLOOKUP('Données projet'!$B$10,Paramètres!$A$1:$I$89,3,0)*0.475*44/12</f>
        <v>12.921154513116964</v>
      </c>
      <c r="AW74" s="21">
        <f>EXP(-LN(2)/2)*AW73+(1-EXP(-LN(2)/2))/(LN(2)/2)*AQ74*AT74*VLOOKUP('Données projet'!$B$10,Paramètres!$A$1:$I$89,3,0)*0.475*44/12</f>
        <v>4.0488839157708449</v>
      </c>
      <c r="AX74" s="21">
        <f t="shared" si="60"/>
        <v>19.298282178487689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9.7839999999999971</v>
      </c>
      <c r="BD74" s="12">
        <f>IF('Données projet'!$A$88&gt;35,BD73+BC74-BL73,IF(A74&lt;'Données projet'!$A$88,$BA$205^A74,IF(A74='Données projet'!$A$88,'Données projet'!$B$88,BD73+BC74-BL73)))</f>
        <v>431.97399999999976</v>
      </c>
      <c r="BE74" s="13">
        <f>BD74*VLOOKUP('Données projet'!$B$11,Paramètres!$A$1:$I$89,3,0)*VLOOKUP('Données projet'!$B$11,Paramètres!$A$1:$I$89,5,0)</f>
        <v>258.32045199999988</v>
      </c>
      <c r="BF74" s="13">
        <f t="shared" si="91"/>
        <v>62.364231271731597</v>
      </c>
      <c r="BG74" s="20">
        <f t="shared" si="61"/>
        <v>558.52582336493231</v>
      </c>
      <c r="BH74" s="59">
        <f t="shared" si="62"/>
        <v>825.39850444298031</v>
      </c>
      <c r="BI74" s="59">
        <f ca="1">AVERAGE(OFFSET($BH$3,0,0,'Données projet'!$E$11+1,1))-AVERAGE(OFFSET($H$3,0,0,'Données projet'!$E$11+1,1))</f>
        <v>373.61861223558259</v>
      </c>
      <c r="BJ74" s="59">
        <f t="shared" si="92"/>
        <v>277.62293009761049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50.055674330846486</v>
      </c>
      <c r="BQ74" s="21">
        <f>EXP(-LN(2)/25)*BQ73+(1-EXP(-LN(2)/25))/(LN(2)/25)*Calculateur!BL74*Calculateur!BN74*VLOOKUP('Données projet'!$B$11,Paramètres!$A$1:$I$89,3,0)*0.475*44/12</f>
        <v>18.946772642357956</v>
      </c>
      <c r="BR74" s="21">
        <f>EXP(-LN(2)/2)*BR73+(1-EXP(-LN(2)/2))/(LN(2)/2)*BL74*BO74*VLOOKUP('Données projet'!$B$11,Paramètres!$A$1:$I$89,3,0)*0.475*44/12</f>
        <v>6.7155753412215047</v>
      </c>
      <c r="BS74" s="22">
        <f t="shared" si="63"/>
        <v>75.718022314425951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2.4358974358974366</v>
      </c>
      <c r="BY74" s="12">
        <f>IF('Données projet'!$A$114&gt;35,BY73+BX74-CG73,IF(A74&lt;'Données projet'!$A$114,$BV$205^A74,IF(A74='Données projet'!$A$114,'Données projet'!$B$114,BY73+BX74-CG73)))</f>
        <v>133.20512820512829</v>
      </c>
      <c r="BZ74" s="13">
        <f>BY74*VLOOKUP('Données projet'!$B$12,Paramètres!$A$1:$I$89,3,0)*VLOOKUP('Données projet'!$B$12,Paramètres!$A$1:$I$89,5,0)</f>
        <v>116.36800000000009</v>
      </c>
      <c r="CA74" s="13">
        <f t="shared" si="93"/>
        <v>30.826385665835112</v>
      </c>
      <c r="CB74" s="20">
        <f t="shared" si="64"/>
        <v>256.36355503466297</v>
      </c>
      <c r="CC74" s="59">
        <f t="shared" si="65"/>
        <v>523.23623611271091</v>
      </c>
      <c r="CD74" s="59">
        <f ca="1">AVERAGE(OFFSET($CC$3,0,0,'Données projet'!$E$12+1,1))-AVERAGE(OFFSET($H$3,0,0,'Données projet'!$E$12+1,1))</f>
        <v>251.30277097589737</v>
      </c>
      <c r="CE74" s="59">
        <f t="shared" si="94"/>
        <v>224.11983819941796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1.5925691348928912</v>
      </c>
      <c r="CL74" s="21">
        <f>EXP(-LN(2)/25)*CL73+(1-EXP(-LN(2)/25))/(LN(2)/25)*Calculateur!CG74*Calculateur!CI74*VLOOKUP('Données projet'!$B$12,Paramètres!$A$1:$I$89,3,0)*0.475*44/12</f>
        <v>16.063849873606529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17.656419008499419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2.6</v>
      </c>
      <c r="CT74" s="12">
        <f>IF('Données projet'!$A$140&gt;35,CT73+CS74-DB73,IF(A74&lt;'Données projet'!$A$140,$CQ$205^A74,IF(A74='Données projet'!$A$140,'Données projet'!$B$140,CT73+CS74-DB73)))</f>
        <v>203.60000000000002</v>
      </c>
      <c r="CU74" s="17">
        <f>CT74*VLOOKUP('Données projet'!$B$13,Paramètres!$A$1:$I$89,3,0)*VLOOKUP('Données projet'!$B$13,Paramètres!$A$1:$I$89,5,0)</f>
        <v>177.86496000000002</v>
      </c>
      <c r="CV74" s="13">
        <f t="shared" si="95"/>
        <v>44.846849734353761</v>
      </c>
      <c r="CW74" s="20">
        <f t="shared" si="67"/>
        <v>387.88973528733283</v>
      </c>
      <c r="CX74" s="59">
        <f t="shared" si="68"/>
        <v>654.76241636538077</v>
      </c>
      <c r="CY74" s="59">
        <f ca="1">AVERAGE(OFFSET($CX$3,0,0,'Données projet'!$E$13+1,1))-AVERAGE(OFFSET($H$3,0,0,'Données projet'!$E$13+1,1))</f>
        <v>287.28439432670405</v>
      </c>
      <c r="CZ74" s="59">
        <f t="shared" si="96"/>
        <v>276.01618888357268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4.9616102189578619</v>
      </c>
      <c r="DG74" s="21">
        <f>EXP(-LN(2)/25)*DG73+(1-EXP(-LN(2)/25))/(LN(2)/25)*Calculateur!DB74*Calculateur!DD74*VLOOKUP('Données projet'!$B$13,Paramètres!$A$1:$I$89,3,0)*0.475*44/12</f>
        <v>10.018780178069298</v>
      </c>
      <c r="DH74" s="21">
        <f>EXP(-LN(2)/2)*DH73+(1-EXP(-LN(2)/2))/(LN(2)/2)*DB74*DE74*VLOOKUP('Données projet'!$B$13,Paramètres!$A$1:$I$89,3,0)*0.475*44/12</f>
        <v>1.4240048116930244</v>
      </c>
      <c r="DI74" s="22">
        <f t="shared" si="69"/>
        <v>16.404395208720185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2.4358974358974366</v>
      </c>
      <c r="DO74" s="12">
        <f>IF('Données projet'!$A$166&gt;35,DO73+DN74-DW73,IF(A74&lt;'Données projet'!$A$166,$DL$205^A74,IF(A74='Données projet'!$A$166,'Données projet'!$B$166,DO73+DN74-DW73)))</f>
        <v>79.358974358974336</v>
      </c>
      <c r="DP74" s="17">
        <f>DO74*VLOOKUP('Données projet'!$B$14,Paramètres!$A$1:$I$89,3,0)*VLOOKUP('Données projet'!$B$14,Paramètres!$A$1:$I$89,5,0)</f>
        <v>76.755999999999986</v>
      </c>
      <c r="DQ74" s="13">
        <f t="shared" si="97"/>
        <v>21.34210849467463</v>
      </c>
      <c r="DR74" s="20">
        <f t="shared" si="70"/>
        <v>170.85420562822495</v>
      </c>
      <c r="DS74" s="59">
        <f t="shared" si="71"/>
        <v>437.72688670627292</v>
      </c>
      <c r="DT74" s="59">
        <f ca="1">AVERAGE(OFFSET($DS$3,0,0,'Données projet'!$E$14+1,1))-AVERAGE(OFFSET($H$3,0,0,'Données projet'!$E$14+1,1))</f>
        <v>206.5245935130306</v>
      </c>
      <c r="DU74" s="59">
        <f t="shared" si="98"/>
        <v>130.57011290898546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3.9743398100405325</v>
      </c>
      <c r="EC74" s="21">
        <f>EXP(-LN(2)/2)*EC73+(1-EXP(-LN(2)/2))/(LN(2)/2)*DW74*DZ74*VLOOKUP('Données projet'!$B$14,Paramètres!$A$1:$I$89,3,0)*0.475*44/12</f>
        <v>1.256162411938432</v>
      </c>
      <c r="ED74" s="22">
        <f t="shared" si="72"/>
        <v>5.2305022219789645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11.997500000000002</v>
      </c>
      <c r="EJ74" s="12">
        <f>IF('Données projet'!$A$192&gt;35,EJ73+EI74-ER73,IF(A74&lt;'Données projet'!$A$192,$EG$205^A74,IF(A74='Données projet'!$A$192,'Données projet'!$B$192,EJ73+EI74-ER73)))</f>
        <v>370.9849999999999</v>
      </c>
      <c r="EK74" s="17">
        <f>EJ74*VLOOKUP('Données projet'!$B$15,Paramètres!$A$1:$I$89,3,0)*VLOOKUP('Données projet'!$B$15,Paramètres!$A$1:$I$89,5,0)</f>
        <v>173.62097999999997</v>
      </c>
      <c r="EL74" s="13">
        <f t="shared" si="99"/>
        <v>43.900005198349035</v>
      </c>
      <c r="EM74" s="20">
        <f t="shared" si="73"/>
        <v>378.84904922045786</v>
      </c>
      <c r="EN74" s="59">
        <f t="shared" si="74"/>
        <v>645.7217302985058</v>
      </c>
      <c r="EO74" s="59">
        <f ca="1">AVERAGE(OFFSET($EN$3,0,0,'Données projet'!$E$15+1,1))-AVERAGE(OFFSET($H$3,0,0,'Données projet'!$E$15+1,1))</f>
        <v>374.38106339726073</v>
      </c>
      <c r="EP74" s="59">
        <f t="shared" si="100"/>
        <v>296.53283288925957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27.029038600427342</v>
      </c>
      <c r="EW74" s="21">
        <f>EXP(-LN(2)/25)*EW73+(1-EXP(-LN(2)/25))/(LN(2)/25)*Calculateur!ER74*Calculateur!ET74*VLOOKUP('Données projet'!$B$15,Paramètres!$A$1:$I$89,3,0)*0.475*44/12</f>
        <v>17.799325825152103</v>
      </c>
      <c r="EX74" s="21">
        <f>EXP(-LN(2)/2)*EX73+(1-EXP(-LN(2)/2))/(LN(2)/2)*ER74*EU74*VLOOKUP('Données projet'!$B$15,Paramètres!$A$1:$I$89,3,0)*0.475*44/12</f>
        <v>0.36989088965104466</v>
      </c>
      <c r="EY74" s="22">
        <f t="shared" si="75"/>
        <v>45.19825531523049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9">
        <f t="shared" si="55"/>
        <v>837.31278473637394</v>
      </c>
      <c r="S75" s="59">
        <f ca="1">AVERAGE(OFFSET($R$3,0,0,'Données projet'!$E$9+1,1))-AVERAGE(OFFSET($H$3,0,0,'Données projet'!$E$9+1,1))</f>
        <v>681.47578137804555</v>
      </c>
      <c r="T75" s="59">
        <f t="shared" si="88"/>
        <v>300.88511065995885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222.10343999999995</v>
      </c>
      <c r="AK75" s="13">
        <f t="shared" si="89"/>
        <v>54.571804516465022</v>
      </c>
      <c r="AL75" s="20">
        <f t="shared" si="58"/>
        <v>481.87605086617651</v>
      </c>
      <c r="AM75" s="59">
        <f t="shared" si="59"/>
        <v>749.20776510369762</v>
      </c>
      <c r="AN75" s="59">
        <f ca="1">AVERAGE(OFFSET($AM$3,0,0,'Données projet'!$E$10+1,1))-AVERAGE(OFFSET($H$3,0,0,'Données projet'!$E$10+1,1))</f>
        <v>423.80243030843661</v>
      </c>
      <c r="AO75" s="59">
        <f t="shared" si="90"/>
        <v>260.29028006191834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2.2825883097586925</v>
      </c>
      <c r="AV75" s="21">
        <f>EXP(-LN(2)/25)*AV74+(1-EXP(-LN(2)/25))/(LN(2)/25)*Calculateur!AQ75*Calculateur!AS75*VLOOKUP('Données projet'!$B$10,Paramètres!$A$1:$I$89,3,0)*0.475*44/12</f>
        <v>12.567824863461796</v>
      </c>
      <c r="AW75" s="21">
        <f>EXP(-LN(2)/2)*AW74+(1-EXP(-LN(2)/2))/(LN(2)/2)*AQ75*AT75*VLOOKUP('Données projet'!$B$10,Paramètres!$A$1:$I$89,3,0)*0.475*44/12</f>
        <v>2.8629932730787067</v>
      </c>
      <c r="AX75" s="21">
        <f t="shared" si="60"/>
        <v>17.713406446299196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9.7839999999999971</v>
      </c>
      <c r="BD75" s="12">
        <f>IF('Données projet'!$A$88&gt;35,BD74+BC75-BL74,IF(A75&lt;'Données projet'!$A$88,$BA$205^A75,IF(A75='Données projet'!$A$88,'Données projet'!$B$88,BD74+BC75-BL74)))</f>
        <v>441.75799999999975</v>
      </c>
      <c r="BE75" s="13">
        <f>BD75*VLOOKUP('Données projet'!$B$11,Paramètres!$A$1:$I$89,3,0)*VLOOKUP('Données projet'!$B$11,Paramètres!$A$1:$I$89,5,0)</f>
        <v>264.1712839999999</v>
      </c>
      <c r="BF75" s="13">
        <f t="shared" si="91"/>
        <v>63.610701832955151</v>
      </c>
      <c r="BG75" s="20">
        <f t="shared" si="61"/>
        <v>570.88695865906334</v>
      </c>
      <c r="BH75" s="59">
        <f t="shared" si="62"/>
        <v>838.21867289658439</v>
      </c>
      <c r="BI75" s="59">
        <f ca="1">AVERAGE(OFFSET($BH$3,0,0,'Données projet'!$E$11+1,1))-AVERAGE(OFFSET($H$3,0,0,'Données projet'!$E$11+1,1))</f>
        <v>373.61861223558259</v>
      </c>
      <c r="BJ75" s="59">
        <f t="shared" si="92"/>
        <v>277.62293009761049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49.074113088165248</v>
      </c>
      <c r="BQ75" s="21">
        <f>EXP(-LN(2)/25)*BQ74+(1-EXP(-LN(2)/25))/(LN(2)/25)*Calculateur!BL75*Calculateur!BN75*VLOOKUP('Données projet'!$B$11,Paramètres!$A$1:$I$89,3,0)*0.475*44/12</f>
        <v>18.428672148085209</v>
      </c>
      <c r="BR75" s="21">
        <f>EXP(-LN(2)/2)*BR74+(1-EXP(-LN(2)/2))/(LN(2)/2)*BL75*BO75*VLOOKUP('Données projet'!$B$11,Paramètres!$A$1:$I$89,3,0)*0.475*44/12</f>
        <v>4.7486288633468892</v>
      </c>
      <c r="BS75" s="22">
        <f t="shared" si="63"/>
        <v>72.251414099597355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2.4358974358974366</v>
      </c>
      <c r="BY75" s="12">
        <f>IF('Données projet'!$A$114&gt;35,BY74+BX75-CG74,IF(A75&lt;'Données projet'!$A$114,$BV$205^A75,IF(A75='Données projet'!$A$114,'Données projet'!$B$114,BY74+BX75-CG74)))</f>
        <v>135.64102564102572</v>
      </c>
      <c r="BZ75" s="13">
        <f>BY75*VLOOKUP('Données projet'!$B$12,Paramètres!$A$1:$I$89,3,0)*VLOOKUP('Données projet'!$B$12,Paramètres!$A$1:$I$89,5,0)</f>
        <v>118.49600000000009</v>
      </c>
      <c r="CA75" s="13">
        <f t="shared" si="93"/>
        <v>31.323958915838162</v>
      </c>
      <c r="CB75" s="20">
        <f t="shared" si="64"/>
        <v>260.93642844508491</v>
      </c>
      <c r="CC75" s="59">
        <f t="shared" si="65"/>
        <v>528.26814268260603</v>
      </c>
      <c r="CD75" s="59">
        <f ca="1">AVERAGE(OFFSET($CC$3,0,0,'Données projet'!$E$12+1,1))-AVERAGE(OFFSET($H$3,0,0,'Données projet'!$E$12+1,1))</f>
        <v>251.30277097589737</v>
      </c>
      <c r="CE75" s="59">
        <f t="shared" si="94"/>
        <v>224.11983819941796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1.5613398255288991</v>
      </c>
      <c r="CL75" s="21">
        <f>EXP(-LN(2)/25)*CL74+(1-EXP(-LN(2)/25))/(LN(2)/25)*Calculateur!CG75*Calculateur!CI75*VLOOKUP('Données projet'!$B$12,Paramètres!$A$1:$I$89,3,0)*0.475*44/12</f>
        <v>15.624583054051607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17.185922879580506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2.6</v>
      </c>
      <c r="CT75" s="12">
        <f>IF('Données projet'!$A$140&gt;35,CT74+CS75-DB74,IF(A75&lt;'Données projet'!$A$140,$CQ$205^A75,IF(A75='Données projet'!$A$140,'Données projet'!$B$140,CT74+CS75-DB74)))</f>
        <v>206.20000000000002</v>
      </c>
      <c r="CU75" s="17">
        <f>CT75*VLOOKUP('Données projet'!$B$13,Paramètres!$A$1:$I$89,3,0)*VLOOKUP('Données projet'!$B$13,Paramètres!$A$1:$I$89,5,0)</f>
        <v>180.13632000000004</v>
      </c>
      <c r="CV75" s="13">
        <f t="shared" si="95"/>
        <v>45.352513518602144</v>
      </c>
      <c r="CW75" s="20">
        <f t="shared" si="67"/>
        <v>392.72638504489879</v>
      </c>
      <c r="CX75" s="59">
        <f t="shared" si="68"/>
        <v>660.0580992824199</v>
      </c>
      <c r="CY75" s="59">
        <f ca="1">AVERAGE(OFFSET($CX$3,0,0,'Données projet'!$E$13+1,1))-AVERAGE(OFFSET($H$3,0,0,'Données projet'!$E$13+1,1))</f>
        <v>287.28439432670405</v>
      </c>
      <c r="CZ75" s="59">
        <f t="shared" si="96"/>
        <v>276.01618888357268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4.8643160688475113</v>
      </c>
      <c r="DG75" s="21">
        <f>EXP(-LN(2)/25)*DG74+(1-EXP(-LN(2)/25))/(LN(2)/25)*Calculateur!DB75*Calculateur!DD75*VLOOKUP('Données projet'!$B$13,Paramètres!$A$1:$I$89,3,0)*0.475*44/12</f>
        <v>9.7448161072352413</v>
      </c>
      <c r="DH75" s="21">
        <f>EXP(-LN(2)/2)*DH74+(1-EXP(-LN(2)/2))/(LN(2)/2)*DB75*DE75*VLOOKUP('Données projet'!$B$13,Paramètres!$A$1:$I$89,3,0)*0.475*44/12</f>
        <v>1.0069234587904103</v>
      </c>
      <c r="DI75" s="22">
        <f t="shared" si="69"/>
        <v>15.616055634873163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2.4358974358974366</v>
      </c>
      <c r="DO75" s="12">
        <f>IF('Données projet'!$A$166&gt;35,DO74+DN75-DW74,IF(A75&lt;'Données projet'!$A$166,$DL$205^A75,IF(A75='Données projet'!$A$166,'Données projet'!$B$166,DO74+DN75-DW74)))</f>
        <v>81.794871794871767</v>
      </c>
      <c r="DP75" s="17">
        <f>DO75*VLOOKUP('Données projet'!$B$14,Paramètres!$A$1:$I$89,3,0)*VLOOKUP('Données projet'!$B$14,Paramètres!$A$1:$I$89,5,0)</f>
        <v>79.111999999999966</v>
      </c>
      <c r="DQ75" s="13">
        <f t="shared" si="97"/>
        <v>21.919922665140906</v>
      </c>
      <c r="DR75" s="20">
        <f t="shared" si="70"/>
        <v>175.96393197512032</v>
      </c>
      <c r="DS75" s="59">
        <f t="shared" si="71"/>
        <v>443.29564621264143</v>
      </c>
      <c r="DT75" s="59">
        <f ca="1">AVERAGE(OFFSET($DS$3,0,0,'Données projet'!$E$14+1,1))-AVERAGE(OFFSET($H$3,0,0,'Données projet'!$E$14+1,1))</f>
        <v>206.5245935130306</v>
      </c>
      <c r="DU75" s="59">
        <f t="shared" si="98"/>
        <v>130.57011290898546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3.8656612789335272</v>
      </c>
      <c r="EC75" s="21">
        <f>EXP(-LN(2)/2)*EC74+(1-EXP(-LN(2)/2))/(LN(2)/2)*DW75*DZ75*VLOOKUP('Données projet'!$B$14,Paramètres!$A$1:$I$89,3,0)*0.475*44/12</f>
        <v>0.88824095975331474</v>
      </c>
      <c r="ED75" s="22">
        <f t="shared" si="72"/>
        <v>4.7539022386868419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11.997500000000002</v>
      </c>
      <c r="EJ75" s="12">
        <f>IF('Données projet'!$A$192&gt;35,EJ74+EI75-ER74,IF(A75&lt;'Données projet'!$A$192,$EG$205^A75,IF(A75='Données projet'!$A$192,'Données projet'!$B$192,EJ74+EI75-ER74)))</f>
        <v>382.9824999999999</v>
      </c>
      <c r="EK75" s="17">
        <f>EJ75*VLOOKUP('Données projet'!$B$15,Paramètres!$A$1:$I$89,3,0)*VLOOKUP('Données projet'!$B$15,Paramètres!$A$1:$I$89,5,0)</f>
        <v>179.23580999999996</v>
      </c>
      <c r="EL75" s="13">
        <f t="shared" si="99"/>
        <v>45.152125894936496</v>
      </c>
      <c r="EM75" s="20">
        <f t="shared" si="73"/>
        <v>390.80898835034759</v>
      </c>
      <c r="EN75" s="59">
        <f t="shared" si="74"/>
        <v>658.14070258786865</v>
      </c>
      <c r="EO75" s="59">
        <f ca="1">AVERAGE(OFFSET($EN$3,0,0,'Données projet'!$E$15+1,1))-AVERAGE(OFFSET($H$3,0,0,'Données projet'!$E$15+1,1))</f>
        <v>374.38106339726073</v>
      </c>
      <c r="EP75" s="59">
        <f t="shared" si="100"/>
        <v>296.53283288925957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26.499015639558642</v>
      </c>
      <c r="EW75" s="21">
        <f>EXP(-LN(2)/25)*EW74+(1-EXP(-LN(2)/25))/(LN(2)/25)*Calculateur!ER75*Calculateur!ET75*VLOOKUP('Données projet'!$B$15,Paramètres!$A$1:$I$89,3,0)*0.475*44/12</f>
        <v>17.312602324437453</v>
      </c>
      <c r="EX75" s="21">
        <f>EXP(-LN(2)/2)*EX74+(1-EXP(-LN(2)/2))/(LN(2)/2)*ER75*EU75*VLOOKUP('Données projet'!$B$15,Paramètres!$A$1:$I$89,3,0)*0.475*44/12</f>
        <v>0.26155235637137864</v>
      </c>
      <c r="EY75" s="22">
        <f t="shared" si="75"/>
        <v>44.073170320367481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9">
        <f t="shared" si="55"/>
        <v>856.3608417156413</v>
      </c>
      <c r="S76" s="59">
        <f ca="1">AVERAGE(OFFSET($R$3,0,0,'Données projet'!$E$9+1,1))-AVERAGE(OFFSET($H$3,0,0,'Données projet'!$E$9+1,1))</f>
        <v>681.47578137804555</v>
      </c>
      <c r="T76" s="59">
        <f t="shared" si="88"/>
        <v>300.88511065995885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228.00335999999993</v>
      </c>
      <c r="AK76" s="13">
        <f t="shared" si="89"/>
        <v>55.850742452867522</v>
      </c>
      <c r="AL76" s="20">
        <f t="shared" si="58"/>
        <v>494.37922843874412</v>
      </c>
      <c r="AM76" s="59">
        <f t="shared" si="59"/>
        <v>762.16201263666585</v>
      </c>
      <c r="AN76" s="59">
        <f ca="1">AVERAGE(OFFSET($AM$3,0,0,'Données projet'!$E$10+1,1))-AVERAGE(OFFSET($H$3,0,0,'Données projet'!$E$10+1,1))</f>
        <v>423.80243030843661</v>
      </c>
      <c r="AO76" s="59">
        <f t="shared" si="90"/>
        <v>260.29028006191834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2.2378281452457212</v>
      </c>
      <c r="AV76" s="21">
        <f>EXP(-LN(2)/25)*AV75+(1-EXP(-LN(2)/25))/(LN(2)/25)*Calculateur!AQ76*Calculateur!AS76*VLOOKUP('Données projet'!$B$10,Paramètres!$A$1:$I$89,3,0)*0.475*44/12</f>
        <v>12.224157031657247</v>
      </c>
      <c r="AW76" s="21">
        <f>EXP(-LN(2)/2)*AW75+(1-EXP(-LN(2)/2))/(LN(2)/2)*AQ76*AT76*VLOOKUP('Données projet'!$B$10,Paramètres!$A$1:$I$89,3,0)*0.475*44/12</f>
        <v>2.0244419578854225</v>
      </c>
      <c r="AX76" s="21">
        <f t="shared" si="60"/>
        <v>16.486427134788393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9.7839999999999971</v>
      </c>
      <c r="BD76" s="12">
        <f>IF('Données projet'!$A$88&gt;35,BD75+BC76-BL75,IF(A76&lt;'Données projet'!$A$88,$BA$205^A76,IF(A76='Données projet'!$A$88,'Données projet'!$B$88,BD75+BC76-BL75)))</f>
        <v>451.54199999999975</v>
      </c>
      <c r="BE76" s="13">
        <f>BD76*VLOOKUP('Données projet'!$B$11,Paramètres!$A$1:$I$89,3,0)*VLOOKUP('Données projet'!$B$11,Paramètres!$A$1:$I$89,5,0)</f>
        <v>270.02211599999987</v>
      </c>
      <c r="BF76" s="13">
        <f t="shared" si="91"/>
        <v>64.853962838834434</v>
      </c>
      <c r="BG76" s="20">
        <f t="shared" si="61"/>
        <v>583.24250397763637</v>
      </c>
      <c r="BH76" s="59">
        <f t="shared" si="62"/>
        <v>851.02528817555822</v>
      </c>
      <c r="BI76" s="59">
        <f ca="1">AVERAGE(OFFSET($BH$3,0,0,'Données projet'!$E$11+1,1))-AVERAGE(OFFSET($H$3,0,0,'Données projet'!$E$11+1,1))</f>
        <v>373.61861223558259</v>
      </c>
      <c r="BJ76" s="59">
        <f t="shared" si="92"/>
        <v>277.62293009761049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48.111799662759744</v>
      </c>
      <c r="BQ76" s="21">
        <f>EXP(-LN(2)/25)*BQ75+(1-EXP(-LN(2)/25))/(LN(2)/25)*Calculateur!BL76*Calculateur!BN76*VLOOKUP('Données projet'!$B$11,Paramètres!$A$1:$I$89,3,0)*0.475*44/12</f>
        <v>17.92473913907407</v>
      </c>
      <c r="BR76" s="21">
        <f>EXP(-LN(2)/2)*BR75+(1-EXP(-LN(2)/2))/(LN(2)/2)*BL76*BO76*VLOOKUP('Données projet'!$B$11,Paramètres!$A$1:$I$89,3,0)*0.475*44/12</f>
        <v>3.3577876706107528</v>
      </c>
      <c r="BS76" s="22">
        <f t="shared" si="63"/>
        <v>69.394326472444561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2.4358974358974366</v>
      </c>
      <c r="BY76" s="12">
        <f>IF('Données projet'!$A$114&gt;35,BY75+BX76-CG75,IF(A76&lt;'Données projet'!$A$114,$BV$205^A76,IF(A76='Données projet'!$A$114,'Données projet'!$B$114,BY75+BX76-CG75)))</f>
        <v>138.07692307692315</v>
      </c>
      <c r="BZ76" s="13">
        <f>BY76*VLOOKUP('Données projet'!$B$12,Paramètres!$A$1:$I$89,3,0)*VLOOKUP('Données projet'!$B$12,Paramètres!$A$1:$I$89,5,0)</f>
        <v>120.62400000000008</v>
      </c>
      <c r="CA76" s="13">
        <f t="shared" si="93"/>
        <v>31.820493086332782</v>
      </c>
      <c r="CB76" s="20">
        <f t="shared" si="64"/>
        <v>265.50749212536306</v>
      </c>
      <c r="CC76" s="59">
        <f t="shared" si="65"/>
        <v>533.29027632328484</v>
      </c>
      <c r="CD76" s="59">
        <f ca="1">AVERAGE(OFFSET($CC$3,0,0,'Données projet'!$E$12+1,1))-AVERAGE(OFFSET($H$3,0,0,'Données projet'!$E$12+1,1))</f>
        <v>251.30277097589737</v>
      </c>
      <c r="CE76" s="59">
        <f t="shared" si="94"/>
        <v>224.11983819941796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1.5307229038735368</v>
      </c>
      <c r="CL76" s="21">
        <f>EXP(-LN(2)/25)*CL75+(1-EXP(-LN(2)/25))/(LN(2)/25)*Calculateur!CG76*Calculateur!CI76*VLOOKUP('Données projet'!$B$12,Paramètres!$A$1:$I$89,3,0)*0.475*44/12</f>
        <v>15.197328008777454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16.728050912650993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2.6</v>
      </c>
      <c r="CT76" s="12">
        <f>IF('Données projet'!$A$140&gt;35,CT75+CS76-DB75,IF(A76&lt;'Données projet'!$A$140,$CQ$205^A76,IF(A76='Données projet'!$A$140,'Données projet'!$B$140,CT75+CS76-DB75)))</f>
        <v>208.8</v>
      </c>
      <c r="CU76" s="17">
        <f>CT76*VLOOKUP('Données projet'!$B$13,Paramètres!$A$1:$I$89,3,0)*VLOOKUP('Données projet'!$B$13,Paramètres!$A$1:$I$89,5,0)</f>
        <v>182.40768000000003</v>
      </c>
      <c r="CV76" s="13">
        <f t="shared" si="95"/>
        <v>45.857435663065921</v>
      </c>
      <c r="CW76" s="20">
        <f t="shared" si="67"/>
        <v>397.56174311317318</v>
      </c>
      <c r="CX76" s="59">
        <f t="shared" si="68"/>
        <v>665.34452731109491</v>
      </c>
      <c r="CY76" s="59">
        <f ca="1">AVERAGE(OFFSET($CX$3,0,0,'Données projet'!$E$13+1,1))-AVERAGE(OFFSET($H$3,0,0,'Données projet'!$E$13+1,1))</f>
        <v>287.28439432670405</v>
      </c>
      <c r="CZ76" s="59">
        <f t="shared" si="96"/>
        <v>276.01618888357268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4.7689297976772522</v>
      </c>
      <c r="DG76" s="21">
        <f>EXP(-LN(2)/25)*DG75+(1-EXP(-LN(2)/25))/(LN(2)/25)*Calculateur!DB76*Calculateur!DD76*VLOOKUP('Données projet'!$B$13,Paramètres!$A$1:$I$89,3,0)*0.475*44/12</f>
        <v>9.4783435983252868</v>
      </c>
      <c r="DH76" s="21">
        <f>EXP(-LN(2)/2)*DH75+(1-EXP(-LN(2)/2))/(LN(2)/2)*DB76*DE76*VLOOKUP('Données projet'!$B$13,Paramètres!$A$1:$I$89,3,0)*0.475*44/12</f>
        <v>0.71200240584651231</v>
      </c>
      <c r="DI76" s="22">
        <f t="shared" si="69"/>
        <v>14.959275801849051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2.4358974358974366</v>
      </c>
      <c r="DO76" s="12">
        <f>IF('Données projet'!$A$166&gt;35,DO75+DN76-DW75,IF(A76&lt;'Données projet'!$A$166,$DL$205^A76,IF(A76='Données projet'!$A$166,'Données projet'!$B$166,DO75+DN76-DW75)))</f>
        <v>84.230769230769198</v>
      </c>
      <c r="DP76" s="17">
        <f>DO76*VLOOKUP('Données projet'!$B$14,Paramètres!$A$1:$I$89,3,0)*VLOOKUP('Données projet'!$B$14,Paramètres!$A$1:$I$89,5,0)</f>
        <v>81.467999999999975</v>
      </c>
      <c r="DQ76" s="13">
        <f t="shared" si="97"/>
        <v>22.495737022503945</v>
      </c>
      <c r="DR76" s="20">
        <f t="shared" si="70"/>
        <v>181.07017531419433</v>
      </c>
      <c r="DS76" s="59">
        <f t="shared" si="71"/>
        <v>448.85295951211612</v>
      </c>
      <c r="DT76" s="59">
        <f ca="1">AVERAGE(OFFSET($DS$3,0,0,'Données projet'!$E$14+1,1))-AVERAGE(OFFSET($H$3,0,0,'Données projet'!$E$14+1,1))</f>
        <v>206.5245935130306</v>
      </c>
      <c r="DU76" s="59">
        <f t="shared" si="98"/>
        <v>130.57011290898546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3.7599545679747983</v>
      </c>
      <c r="EC76" s="21">
        <f>EXP(-LN(2)/2)*EC75+(1-EXP(-LN(2)/2))/(LN(2)/2)*DW76*DZ76*VLOOKUP('Données projet'!$B$14,Paramètres!$A$1:$I$89,3,0)*0.475*44/12</f>
        <v>0.62808120596921613</v>
      </c>
      <c r="ED76" s="22">
        <f t="shared" si="72"/>
        <v>4.3880357739440141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>
        <f>VLOOKUP(A76,'Données projet'!$A$191:$I$211,2,0)</f>
        <v>394.98</v>
      </c>
      <c r="EH76" s="12">
        <f>VLOOKUP(A76,'Données projet'!$A$191:$I$211,9,0)</f>
        <v>11.997500000000002</v>
      </c>
      <c r="EI76" s="12">
        <f t="array" ref="EI76">INDEX(EH:EH,MIN(IF(ISNUMBER(EH76:EH272),ROW(EH76:EH272),"")))</f>
        <v>11.997500000000002</v>
      </c>
      <c r="EJ76" s="12">
        <f>IF('Données projet'!$A$192&gt;35,EJ75+EI76-ER75,IF(A76&lt;'Données projet'!$A$192,$EG$205^A76,IF(A76='Données projet'!$A$192,'Données projet'!$B$192,EJ75+EI76-ER75)))</f>
        <v>394.9799999999999</v>
      </c>
      <c r="EK76" s="17">
        <f>EJ76*VLOOKUP('Données projet'!$B$15,Paramètres!$A$1:$I$89,3,0)*VLOOKUP('Données projet'!$B$15,Paramètres!$A$1:$I$89,5,0)</f>
        <v>184.85063999999994</v>
      </c>
      <c r="EL76" s="13">
        <f t="shared" si="99"/>
        <v>46.399688379827502</v>
      </c>
      <c r="EM76" s="20">
        <f t="shared" si="73"/>
        <v>402.76098859486609</v>
      </c>
      <c r="EN76" s="59">
        <f t="shared" si="74"/>
        <v>670.54377279278788</v>
      </c>
      <c r="EO76" s="59">
        <f ca="1">AVERAGE(OFFSET($EN$3,0,0,'Données projet'!$E$15+1,1))-AVERAGE(OFFSET($H$3,0,0,'Données projet'!$E$15+1,1))</f>
        <v>374.38106339726073</v>
      </c>
      <c r="EP76" s="59">
        <f t="shared" si="100"/>
        <v>296.53283288925957</v>
      </c>
      <c r="EQ76" s="15">
        <f>IF(ISNA(VLOOKUP(A76,'Données projet'!$A$191:$I$211,3,0)),0,VLOOKUP(A76,'Données projet'!$A$191:$I$211,3,0))</f>
        <v>3</v>
      </c>
      <c r="ER76" s="15">
        <f>IF(ISNA(VLOOKUP(A76,'Données projet'!$A$191:$I$211,4,0)),0,VLOOKUP(A76,'Données projet'!$A$191:$I$211,4,0))</f>
        <v>103.23000000000002</v>
      </c>
      <c r="ES76" s="16">
        <f>IF(ISNA(VLOOKUP(A76,'Données projet'!$A$191:$I$211,5,0)),0%,VLOOKUP(A76,'Données projet'!$A$191:$I$211,5,0)*VLOOKUP('Données projet'!$B$15,Paramètres!$A$1:$I$89,7,0))</f>
        <v>0.33</v>
      </c>
      <c r="ET76" s="16">
        <f>IF(ISNA(VLOOKUP(A76,'Données projet'!$A$191:$I$211,6,0)),0%,VLOOKUP(A76,'Données projet'!$A$191:$I$211,6,0)*VLOOKUP('Données projet'!$B$15,Paramètres!$A$1:$I$89,7,0))</f>
        <v>0.11000000000000001</v>
      </c>
      <c r="EU76" s="16">
        <f>IF(ISNA(VLOOKUP(A76,'Données projet'!$A$191:$I$211,7,0)),0%,VLOOKUP(A76,'Données projet'!$A$191:$I$211,7,0))</f>
        <v>0.2</v>
      </c>
      <c r="EV76" s="21">
        <f>EXP(-LN(2)/35)*EV75+(1-EXP(-LN(2)/35))/(LN(2)/35)*ER76*ES76*VLOOKUP('Données projet'!$B$15,Paramètres!$A$1:$I$89,3,0)*0.475*44/12</f>
        <v>47.128592560307567</v>
      </c>
      <c r="EW76" s="21">
        <f>EXP(-LN(2)/25)*EW75+(1-EXP(-LN(2)/25))/(LN(2)/25)*Calculateur!ER76*Calculateur!ET76*VLOOKUP('Données projet'!$B$15,Paramètres!$A$1:$I$89,3,0)*0.475*44/12</f>
        <v>23.861166293560768</v>
      </c>
      <c r="EX76" s="21">
        <f>EXP(-LN(2)/2)*EX75+(1-EXP(-LN(2)/2))/(LN(2)/2)*ER76*EU76*VLOOKUP('Données projet'!$B$15,Paramètres!$A$1:$I$89,3,0)*0.475*44/12</f>
        <v>11.124945275719824</v>
      </c>
      <c r="EY76" s="22">
        <f t="shared" si="75"/>
        <v>82.114704129588162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9">
        <f t="shared" si="55"/>
        <v>875.38884017638168</v>
      </c>
      <c r="S77" s="59">
        <f ca="1">AVERAGE(OFFSET($R$3,0,0,'Données projet'!$E$9+1,1))-AVERAGE(OFFSET($H$3,0,0,'Données projet'!$E$9+1,1))</f>
        <v>681.47578137804555</v>
      </c>
      <c r="T77" s="59">
        <f t="shared" si="88"/>
        <v>300.88511065995885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233.90327999999994</v>
      </c>
      <c r="AK77" s="13">
        <f t="shared" si="89"/>
        <v>57.125833544518095</v>
      </c>
      <c r="AL77" s="20">
        <f t="shared" si="58"/>
        <v>506.87570609003552</v>
      </c>
      <c r="AM77" s="59">
        <f t="shared" si="59"/>
        <v>775.10173519298633</v>
      </c>
      <c r="AN77" s="59">
        <f ca="1">AVERAGE(OFFSET($AM$3,0,0,'Données projet'!$E$10+1,1))-AVERAGE(OFFSET($H$3,0,0,'Données projet'!$E$10+1,1))</f>
        <v>423.80243030843661</v>
      </c>
      <c r="AO77" s="59">
        <f t="shared" si="90"/>
        <v>260.29028006191834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2.1939457002578444</v>
      </c>
      <c r="AV77" s="21">
        <f>EXP(-LN(2)/25)*AV76+(1-EXP(-LN(2)/25))/(LN(2)/25)*Calculateur!AQ77*Calculateur!AS77*VLOOKUP('Données projet'!$B$10,Paramètres!$A$1:$I$89,3,0)*0.475*44/12</f>
        <v>11.889886814786101</v>
      </c>
      <c r="AW77" s="21">
        <f>EXP(-LN(2)/2)*AW76+(1-EXP(-LN(2)/2))/(LN(2)/2)*AQ77*AT77*VLOOKUP('Données projet'!$B$10,Paramètres!$A$1:$I$89,3,0)*0.475*44/12</f>
        <v>1.4314966365393533</v>
      </c>
      <c r="AX77" s="21">
        <f t="shared" si="60"/>
        <v>15.515329151583298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9.7839999999999971</v>
      </c>
      <c r="BD77" s="12">
        <f>IF('Données projet'!$A$88&gt;35,BD76+BC77-BL76,IF(A77&lt;'Données projet'!$A$88,$BA$205^A77,IF(A77='Données projet'!$A$88,'Données projet'!$B$88,BD76+BC77-BL76)))</f>
        <v>461.32599999999974</v>
      </c>
      <c r="BE77" s="13">
        <f>BD77*VLOOKUP('Données projet'!$B$11,Paramètres!$A$1:$I$89,3,0)*VLOOKUP('Données projet'!$B$11,Paramètres!$A$1:$I$89,5,0)</f>
        <v>275.87294799999984</v>
      </c>
      <c r="BF77" s="13">
        <f t="shared" si="91"/>
        <v>66.094091843346078</v>
      </c>
      <c r="BG77" s="20">
        <f t="shared" si="61"/>
        <v>595.59259439382743</v>
      </c>
      <c r="BH77" s="59">
        <f t="shared" si="62"/>
        <v>863.81862349677829</v>
      </c>
      <c r="BI77" s="59">
        <f ca="1">AVERAGE(OFFSET($BH$3,0,0,'Données projet'!$E$11+1,1))-AVERAGE(OFFSET($H$3,0,0,'Données projet'!$E$11+1,1))</f>
        <v>373.61861223558259</v>
      </c>
      <c r="BJ77" s="59">
        <f t="shared" si="92"/>
        <v>277.62293009761049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47.168356616673215</v>
      </c>
      <c r="BQ77" s="21">
        <f>EXP(-LN(2)/25)*BQ76+(1-EXP(-LN(2)/25))/(LN(2)/25)*Calculateur!BL77*Calculateur!BN77*VLOOKUP('Données projet'!$B$11,Paramètres!$A$1:$I$89,3,0)*0.475*44/12</f>
        <v>17.434586204695027</v>
      </c>
      <c r="BR77" s="21">
        <f>EXP(-LN(2)/2)*BR76+(1-EXP(-LN(2)/2))/(LN(2)/2)*BL77*BO77*VLOOKUP('Données projet'!$B$11,Paramètres!$A$1:$I$89,3,0)*0.475*44/12</f>
        <v>2.374314431673445</v>
      </c>
      <c r="BS77" s="22">
        <f t="shared" si="63"/>
        <v>66.977257253041685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2.4358974358974366</v>
      </c>
      <c r="BY77" s="12">
        <f>IF('Données projet'!$A$114&gt;35,BY76+BX77-CG76,IF(A77&lt;'Données projet'!$A$114,$BV$205^A77,IF(A77='Données projet'!$A$114,'Données projet'!$B$114,BY76+BX77-CG76)))</f>
        <v>140.51282051282058</v>
      </c>
      <c r="BZ77" s="13">
        <f>BY77*VLOOKUP('Données projet'!$B$12,Paramètres!$A$1:$I$89,3,0)*VLOOKUP('Données projet'!$B$12,Paramètres!$A$1:$I$89,5,0)</f>
        <v>122.75200000000008</v>
      </c>
      <c r="CA77" s="13">
        <f t="shared" si="93"/>
        <v>32.316008623212333</v>
      </c>
      <c r="CB77" s="20">
        <f t="shared" si="64"/>
        <v>270.07678168542827</v>
      </c>
      <c r="CC77" s="59">
        <f t="shared" si="65"/>
        <v>538.30281078837913</v>
      </c>
      <c r="CD77" s="59">
        <f ca="1">AVERAGE(OFFSET($CC$3,0,0,'Données projet'!$E$12+1,1))-AVERAGE(OFFSET($H$3,0,0,'Données projet'!$E$12+1,1))</f>
        <v>251.30277097589737</v>
      </c>
      <c r="CE77" s="59">
        <f t="shared" si="94"/>
        <v>224.11983819941796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1.5007063613773579</v>
      </c>
      <c r="CL77" s="21">
        <f>EXP(-LN(2)/25)*CL76+(1-EXP(-LN(2)/25))/(LN(2)/25)*Calculateur!CG77*Calculateur!CI77*VLOOKUP('Données projet'!$B$12,Paramètres!$A$1:$I$89,3,0)*0.475*44/12</f>
        <v>14.781756275184689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16.282462636562048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2.6</v>
      </c>
      <c r="CT77" s="12">
        <f>IF('Données projet'!$A$140&gt;35,CT76+CS77-DB76,IF(A77&lt;'Données projet'!$A$140,$CQ$205^A77,IF(A77='Données projet'!$A$140,'Données projet'!$B$140,CT76+CS77-DB76)))</f>
        <v>211.4</v>
      </c>
      <c r="CU77" s="17">
        <f>CT77*VLOOKUP('Données projet'!$B$13,Paramètres!$A$1:$I$89,3,0)*VLOOKUP('Données projet'!$B$13,Paramètres!$A$1:$I$89,5,0)</f>
        <v>184.67904000000004</v>
      </c>
      <c r="CV77" s="13">
        <f t="shared" si="95"/>
        <v>46.361626470742223</v>
      </c>
      <c r="CW77" s="20">
        <f t="shared" si="67"/>
        <v>402.39582743654279</v>
      </c>
      <c r="CX77" s="59">
        <f t="shared" si="68"/>
        <v>670.62185653949359</v>
      </c>
      <c r="CY77" s="59">
        <f ca="1">AVERAGE(OFFSET($CX$3,0,0,'Données projet'!$E$13+1,1))-AVERAGE(OFFSET($H$3,0,0,'Données projet'!$E$13+1,1))</f>
        <v>287.28439432670405</v>
      </c>
      <c r="CZ77" s="59">
        <f t="shared" si="96"/>
        <v>276.01618888357268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4.6754139931047618</v>
      </c>
      <c r="DG77" s="21">
        <f>EXP(-LN(2)/25)*DG76+(1-EXP(-LN(2)/25))/(LN(2)/25)*Calculateur!DB77*Calculateur!DD77*VLOOKUP('Données projet'!$B$13,Paramètres!$A$1:$I$89,3,0)*0.475*44/12</f>
        <v>9.219157794184655</v>
      </c>
      <c r="DH77" s="21">
        <f>EXP(-LN(2)/2)*DH76+(1-EXP(-LN(2)/2))/(LN(2)/2)*DB77*DE77*VLOOKUP('Données projet'!$B$13,Paramètres!$A$1:$I$89,3,0)*0.475*44/12</f>
        <v>0.50346172939520517</v>
      </c>
      <c r="DI77" s="22">
        <f t="shared" si="69"/>
        <v>14.398033516684622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2.4358974358974366</v>
      </c>
      <c r="DO77" s="12">
        <f>IF('Données projet'!$A$166&gt;35,DO76+DN77-DW76,IF(A77&lt;'Données projet'!$A$166,$DL$205^A77,IF(A77='Données projet'!$A$166,'Données projet'!$B$166,DO76+DN77-DW76)))</f>
        <v>86.666666666666629</v>
      </c>
      <c r="DP77" s="17">
        <f>DO77*VLOOKUP('Données projet'!$B$14,Paramètres!$A$1:$I$89,3,0)*VLOOKUP('Données projet'!$B$14,Paramètres!$A$1:$I$89,5,0)</f>
        <v>83.82399999999997</v>
      </c>
      <c r="DQ77" s="13">
        <f t="shared" si="97"/>
        <v>23.069616041477374</v>
      </c>
      <c r="DR77" s="20">
        <f t="shared" si="70"/>
        <v>186.17304793890639</v>
      </c>
      <c r="DS77" s="59">
        <f t="shared" si="71"/>
        <v>454.39907704185725</v>
      </c>
      <c r="DT77" s="59">
        <f ca="1">AVERAGE(OFFSET($DS$3,0,0,'Données projet'!$E$14+1,1))-AVERAGE(OFFSET($H$3,0,0,'Données projet'!$E$14+1,1))</f>
        <v>206.5245935130306</v>
      </c>
      <c r="DU77" s="59">
        <f t="shared" si="98"/>
        <v>130.57011290898546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3.6571384125861104</v>
      </c>
      <c r="EC77" s="21">
        <f>EXP(-LN(2)/2)*EC76+(1-EXP(-LN(2)/2))/(LN(2)/2)*DW77*DZ77*VLOOKUP('Données projet'!$B$14,Paramètres!$A$1:$I$89,3,0)*0.475*44/12</f>
        <v>0.44412047987665743</v>
      </c>
      <c r="ED77" s="22">
        <f t="shared" si="72"/>
        <v>4.1012588924627682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11.117500000000001</v>
      </c>
      <c r="EJ77" s="12">
        <f>IF('Données projet'!$A$192&gt;35,EJ76+EI77-ER76,IF(A77&lt;'Données projet'!$A$192,$EG$205^A77,IF(A77='Données projet'!$A$192,'Données projet'!$B$192,EJ76+EI77-ER76)))</f>
        <v>302.86749999999989</v>
      </c>
      <c r="EK77" s="17">
        <f>EJ77*VLOOKUP('Données projet'!$B$15,Paramètres!$A$1:$I$89,3,0)*VLOOKUP('Données projet'!$B$15,Paramètres!$A$1:$I$89,5,0)</f>
        <v>141.74198999999996</v>
      </c>
      <c r="EL77" s="13">
        <f t="shared" si="99"/>
        <v>36.695783280300503</v>
      </c>
      <c r="EM77" s="20">
        <f t="shared" si="73"/>
        <v>310.77912179652327</v>
      </c>
      <c r="EN77" s="59">
        <f t="shared" si="74"/>
        <v>579.00515089947407</v>
      </c>
      <c r="EO77" s="59">
        <f ca="1">AVERAGE(OFFSET($EN$3,0,0,'Données projet'!$E$15+1,1))-AVERAGE(OFFSET($H$3,0,0,'Données projet'!$E$15+1,1))</f>
        <v>374.38106339726073</v>
      </c>
      <c r="EP77" s="59">
        <f t="shared" si="100"/>
        <v>296.53283288925957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46.204429605803007</v>
      </c>
      <c r="EW77" s="21">
        <f>EXP(-LN(2)/25)*EW76+(1-EXP(-LN(2)/25))/(LN(2)/25)*Calculateur!ER77*Calculateur!ET77*VLOOKUP('Données projet'!$B$15,Paramètres!$A$1:$I$89,3,0)*0.475*44/12</f>
        <v>23.208681446459149</v>
      </c>
      <c r="EX77" s="21">
        <f>EXP(-LN(2)/2)*EX76+(1-EXP(-LN(2)/2))/(LN(2)/2)*ER77*EU77*VLOOKUP('Données projet'!$B$15,Paramètres!$A$1:$I$89,3,0)*0.475*44/12</f>
        <v>7.8665242447907335</v>
      </c>
      <c r="EY77" s="22">
        <f t="shared" si="75"/>
        <v>77.279635297052891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9">
        <f t="shared" si="55"/>
        <v>795.93954137716287</v>
      </c>
      <c r="S78" s="59">
        <f ca="1">AVERAGE(OFFSET($R$3,0,0,'Données projet'!$E$9+1,1))-AVERAGE(OFFSET($H$3,0,0,'Données projet'!$E$9+1,1))</f>
        <v>681.47578137804555</v>
      </c>
      <c r="T78" s="59">
        <f t="shared" si="88"/>
        <v>300.88511065995885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239.80319999999992</v>
      </c>
      <c r="AK78" s="13">
        <f t="shared" si="89"/>
        <v>58.397185982155214</v>
      </c>
      <c r="AL78" s="20">
        <f t="shared" si="58"/>
        <v>519.36567225225349</v>
      </c>
      <c r="AM78" s="59">
        <f t="shared" si="59"/>
        <v>788.02725695207823</v>
      </c>
      <c r="AN78" s="59">
        <f ca="1">AVERAGE(OFFSET($AM$3,0,0,'Données projet'!$E$10+1,1))-AVERAGE(OFFSET($H$3,0,0,'Données projet'!$E$10+1,1))</f>
        <v>423.80243030843661</v>
      </c>
      <c r="AO78" s="59">
        <f t="shared" si="90"/>
        <v>260.29028006191834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0.1075</v>
      </c>
      <c r="AS78" s="16">
        <f>IF(ISNA(VLOOKUP(A78,'Données projet'!$A$61:$I$81,6,0)),0%,VLOOKUP(A78,'Données projet'!$A$61:$I$81,6,0)*VLOOKUP('Données projet'!$B$10,Paramètres!$A$1:$I$89,7,0))</f>
        <v>0.1075</v>
      </c>
      <c r="AT78" s="16">
        <f>IF(ISNA(VLOOKUP(A78,'Données projet'!$A$61:$I$81,7,0)),0%,VLOOKUP(A78,'Données projet'!$A$61:$I$81,7,0))</f>
        <v>0.25</v>
      </c>
      <c r="AU78" s="21">
        <f>EXP(-LN(2)/35)*AU77+(1-EXP(-LN(2)/35))/(LN(2)/35)*AQ78*AR78*VLOOKUP('Données projet'!$B$10,Paramètres!$A$1:$I$89,3,0)*0.475*44/12</f>
        <v>4.5257361349672571</v>
      </c>
      <c r="AV78" s="21">
        <f>EXP(-LN(2)/25)*AV77+(1-EXP(-LN(2)/25))/(LN(2)/25)*Calculateur!AQ78*Calculateur!AS78*VLOOKUP('Données projet'!$B$10,Paramètres!$A$1:$I$89,3,0)*0.475*44/12</f>
        <v>13.930219065108625</v>
      </c>
      <c r="AW78" s="21">
        <f>EXP(-LN(2)/2)*AW77+(1-EXP(-LN(2)/2))/(LN(2)/2)*AQ78*AT78*VLOOKUP('Données projet'!$B$10,Paramètres!$A$1:$I$89,3,0)*0.475*44/12</f>
        <v>5.7259870916197704</v>
      </c>
      <c r="AX78" s="21">
        <f t="shared" si="60"/>
        <v>24.181942291695655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9.7839999999999971</v>
      </c>
      <c r="BD78" s="12">
        <f>IF('Données projet'!$A$88&gt;35,BD77+BC78-BL77,IF(A78&lt;'Données projet'!$A$88,$BA$205^A78,IF(A78='Données projet'!$A$88,'Données projet'!$B$88,BD77+BC78-BL77)))</f>
        <v>471.10999999999973</v>
      </c>
      <c r="BE78" s="13">
        <f>BD78*VLOOKUP('Données projet'!$B$11,Paramètres!$A$1:$I$89,3,0)*VLOOKUP('Données projet'!$B$11,Paramètres!$A$1:$I$89,5,0)</f>
        <v>281.72377999999986</v>
      </c>
      <c r="BF78" s="13">
        <f t="shared" si="91"/>
        <v>67.331162922926637</v>
      </c>
      <c r="BG78" s="20">
        <f t="shared" si="61"/>
        <v>607.93735892409688</v>
      </c>
      <c r="BH78" s="59">
        <f t="shared" si="62"/>
        <v>876.59894362392174</v>
      </c>
      <c r="BI78" s="59">
        <f ca="1">AVERAGE(OFFSET($BH$3,0,0,'Données projet'!$E$11+1,1))-AVERAGE(OFFSET($H$3,0,0,'Données projet'!$E$11+1,1))</f>
        <v>373.61861223558259</v>
      </c>
      <c r="BJ78" s="59">
        <f t="shared" si="92"/>
        <v>277.62293009761049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46.243413913277003</v>
      </c>
      <c r="BQ78" s="21">
        <f>EXP(-LN(2)/25)*BQ77+(1-EXP(-LN(2)/25))/(LN(2)/25)*Calculateur!BL78*Calculateur!BN78*VLOOKUP('Données projet'!$B$11,Paramètres!$A$1:$I$89,3,0)*0.475*44/12</f>
        <v>16.957836528082598</v>
      </c>
      <c r="BR78" s="21">
        <f>EXP(-LN(2)/2)*BR77+(1-EXP(-LN(2)/2))/(LN(2)/2)*BL78*BO78*VLOOKUP('Données projet'!$B$11,Paramètres!$A$1:$I$89,3,0)*0.475*44/12</f>
        <v>1.6788938353053768</v>
      </c>
      <c r="BS78" s="22">
        <f t="shared" si="63"/>
        <v>64.880144276664979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142.94871794871796</v>
      </c>
      <c r="BW78" s="12">
        <f>VLOOKUP(A78,'Données projet'!$A$113:$I$133,9,0)</f>
        <v>2.4358974358974366</v>
      </c>
      <c r="BX78" s="12">
        <f t="array" ref="BX78">INDEX(BW:BW,MIN(IF(ISNUMBER(BW78:BW274),ROW(BW78:BW274),"")))</f>
        <v>2.4358974358974366</v>
      </c>
      <c r="BY78" s="12">
        <f>IF('Données projet'!$A$114&gt;35,BY77+BX78-CG77,IF(A78&lt;'Données projet'!$A$114,$BV$205^A78,IF(A78='Données projet'!$A$114,'Données projet'!$B$114,BY77+BX78-CG77)))</f>
        <v>142.94871794871801</v>
      </c>
      <c r="BZ78" s="13">
        <f>BY78*VLOOKUP('Données projet'!$B$12,Paramètres!$A$1:$I$89,3,0)*VLOOKUP('Données projet'!$B$12,Paramètres!$A$1:$I$89,5,0)</f>
        <v>124.88000000000008</v>
      </c>
      <c r="CA78" s="13">
        <f t="shared" si="93"/>
        <v>32.810525222866467</v>
      </c>
      <c r="CB78" s="20">
        <f t="shared" si="64"/>
        <v>274.64433142982591</v>
      </c>
      <c r="CC78" s="59">
        <f t="shared" si="65"/>
        <v>543.30591612965077</v>
      </c>
      <c r="CD78" s="59">
        <f ca="1">AVERAGE(OFFSET($CC$3,0,0,'Données projet'!$E$12+1,1))-AVERAGE(OFFSET($H$3,0,0,'Données projet'!$E$12+1,1))</f>
        <v>251.30277097589737</v>
      </c>
      <c r="CE78" s="59">
        <f t="shared" si="94"/>
        <v>224.11983819941796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8.9743589743589745</v>
      </c>
      <c r="CH78" s="16">
        <f>IF(ISNA(VLOOKUP(A78,'Données projet'!$A$113:$I$133,5,0)),0%,VLOOKUP(A78,'Données projet'!$A$113:$I$133,5,0)*VLOOKUP('Données projet'!$B$12,Paramètres!$A$1:$I$89,7,0))</f>
        <v>4.3000000000000003E-2</v>
      </c>
      <c r="CI78" s="16">
        <f>IF(ISNA(VLOOKUP(A78,'Données projet'!$A$113:$I$133,6,0)),0%,VLOOKUP(A78,'Données projet'!$A$113:$I$133,6,0)*VLOOKUP('Données projet'!$B$12,Paramètres!$A$1:$I$89,7,0))</f>
        <v>0.215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1.8439545993193942</v>
      </c>
      <c r="CL78" s="21">
        <f>EXP(-LN(2)/25)*CL77+(1-EXP(-LN(2)/25))/(LN(2)/25)*Calculateur!CG78*Calculateur!CI78*VLOOKUP('Données projet'!$B$12,Paramètres!$A$1:$I$89,3,0)*0.475*44/12</f>
        <v>16.233592403745906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18.077547003065298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214</v>
      </c>
      <c r="CR78" s="12">
        <f>VLOOKUP(A78,'Données projet'!$A$139:$I$159,9,0)</f>
        <v>2.6</v>
      </c>
      <c r="CS78" s="12">
        <f t="array" ref="CS78">INDEX(CR:CR,MIN(IF(ISNUMBER(CR78:CR274),ROW(CR78:CR274),"")))</f>
        <v>2.6</v>
      </c>
      <c r="CT78" s="12">
        <f>IF('Données projet'!$A$140&gt;35,CT77+CS78-DB77,IF(A78&lt;'Données projet'!$A$140,$CQ$205^A78,IF(A78='Données projet'!$A$140,'Données projet'!$B$140,CT77+CS78-DB77)))</f>
        <v>214</v>
      </c>
      <c r="CU78" s="17">
        <f>CT78*VLOOKUP('Données projet'!$B$13,Paramètres!$A$1:$I$89,3,0)*VLOOKUP('Données projet'!$B$13,Paramètres!$A$1:$I$89,5,0)</f>
        <v>186.95040000000003</v>
      </c>
      <c r="CV78" s="13">
        <f t="shared" si="95"/>
        <v>46.865095976617653</v>
      </c>
      <c r="CW78" s="20">
        <f t="shared" si="67"/>
        <v>407.22865549260911</v>
      </c>
      <c r="CX78" s="59">
        <f t="shared" si="68"/>
        <v>675.89024019243391</v>
      </c>
      <c r="CY78" s="59">
        <f ca="1">AVERAGE(OFFSET($CX$3,0,0,'Données projet'!$E$13+1,1))-AVERAGE(OFFSET($H$3,0,0,'Données projet'!$E$13+1,1))</f>
        <v>287.28439432670405</v>
      </c>
      <c r="CZ78" s="59">
        <f t="shared" si="96"/>
        <v>276.01618888357268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7</v>
      </c>
      <c r="DC78" s="16">
        <f>IF(ISNA(VLOOKUP(A78,'Données projet'!$A$139:$I$159,5,0)),0%,VLOOKUP(A78,'Données projet'!$A$139:$I$159,5,0)*VLOOKUP('Données projet'!$B$13,Paramètres!$A$1:$I$89,7,0))</f>
        <v>0.13250000000000001</v>
      </c>
      <c r="DD78" s="16">
        <f>IF(ISNA(VLOOKUP(A78,'Données projet'!$A$139:$I$159,6,0)),0%,VLOOKUP(A78,'Données projet'!$A$139:$I$159,6,0)*VLOOKUP('Données projet'!$B$13,Paramètres!$A$1:$I$89,7,0))</f>
        <v>0.13250000000000001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5.4794548280228152</v>
      </c>
      <c r="DG78" s="21">
        <f>EXP(-LN(2)/25)*DG77+(1-EXP(-LN(2)/25))/(LN(2)/25)*Calculateur!DB78*Calculateur!DD78*VLOOKUP('Données projet'!$B$13,Paramètres!$A$1:$I$89,3,0)*0.475*44/12</f>
        <v>9.8592554889262054</v>
      </c>
      <c r="DH78" s="21">
        <f>EXP(-LN(2)/2)*DH77+(1-EXP(-LN(2)/2))/(LN(2)/2)*DB78*DE78*VLOOKUP('Données projet'!$B$13,Paramètres!$A$1:$I$89,3,0)*0.475*44/12</f>
        <v>1.7984651499719739</v>
      </c>
      <c r="DI78" s="22">
        <f t="shared" si="69"/>
        <v>17.137175466920993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89.102564102564102</v>
      </c>
      <c r="DM78" s="12">
        <f>VLOOKUP(A78,'Données projet'!$A$165:$I$185,9,0)</f>
        <v>2.4358974358974366</v>
      </c>
      <c r="DN78" s="12">
        <f t="array" ref="DN78">INDEX(DM:DM,MIN(IF(ISNUMBER(DM78:DM274),ROW(DM78:DM274),"")))</f>
        <v>2.4358974358974366</v>
      </c>
      <c r="DO78" s="12">
        <f>IF('Données projet'!$A$166&gt;35,DO77+DN78-DW77,IF(A78&lt;'Données projet'!$A$166,$DL$205^A78,IF(A78='Données projet'!$A$166,'Données projet'!$B$166,DO77+DN78-DW77)))</f>
        <v>89.10256410256406</v>
      </c>
      <c r="DP78" s="17">
        <f>DO78*VLOOKUP('Données projet'!$B$14,Paramètres!$A$1:$I$89,3,0)*VLOOKUP('Données projet'!$B$14,Paramètres!$A$1:$I$89,5,0)</f>
        <v>86.179999999999964</v>
      </c>
      <c r="DQ78" s="13">
        <f t="shared" si="97"/>
        <v>23.641620366262963</v>
      </c>
      <c r="DR78" s="20">
        <f t="shared" si="70"/>
        <v>191.27265547124125</v>
      </c>
      <c r="DS78" s="59">
        <f t="shared" si="71"/>
        <v>459.93424017106605</v>
      </c>
      <c r="DT78" s="59">
        <f ca="1">AVERAGE(OFFSET($DS$3,0,0,'Données projet'!$E$14+1,1))-AVERAGE(OFFSET($H$3,0,0,'Données projet'!$E$14+1,1))</f>
        <v>206.5245935130306</v>
      </c>
      <c r="DU78" s="59">
        <f t="shared" si="98"/>
        <v>130.57011290898546</v>
      </c>
      <c r="DV78" s="15">
        <f>IF(ISNA(VLOOKUP(A78,'Données projet'!$A$165:$I$185,3,0)),0,VLOOKUP(A78,'Données projet'!$A$165:$I$185,3,0))</f>
        <v>11</v>
      </c>
      <c r="DW78" s="15">
        <f>IF(ISNA(VLOOKUP(A78,'Données projet'!$A$165:$I$185,4,0)),0,VLOOKUP(A78,'Données projet'!$A$165:$I$185,4,0))</f>
        <v>6.4102564102564097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0.1075</v>
      </c>
      <c r="DZ78" s="16">
        <f>IF(ISNA(VLOOKUP(A78,'Données projet'!$A$165:$I$185,7,0)),0%,VLOOKUP(A78,'Données projet'!$A$165:$I$185,7,0))</f>
        <v>0.25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4.2910287317074811</v>
      </c>
      <c r="EC78" s="21">
        <f>EXP(-LN(2)/2)*EC77+(1-EXP(-LN(2)/2))/(LN(2)/2)*DW78*DZ78*VLOOKUP('Données projet'!$B$14,Paramètres!$A$1:$I$89,3,0)*0.475*44/12</f>
        <v>1.7765073206229596</v>
      </c>
      <c r="ED78" s="22">
        <f t="shared" si="72"/>
        <v>6.0675360523304409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11.117500000000001</v>
      </c>
      <c r="EJ78" s="12">
        <f>IF('Données projet'!$A$192&gt;35,EJ77+EI78-ER77,IF(A78&lt;'Données projet'!$A$192,$EG$205^A78,IF(A78='Données projet'!$A$192,'Données projet'!$B$192,EJ77+EI78-ER77)))</f>
        <v>313.9849999999999</v>
      </c>
      <c r="EK78" s="17">
        <f>EJ78*VLOOKUP('Données projet'!$B$15,Paramètres!$A$1:$I$89,3,0)*VLOOKUP('Données projet'!$B$15,Paramètres!$A$1:$I$89,5,0)</f>
        <v>146.94497999999996</v>
      </c>
      <c r="EL78" s="13">
        <f t="shared" si="99"/>
        <v>37.883492113436546</v>
      </c>
      <c r="EM78" s="20">
        <f t="shared" si="73"/>
        <v>321.90958893090192</v>
      </c>
      <c r="EN78" s="59">
        <f t="shared" si="74"/>
        <v>590.57117363072666</v>
      </c>
      <c r="EO78" s="59">
        <f ca="1">AVERAGE(OFFSET($EN$3,0,0,'Données projet'!$E$15+1,1))-AVERAGE(OFFSET($H$3,0,0,'Données projet'!$E$15+1,1))</f>
        <v>374.38106339726073</v>
      </c>
      <c r="EP78" s="59">
        <f t="shared" si="100"/>
        <v>296.53283288925957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45.298388923152537</v>
      </c>
      <c r="EW78" s="21">
        <f>EXP(-LN(2)/25)*EW77+(1-EXP(-LN(2)/25))/(LN(2)/25)*Calculateur!ER78*Calculateur!ET78*VLOOKUP('Données projet'!$B$15,Paramètres!$A$1:$I$89,3,0)*0.475*44/12</f>
        <v>22.57403883181421</v>
      </c>
      <c r="EX78" s="21">
        <f>EXP(-LN(2)/2)*EX77+(1-EXP(-LN(2)/2))/(LN(2)/2)*ER78*EU78*VLOOKUP('Données projet'!$B$15,Paramètres!$A$1:$I$89,3,0)*0.475*44/12</f>
        <v>5.562472637859913</v>
      </c>
      <c r="EY78" s="22">
        <f t="shared" si="75"/>
        <v>73.434900392826663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9">
        <f t="shared" si="55"/>
        <v>814.63712466398783</v>
      </c>
      <c r="S79" s="59">
        <f ca="1">AVERAGE(OFFSET($R$3,0,0,'Données projet'!$E$9+1,1))-AVERAGE(OFFSET($H$3,0,0,'Données projet'!$E$9+1,1))</f>
        <v>681.47578137804555</v>
      </c>
      <c r="T79" s="59">
        <f t="shared" si="88"/>
        <v>300.88511065995885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225.52919999999992</v>
      </c>
      <c r="AK79" s="13">
        <f t="shared" si="89"/>
        <v>55.314888425951921</v>
      </c>
      <c r="AL79" s="20">
        <f t="shared" si="58"/>
        <v>489.13678734186618</v>
      </c>
      <c r="AM79" s="59">
        <f t="shared" si="59"/>
        <v>758.22637172271561</v>
      </c>
      <c r="AN79" s="59">
        <f ca="1">AVERAGE(OFFSET($AM$3,0,0,'Données projet'!$E$10+1,1))-AVERAGE(OFFSET($H$3,0,0,'Données projet'!$E$10+1,1))</f>
        <v>423.80243030843661</v>
      </c>
      <c r="AO79" s="59">
        <f t="shared" si="90"/>
        <v>260.29028006191834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4.436989209787022</v>
      </c>
      <c r="AV79" s="21">
        <f>EXP(-LN(2)/25)*AV78+(1-EXP(-LN(2)/25))/(LN(2)/25)*Calculateur!AQ79*Calculateur!AS79*VLOOKUP('Données projet'!$B$10,Paramètres!$A$1:$I$89,3,0)*0.475*44/12</f>
        <v>13.549296492214847</v>
      </c>
      <c r="AW79" s="21">
        <f>EXP(-LN(2)/2)*AW78+(1-EXP(-LN(2)/2))/(LN(2)/2)*AQ79*AT79*VLOOKUP('Données projet'!$B$10,Paramètres!$A$1:$I$89,3,0)*0.475*44/12</f>
        <v>4.0488843014709772</v>
      </c>
      <c r="AX79" s="21">
        <f t="shared" si="60"/>
        <v>22.035170003472846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9.7839999999999971</v>
      </c>
      <c r="BD79" s="12">
        <f>IF('Données projet'!$A$88&gt;35,BD78+BC79-BL78,IF(A79&lt;'Données projet'!$A$88,$BA$205^A79,IF(A79='Données projet'!$A$88,'Données projet'!$B$88,BD78+BC79-BL78)))</f>
        <v>480.89399999999972</v>
      </c>
      <c r="BE79" s="13">
        <f>BD79*VLOOKUP('Données projet'!$B$11,Paramètres!$A$1:$I$89,3,0)*VLOOKUP('Données projet'!$B$11,Paramètres!$A$1:$I$89,5,0)</f>
        <v>287.57461199999989</v>
      </c>
      <c r="BF79" s="13">
        <f t="shared" si="91"/>
        <v>68.565246901335968</v>
      </c>
      <c r="BG79" s="20">
        <f t="shared" si="61"/>
        <v>620.27692091982669</v>
      </c>
      <c r="BH79" s="59">
        <f t="shared" si="62"/>
        <v>889.36650530067618</v>
      </c>
      <c r="BI79" s="59">
        <f ca="1">AVERAGE(OFFSET($BH$3,0,0,'Données projet'!$E$11+1,1))-AVERAGE(OFFSET($H$3,0,0,'Données projet'!$E$11+1,1))</f>
        <v>373.61861223558259</v>
      </c>
      <c r="BJ79" s="59">
        <f t="shared" si="92"/>
        <v>277.62293009761049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45.336608772135044</v>
      </c>
      <c r="BQ79" s="21">
        <f>EXP(-LN(2)/25)*BQ78+(1-EXP(-LN(2)/25))/(LN(2)/25)*Calculateur!BL79*Calculateur!BN79*VLOOKUP('Données projet'!$B$11,Paramètres!$A$1:$I$89,3,0)*0.475*44/12</f>
        <v>16.494123596448315</v>
      </c>
      <c r="BR79" s="21">
        <f>EXP(-LN(2)/2)*BR78+(1-EXP(-LN(2)/2))/(LN(2)/2)*BL79*BO79*VLOOKUP('Données projet'!$B$11,Paramètres!$A$1:$I$89,3,0)*0.475*44/12</f>
        <v>1.1871572158367227</v>
      </c>
      <c r="BS79" s="22">
        <f t="shared" si="63"/>
        <v>63.017889584420075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2.3076923076923093</v>
      </c>
      <c r="BY79" s="12">
        <f>IF('Données projet'!$A$114&gt;35,BY78+BX79-CG78,IF(A79&lt;'Données projet'!$A$114,$BV$205^A79,IF(A79='Données projet'!$A$114,'Données projet'!$B$114,BY78+BX79-CG78)))</f>
        <v>136.28205128205136</v>
      </c>
      <c r="BZ79" s="13">
        <f>BY79*VLOOKUP('Données projet'!$B$12,Paramètres!$A$1:$I$89,3,0)*VLOOKUP('Données projet'!$B$12,Paramètres!$A$1:$I$89,5,0)</f>
        <v>119.05600000000008</v>
      </c>
      <c r="CA79" s="13">
        <f t="shared" si="93"/>
        <v>31.454725696254322</v>
      </c>
      <c r="CB79" s="20">
        <f t="shared" si="64"/>
        <v>262.13951392097641</v>
      </c>
      <c r="CC79" s="59">
        <f t="shared" si="65"/>
        <v>531.22909830182584</v>
      </c>
      <c r="CD79" s="59">
        <f ca="1">AVERAGE(OFFSET($CC$3,0,0,'Données projet'!$E$12+1,1))-AVERAGE(OFFSET($H$3,0,0,'Données projet'!$E$12+1,1))</f>
        <v>251.30277097589737</v>
      </c>
      <c r="CE79" s="59">
        <f t="shared" si="94"/>
        <v>224.11983819941796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1.8077957743279915</v>
      </c>
      <c r="CL79" s="21">
        <f>EXP(-LN(2)/25)*CL78+(1-EXP(-LN(2)/25))/(LN(2)/25)*Calculateur!CG79*Calculateur!CI79*VLOOKUP('Données projet'!$B$12,Paramètres!$A$1:$I$89,3,0)*0.475*44/12</f>
        <v>15.789683965777952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17.597479740105943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2.4</v>
      </c>
      <c r="CT79" s="12">
        <f>IF('Données projet'!$A$140&gt;35,CT78+CS79-DB78,IF(A79&lt;'Données projet'!$A$140,$CQ$205^A79,IF(A79='Données projet'!$A$140,'Données projet'!$B$140,CT78+CS79-DB78)))</f>
        <v>209.4</v>
      </c>
      <c r="CU79" s="17">
        <f>CT79*VLOOKUP('Données projet'!$B$13,Paramètres!$A$1:$I$89,3,0)*VLOOKUP('Données projet'!$B$13,Paramètres!$A$1:$I$89,5,0)</f>
        <v>182.93184000000002</v>
      </c>
      <c r="CV79" s="13">
        <f t="shared" si="95"/>
        <v>45.973851929814685</v>
      </c>
      <c r="CW79" s="20">
        <f t="shared" si="67"/>
        <v>398.67741344442726</v>
      </c>
      <c r="CX79" s="59">
        <f t="shared" si="68"/>
        <v>667.76699782527669</v>
      </c>
      <c r="CY79" s="59">
        <f ca="1">AVERAGE(OFFSET($CX$3,0,0,'Données projet'!$E$13+1,1))-AVERAGE(OFFSET($H$3,0,0,'Données projet'!$E$13+1,1))</f>
        <v>287.28439432670405</v>
      </c>
      <c r="CZ79" s="59">
        <f t="shared" si="96"/>
        <v>276.01618888357268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5.3720060609827245</v>
      </c>
      <c r="DG79" s="21">
        <f>EXP(-LN(2)/25)*DG78+(1-EXP(-LN(2)/25))/(LN(2)/25)*Calculateur!DB79*Calculateur!DD79*VLOOKUP('Données projet'!$B$13,Paramètres!$A$1:$I$89,3,0)*0.475*44/12</f>
        <v>9.5896536291058059</v>
      </c>
      <c r="DH79" s="21">
        <f>EXP(-LN(2)/2)*DH78+(1-EXP(-LN(2)/2))/(LN(2)/2)*DB79*DE79*VLOOKUP('Données projet'!$B$13,Paramètres!$A$1:$I$89,3,0)*0.475*44/12</f>
        <v>1.2717069032728641</v>
      </c>
      <c r="DI79" s="22">
        <f t="shared" si="69"/>
        <v>16.233366593361396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2.1794871794871797</v>
      </c>
      <c r="DO79" s="12">
        <f>IF('Données projet'!$A$166&gt;35,DO78+DN79-DW78,IF(A79&lt;'Données projet'!$A$166,$DL$205^A79,IF(A79='Données projet'!$A$166,'Données projet'!$B$166,DO78+DN79-DW78)))</f>
        <v>84.871794871794833</v>
      </c>
      <c r="DP79" s="17">
        <f>DO79*VLOOKUP('Données projet'!$B$14,Paramètres!$A$1:$I$89,3,0)*VLOOKUP('Données projet'!$B$14,Paramètres!$A$1:$I$89,5,0)</f>
        <v>82.087999999999965</v>
      </c>
      <c r="DQ79" s="13">
        <f t="shared" si="97"/>
        <v>22.646942912880803</v>
      </c>
      <c r="DR79" s="20">
        <f t="shared" si="70"/>
        <v>182.41335890660068</v>
      </c>
      <c r="DS79" s="59">
        <f t="shared" si="71"/>
        <v>451.50294328745008</v>
      </c>
      <c r="DT79" s="59">
        <f ca="1">AVERAGE(OFFSET($DS$3,0,0,'Données projet'!$E$14+1,1))-AVERAGE(OFFSET($H$3,0,0,'Données projet'!$E$14+1,1))</f>
        <v>206.5245935130306</v>
      </c>
      <c r="DU79" s="59">
        <f t="shared" si="98"/>
        <v>130.57011290898546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4.1736903253835465</v>
      </c>
      <c r="EC79" s="21">
        <f>EXP(-LN(2)/2)*EC78+(1-EXP(-LN(2)/2))/(LN(2)/2)*DW79*DZ79*VLOOKUP('Données projet'!$B$14,Paramètres!$A$1:$I$89,3,0)*0.475*44/12</f>
        <v>1.2561803732400389</v>
      </c>
      <c r="ED79" s="22">
        <f t="shared" si="72"/>
        <v>5.429870698623585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11.117500000000001</v>
      </c>
      <c r="EJ79" s="12">
        <f>IF('Données projet'!$A$192&gt;35,EJ78+EI79-ER78,IF(A79&lt;'Données projet'!$A$192,$EG$205^A79,IF(A79='Données projet'!$A$192,'Données projet'!$B$192,EJ78+EI79-ER78)))</f>
        <v>325.10249999999991</v>
      </c>
      <c r="EK79" s="17">
        <f>EJ79*VLOOKUP('Données projet'!$B$15,Paramètres!$A$1:$I$89,3,0)*VLOOKUP('Données projet'!$B$15,Paramètres!$A$1:$I$89,5,0)</f>
        <v>152.14796999999996</v>
      </c>
      <c r="EL79" s="13">
        <f t="shared" si="99"/>
        <v>39.066314845830235</v>
      </c>
      <c r="EM79" s="20">
        <f t="shared" si="73"/>
        <v>333.03154610648761</v>
      </c>
      <c r="EN79" s="59">
        <f t="shared" si="74"/>
        <v>602.12113048733704</v>
      </c>
      <c r="EO79" s="59">
        <f ca="1">AVERAGE(OFFSET($EN$3,0,0,'Données projet'!$E$15+1,1))-AVERAGE(OFFSET($H$3,0,0,'Données projet'!$E$15+1,1))</f>
        <v>374.38106339726073</v>
      </c>
      <c r="EP79" s="59">
        <f t="shared" si="100"/>
        <v>296.53283288925957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44.410115145658594</v>
      </c>
      <c r="EW79" s="21">
        <f>EXP(-LN(2)/25)*EW78+(1-EXP(-LN(2)/25))/(LN(2)/25)*Calculateur!ER79*Calculateur!ET79*VLOOKUP('Données projet'!$B$15,Paramètres!$A$1:$I$89,3,0)*0.475*44/12</f>
        <v>21.956750552841143</v>
      </c>
      <c r="EX79" s="21">
        <f>EXP(-LN(2)/2)*EX78+(1-EXP(-LN(2)/2))/(LN(2)/2)*ER79*EU79*VLOOKUP('Données projet'!$B$15,Paramètres!$A$1:$I$89,3,0)*0.475*44/12</f>
        <v>3.9332621223953677</v>
      </c>
      <c r="EY79" s="22">
        <f t="shared" si="75"/>
        <v>70.300127820895099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9">
        <f t="shared" si="55"/>
        <v>833.31444815049827</v>
      </c>
      <c r="S80" s="59">
        <f ca="1">AVERAGE(OFFSET($R$3,0,0,'Données projet'!$E$9+1,1))-AVERAGE(OFFSET($H$3,0,0,'Données projet'!$E$9+1,1))</f>
        <v>681.47578137804555</v>
      </c>
      <c r="T80" s="59">
        <f t="shared" si="88"/>
        <v>300.88511065995885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231.23879999999991</v>
      </c>
      <c r="AK80" s="13">
        <f t="shared" si="89"/>
        <v>56.55045525673966</v>
      </c>
      <c r="AL80" s="20">
        <f t="shared" si="58"/>
        <v>501.23295290548805</v>
      </c>
      <c r="AM80" s="59">
        <f t="shared" si="59"/>
        <v>770.74311212976033</v>
      </c>
      <c r="AN80" s="59">
        <f ca="1">AVERAGE(OFFSET($AM$3,0,0,'Données projet'!$E$10+1,1))-AVERAGE(OFFSET($H$3,0,0,'Données projet'!$E$10+1,1))</f>
        <v>423.80243030843661</v>
      </c>
      <c r="AO80" s="59">
        <f t="shared" si="90"/>
        <v>260.29028006191834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4.3499825576792919</v>
      </c>
      <c r="AV80" s="21">
        <f>EXP(-LN(2)/25)*AV79+(1-EXP(-LN(2)/25))/(LN(2)/25)*Calculateur!AQ80*Calculateur!AS80*VLOOKUP('Données projet'!$B$10,Paramètres!$A$1:$I$89,3,0)*0.475*44/12</f>
        <v>13.178790267108697</v>
      </c>
      <c r="AW80" s="21">
        <f>EXP(-LN(2)/2)*AW79+(1-EXP(-LN(2)/2))/(LN(2)/2)*AQ80*AT80*VLOOKUP('Données projet'!$B$10,Paramètres!$A$1:$I$89,3,0)*0.475*44/12</f>
        <v>2.8629935458098856</v>
      </c>
      <c r="AX80" s="21">
        <f t="shared" si="60"/>
        <v>20.391766370597875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9.7839999999999971</v>
      </c>
      <c r="BD80" s="12">
        <f>IF('Données projet'!$A$88&gt;35,BD79+BC80-BL79,IF(A80&lt;'Données projet'!$A$88,$BA$205^A80,IF(A80='Données projet'!$A$88,'Données projet'!$B$88,BD79+BC80-BL79)))</f>
        <v>490.67799999999971</v>
      </c>
      <c r="BE80" s="13">
        <f>BD80*VLOOKUP('Données projet'!$B$11,Paramètres!$A$1:$I$89,3,0)*VLOOKUP('Données projet'!$B$11,Paramètres!$A$1:$I$89,5,0)</f>
        <v>293.42544399999986</v>
      </c>
      <c r="BF80" s="13">
        <f t="shared" si="91"/>
        <v>69.796411555705205</v>
      </c>
      <c r="BG80" s="20">
        <f t="shared" si="61"/>
        <v>632.61139842618638</v>
      </c>
      <c r="BH80" s="59">
        <f t="shared" si="62"/>
        <v>902.12155765045873</v>
      </c>
      <c r="BI80" s="59">
        <f ca="1">AVERAGE(OFFSET($BH$3,0,0,'Données projet'!$E$11+1,1))-AVERAGE(OFFSET($H$3,0,0,'Données projet'!$E$11+1,1))</f>
        <v>373.61861223558259</v>
      </c>
      <c r="BJ80" s="59">
        <f t="shared" si="92"/>
        <v>277.62293009761049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44.447585526714356</v>
      </c>
      <c r="BQ80" s="21">
        <f>EXP(-LN(2)/25)*BQ79+(1-EXP(-LN(2)/25))/(LN(2)/25)*Calculateur!BL80*Calculateur!BN80*VLOOKUP('Données projet'!$B$11,Paramètres!$A$1:$I$89,3,0)*0.475*44/12</f>
        <v>16.043090919315173</v>
      </c>
      <c r="BR80" s="21">
        <f>EXP(-LN(2)/2)*BR79+(1-EXP(-LN(2)/2))/(LN(2)/2)*BL80*BO80*VLOOKUP('Données projet'!$B$11,Paramètres!$A$1:$I$89,3,0)*0.475*44/12</f>
        <v>0.83944691765268853</v>
      </c>
      <c r="BS80" s="22">
        <f t="shared" si="63"/>
        <v>61.330123363682212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2.3076923076923093</v>
      </c>
      <c r="BY80" s="12">
        <f>IF('Données projet'!$A$114&gt;35,BY79+BX80-CG79,IF(A80&lt;'Données projet'!$A$114,$BV$205^A80,IF(A80='Données projet'!$A$114,'Données projet'!$B$114,BY79+BX80-CG79)))</f>
        <v>138.58974358974368</v>
      </c>
      <c r="BZ80" s="13">
        <f>BY80*VLOOKUP('Données projet'!$B$12,Paramètres!$A$1:$I$89,3,0)*VLOOKUP('Données projet'!$B$12,Paramètres!$A$1:$I$89,5,0)</f>
        <v>121.07200000000009</v>
      </c>
      <c r="CA80" s="13">
        <f t="shared" si="93"/>
        <v>31.92489612627956</v>
      </c>
      <c r="CB80" s="20">
        <f t="shared" si="64"/>
        <v>266.46959408660371</v>
      </c>
      <c r="CC80" s="59">
        <f t="shared" si="65"/>
        <v>535.97975331087605</v>
      </c>
      <c r="CD80" s="59">
        <f ca="1">AVERAGE(OFFSET($CC$3,0,0,'Données projet'!$E$12+1,1))-AVERAGE(OFFSET($H$3,0,0,'Données projet'!$E$12+1,1))</f>
        <v>251.30277097589737</v>
      </c>
      <c r="CE80" s="59">
        <f t="shared" si="94"/>
        <v>224.11983819941796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1.7723460018399646</v>
      </c>
      <c r="CL80" s="21">
        <f>EXP(-LN(2)/25)*CL79+(1-EXP(-LN(2)/25))/(LN(2)/25)*Calculateur!CG80*Calculateur!CI80*VLOOKUP('Données projet'!$B$12,Paramètres!$A$1:$I$89,3,0)*0.475*44/12</f>
        <v>15.357914227390362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17.130260229230327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2.4</v>
      </c>
      <c r="CT80" s="12">
        <f>IF('Données projet'!$A$140&gt;35,CT79+CS80-DB79,IF(A80&lt;'Données projet'!$A$140,$CQ$205^A80,IF(A80='Données projet'!$A$140,'Données projet'!$B$140,CT79+CS80-DB79)))</f>
        <v>211.8</v>
      </c>
      <c r="CU80" s="17">
        <f>CT80*VLOOKUP('Données projet'!$B$13,Paramètres!$A$1:$I$89,3,0)*VLOOKUP('Données projet'!$B$13,Paramètres!$A$1:$I$89,5,0)</f>
        <v>185.02848000000003</v>
      </c>
      <c r="CV80" s="13">
        <f t="shared" si="95"/>
        <v>46.43913001874585</v>
      </c>
      <c r="CW80" s="20">
        <f t="shared" si="67"/>
        <v>403.13942078264904</v>
      </c>
      <c r="CX80" s="59">
        <f t="shared" si="68"/>
        <v>672.64958000692127</v>
      </c>
      <c r="CY80" s="59">
        <f ca="1">AVERAGE(OFFSET($CX$3,0,0,'Données projet'!$E$13+1,1))-AVERAGE(OFFSET($H$3,0,0,'Données projet'!$E$13+1,1))</f>
        <v>287.28439432670405</v>
      </c>
      <c r="CZ80" s="59">
        <f t="shared" si="96"/>
        <v>276.01618888357268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5.2666642987270134</v>
      </c>
      <c r="DG80" s="21">
        <f>EXP(-LN(2)/25)*DG79+(1-EXP(-LN(2)/25))/(LN(2)/25)*Calculateur!DB80*Calculateur!DD80*VLOOKUP('Données projet'!$B$13,Paramètres!$A$1:$I$89,3,0)*0.475*44/12</f>
        <v>9.3274240463199405</v>
      </c>
      <c r="DH80" s="21">
        <f>EXP(-LN(2)/2)*DH79+(1-EXP(-LN(2)/2))/(LN(2)/2)*DB80*DE80*VLOOKUP('Données projet'!$B$13,Paramètres!$A$1:$I$89,3,0)*0.475*44/12</f>
        <v>0.89923257498598708</v>
      </c>
      <c r="DI80" s="22">
        <f t="shared" si="69"/>
        <v>15.493320920032941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2.1794871794871797</v>
      </c>
      <c r="DO80" s="12">
        <f>IF('Données projet'!$A$166&gt;35,DO79+DN80-DW79,IF(A80&lt;'Données projet'!$A$166,$DL$205^A80,IF(A80='Données projet'!$A$166,'Données projet'!$B$166,DO79+DN80-DW79)))</f>
        <v>87.051282051282016</v>
      </c>
      <c r="DP80" s="17">
        <f>DO80*VLOOKUP('Données projet'!$B$14,Paramètres!$A$1:$I$89,3,0)*VLOOKUP('Données projet'!$B$14,Paramètres!$A$1:$I$89,5,0)</f>
        <v>84.19599999999997</v>
      </c>
      <c r="DQ80" s="13">
        <f t="shared" si="97"/>
        <v>23.160055641180868</v>
      </c>
      <c r="DR80" s="20">
        <f t="shared" si="70"/>
        <v>186.97846357505659</v>
      </c>
      <c r="DS80" s="59">
        <f t="shared" si="71"/>
        <v>456.48862279932888</v>
      </c>
      <c r="DT80" s="59">
        <f ca="1">AVERAGE(OFFSET($DS$3,0,0,'Données projet'!$E$14+1,1))-AVERAGE(OFFSET($H$3,0,0,'Données projet'!$E$14+1,1))</f>
        <v>206.5245935130306</v>
      </c>
      <c r="DU80" s="59">
        <f t="shared" si="98"/>
        <v>130.57011290898546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4.0595605439510987</v>
      </c>
      <c r="EC80" s="21">
        <f>EXP(-LN(2)/2)*EC79+(1-EXP(-LN(2)/2))/(LN(2)/2)*DW80*DZ80*VLOOKUP('Données projet'!$B$14,Paramètres!$A$1:$I$89,3,0)*0.475*44/12</f>
        <v>0.8882536603114799</v>
      </c>
      <c r="ED80" s="22">
        <f t="shared" si="72"/>
        <v>4.9478142042625786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11.117500000000001</v>
      </c>
      <c r="EJ80" s="12">
        <f>IF('Données projet'!$A$192&gt;35,EJ79+EI80-ER79,IF(A80&lt;'Données projet'!$A$192,$EG$205^A80,IF(A80='Données projet'!$A$192,'Données projet'!$B$192,EJ79+EI80-ER79)))</f>
        <v>336.21999999999991</v>
      </c>
      <c r="EK80" s="17">
        <f>EJ80*VLOOKUP('Données projet'!$B$15,Paramètres!$A$1:$I$89,3,0)*VLOOKUP('Données projet'!$B$15,Paramètres!$A$1:$I$89,5,0)</f>
        <v>157.35095999999996</v>
      </c>
      <c r="EL80" s="13">
        <f t="shared" si="99"/>
        <v>40.24443771922904</v>
      </c>
      <c r="EM80" s="20">
        <f t="shared" si="73"/>
        <v>344.14531769432386</v>
      </c>
      <c r="EN80" s="59">
        <f t="shared" si="74"/>
        <v>613.65547691859615</v>
      </c>
      <c r="EO80" s="59">
        <f ca="1">AVERAGE(OFFSET($EN$3,0,0,'Données projet'!$E$15+1,1))-AVERAGE(OFFSET($H$3,0,0,'Données projet'!$E$15+1,1))</f>
        <v>374.38106339726073</v>
      </c>
      <c r="EP80" s="59">
        <f t="shared" si="100"/>
        <v>296.53283288925957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43.539259875147799</v>
      </c>
      <c r="EW80" s="21">
        <f>EXP(-LN(2)/25)*EW79+(1-EXP(-LN(2)/25))/(LN(2)/25)*Calculateur!ER80*Calculateur!ET80*VLOOKUP('Données projet'!$B$15,Paramètres!$A$1:$I$89,3,0)*0.475*44/12</f>
        <v>21.356342054318372</v>
      </c>
      <c r="EX80" s="21">
        <f>EXP(-LN(2)/2)*EX79+(1-EXP(-LN(2)/2))/(LN(2)/2)*ER80*EU80*VLOOKUP('Données projet'!$B$15,Paramètres!$A$1:$I$89,3,0)*0.475*44/12</f>
        <v>2.7812363189299569</v>
      </c>
      <c r="EY80" s="22">
        <f t="shared" si="75"/>
        <v>67.676838248396123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9">
        <f t="shared" si="55"/>
        <v>851.97211446812946</v>
      </c>
      <c r="S81" s="59">
        <f ca="1">AVERAGE(OFFSET($R$3,0,0,'Données projet'!$E$9+1,1))-AVERAGE(OFFSET($H$3,0,0,'Données projet'!$E$9+1,1))</f>
        <v>681.47578137804555</v>
      </c>
      <c r="T81" s="59">
        <f t="shared" si="88"/>
        <v>300.88511065995885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236.94839999999991</v>
      </c>
      <c r="AK81" s="13">
        <f t="shared" si="89"/>
        <v>57.782475694292401</v>
      </c>
      <c r="AL81" s="20">
        <f t="shared" si="58"/>
        <v>513.32294183422573</v>
      </c>
      <c r="AM81" s="59">
        <f t="shared" si="59"/>
        <v>783.24637986865196</v>
      </c>
      <c r="AN81" s="59">
        <f ca="1">AVERAGE(OFFSET($AM$3,0,0,'Données projet'!$E$10+1,1))-AVERAGE(OFFSET($H$3,0,0,'Données projet'!$E$10+1,1))</f>
        <v>423.80243030843661</v>
      </c>
      <c r="AO81" s="59">
        <f t="shared" si="90"/>
        <v>260.29028006191834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4.2646820529505769</v>
      </c>
      <c r="AV81" s="21">
        <f>EXP(-LN(2)/25)*AV80+(1-EXP(-LN(2)/25))/(LN(2)/25)*Calculateur!AQ81*Calculateur!AS81*VLOOKUP('Données projet'!$B$10,Paramètres!$A$1:$I$89,3,0)*0.475*44/12</f>
        <v>12.81841555421215</v>
      </c>
      <c r="AW81" s="21">
        <f>EXP(-LN(2)/2)*AW80+(1-EXP(-LN(2)/2))/(LN(2)/2)*AQ81*AT81*VLOOKUP('Données projet'!$B$10,Paramètres!$A$1:$I$89,3,0)*0.475*44/12</f>
        <v>2.0244421507354886</v>
      </c>
      <c r="AX81" s="21">
        <f t="shared" si="60"/>
        <v>19.107539757898216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9.7839999999999971</v>
      </c>
      <c r="BD81" s="12">
        <f>IF('Données projet'!$A$88&gt;35,BD80+BC81-BL80,IF(A81&lt;'Données projet'!$A$88,$BA$205^A81,IF(A81='Données projet'!$A$88,'Données projet'!$B$88,BD80+BC81-BL80)))</f>
        <v>500.4619999999997</v>
      </c>
      <c r="BE81" s="13">
        <f>BD81*VLOOKUP('Données projet'!$B$11,Paramètres!$A$1:$I$89,3,0)*VLOOKUP('Données projet'!$B$11,Paramètres!$A$1:$I$89,5,0)</f>
        <v>299.27627599999983</v>
      </c>
      <c r="BF81" s="13">
        <f t="shared" si="91"/>
        <v>71.024721805685132</v>
      </c>
      <c r="BG81" s="20">
        <f t="shared" si="61"/>
        <v>644.94090451156796</v>
      </c>
      <c r="BH81" s="59">
        <f t="shared" si="62"/>
        <v>914.86434254599419</v>
      </c>
      <c r="BI81" s="59">
        <f ca="1">AVERAGE(OFFSET($BH$3,0,0,'Données projet'!$E$11+1,1))-AVERAGE(OFFSET($H$3,0,0,'Données projet'!$E$11+1,1))</f>
        <v>373.61861223558259</v>
      </c>
      <c r="BJ81" s="59">
        <f t="shared" si="92"/>
        <v>277.62293009761049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43.57599548488573</v>
      </c>
      <c r="BQ81" s="21">
        <f>EXP(-LN(2)/25)*BQ80+(1-EXP(-LN(2)/25))/(LN(2)/25)*Calculateur!BL81*Calculateur!BN81*VLOOKUP('Données projet'!$B$11,Paramètres!$A$1:$I$89,3,0)*0.475*44/12</f>
        <v>15.604391754457016</v>
      </c>
      <c r="BR81" s="21">
        <f>EXP(-LN(2)/2)*BR80+(1-EXP(-LN(2)/2))/(LN(2)/2)*BL81*BO81*VLOOKUP('Données projet'!$B$11,Paramètres!$A$1:$I$89,3,0)*0.475*44/12</f>
        <v>0.59357860791836148</v>
      </c>
      <c r="BS81" s="22">
        <f t="shared" si="63"/>
        <v>59.77396584726111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2.3076923076923093</v>
      </c>
      <c r="BY81" s="12">
        <f>IF('Données projet'!$A$114&gt;35,BY80+BX81-CG80,IF(A81&lt;'Données projet'!$A$114,$BV$205^A81,IF(A81='Données projet'!$A$114,'Données projet'!$B$114,BY80+BX81-CG80)))</f>
        <v>140.897435897436</v>
      </c>
      <c r="BZ81" s="13">
        <f>BY81*VLOOKUP('Données projet'!$B$12,Paramètres!$A$1:$I$89,3,0)*VLOOKUP('Données projet'!$B$12,Paramètres!$A$1:$I$89,5,0)</f>
        <v>123.08800000000011</v>
      </c>
      <c r="CA81" s="13">
        <f t="shared" si="93"/>
        <v>32.394156107533959</v>
      </c>
      <c r="CB81" s="20">
        <f t="shared" si="64"/>
        <v>270.79808855395521</v>
      </c>
      <c r="CC81" s="59">
        <f t="shared" si="65"/>
        <v>540.72152658838149</v>
      </c>
      <c r="CD81" s="59">
        <f ca="1">AVERAGE(OFFSET($CC$3,0,0,'Données projet'!$E$12+1,1))-AVERAGE(OFFSET($H$3,0,0,'Données projet'!$E$12+1,1))</f>
        <v>251.30277097589737</v>
      </c>
      <c r="CE81" s="59">
        <f t="shared" si="94"/>
        <v>224.11983819941796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1.7375913777682017</v>
      </c>
      <c r="CL81" s="21">
        <f>EXP(-LN(2)/25)*CL80+(1-EXP(-LN(2)/25))/(LN(2)/25)*Calculateur!CG81*Calculateur!CI81*VLOOKUP('Données projet'!$B$12,Paramètres!$A$1:$I$89,3,0)*0.475*44/12</f>
        <v>14.937951255204764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16.675542632972967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2.4</v>
      </c>
      <c r="CT81" s="12">
        <f>IF('Données projet'!$A$140&gt;35,CT80+CS81-DB80,IF(A81&lt;'Données projet'!$A$140,$CQ$205^A81,IF(A81='Données projet'!$A$140,'Données projet'!$B$140,CT80+CS81-DB80)))</f>
        <v>214.20000000000002</v>
      </c>
      <c r="CU81" s="17">
        <f>CT81*VLOOKUP('Données projet'!$B$13,Paramètres!$A$1:$I$89,3,0)*VLOOKUP('Données projet'!$B$13,Paramètres!$A$1:$I$89,5,0)</f>
        <v>187.12512000000004</v>
      </c>
      <c r="CV81" s="13">
        <f t="shared" si="95"/>
        <v>46.903794805770545</v>
      </c>
      <c r="CW81" s="20">
        <f t="shared" si="67"/>
        <v>407.60035995338376</v>
      </c>
      <c r="CX81" s="59">
        <f t="shared" si="68"/>
        <v>677.52379798780998</v>
      </c>
      <c r="CY81" s="59">
        <f ca="1">AVERAGE(OFFSET($CX$3,0,0,'Données projet'!$E$13+1,1))-AVERAGE(OFFSET($H$3,0,0,'Données projet'!$E$13+1,1))</f>
        <v>287.28439432670405</v>
      </c>
      <c r="CZ81" s="59">
        <f t="shared" si="96"/>
        <v>276.01618888357268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5.1633882241770062</v>
      </c>
      <c r="DG81" s="21">
        <f>EXP(-LN(2)/25)*DG80+(1-EXP(-LN(2)/25))/(LN(2)/25)*Calculateur!DB81*Calculateur!DD81*VLOOKUP('Données projet'!$B$13,Paramètres!$A$1:$I$89,3,0)*0.475*44/12</f>
        <v>9.0723651452654099</v>
      </c>
      <c r="DH81" s="21">
        <f>EXP(-LN(2)/2)*DH80+(1-EXP(-LN(2)/2))/(LN(2)/2)*DB81*DE81*VLOOKUP('Données projet'!$B$13,Paramètres!$A$1:$I$89,3,0)*0.475*44/12</f>
        <v>0.63585345163643214</v>
      </c>
      <c r="DI81" s="22">
        <f t="shared" si="69"/>
        <v>14.871606821078849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2.1794871794871797</v>
      </c>
      <c r="DO81" s="12">
        <f>IF('Données projet'!$A$166&gt;35,DO80+DN81-DW80,IF(A81&lt;'Données projet'!$A$166,$DL$205^A81,IF(A81='Données projet'!$A$166,'Données projet'!$B$166,DO80+DN81-DW80)))</f>
        <v>89.230769230769198</v>
      </c>
      <c r="DP81" s="17">
        <f>DO81*VLOOKUP('Données projet'!$B$14,Paramètres!$A$1:$I$89,3,0)*VLOOKUP('Données projet'!$B$14,Paramètres!$A$1:$I$89,5,0)</f>
        <v>86.303999999999974</v>
      </c>
      <c r="DQ81" s="13">
        <f t="shared" si="97"/>
        <v>23.671675024340772</v>
      </c>
      <c r="DR81" s="20">
        <f t="shared" si="70"/>
        <v>191.54096733406013</v>
      </c>
      <c r="DS81" s="59">
        <f t="shared" si="71"/>
        <v>461.46440536848638</v>
      </c>
      <c r="DT81" s="59">
        <f ca="1">AVERAGE(OFFSET($DS$3,0,0,'Données projet'!$E$14+1,1))-AVERAGE(OFFSET($H$3,0,0,'Données projet'!$E$14+1,1))</f>
        <v>206.5245935130306</v>
      </c>
      <c r="DU81" s="59">
        <f t="shared" si="98"/>
        <v>130.57011290898546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3.948551647393745</v>
      </c>
      <c r="EC81" s="21">
        <f>EXP(-LN(2)/2)*EC80+(1-EXP(-LN(2)/2))/(LN(2)/2)*DW81*DZ81*VLOOKUP('Données projet'!$B$14,Paramètres!$A$1:$I$89,3,0)*0.475*44/12</f>
        <v>0.62809018662001959</v>
      </c>
      <c r="ED81" s="22">
        <f t="shared" si="72"/>
        <v>4.5766418340137642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11.117500000000001</v>
      </c>
      <c r="EJ81" s="12">
        <f>IF('Données projet'!$A$192&gt;35,EJ80+EI81-ER80,IF(A81&lt;'Données projet'!$A$192,$EG$205^A81,IF(A81='Données projet'!$A$192,'Données projet'!$B$192,EJ80+EI81-ER80)))</f>
        <v>347.33749999999992</v>
      </c>
      <c r="EK81" s="17">
        <f>EJ81*VLOOKUP('Données projet'!$B$15,Paramètres!$A$1:$I$89,3,0)*VLOOKUP('Données projet'!$B$15,Paramètres!$A$1:$I$89,5,0)</f>
        <v>162.55394999999996</v>
      </c>
      <c r="EL81" s="13">
        <f t="shared" si="99"/>
        <v>41.418033959800411</v>
      </c>
      <c r="EM81" s="20">
        <f t="shared" si="73"/>
        <v>355.25120539665227</v>
      </c>
      <c r="EN81" s="59">
        <f t="shared" si="74"/>
        <v>625.17464343107849</v>
      </c>
      <c r="EO81" s="59">
        <f ca="1">AVERAGE(OFFSET($EN$3,0,0,'Données projet'!$E$15+1,1))-AVERAGE(OFFSET($H$3,0,0,'Données projet'!$E$15+1,1))</f>
        <v>374.38106339726073</v>
      </c>
      <c r="EP81" s="59">
        <f t="shared" si="100"/>
        <v>296.53283288925957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42.685481545322453</v>
      </c>
      <c r="EW81" s="21">
        <f>EXP(-LN(2)/25)*EW80+(1-EXP(-LN(2)/25))/(LN(2)/25)*Calculateur!ER81*Calculateur!ET81*VLOOKUP('Données projet'!$B$15,Paramètres!$A$1:$I$89,3,0)*0.475*44/12</f>
        <v>20.772351757761818</v>
      </c>
      <c r="EX81" s="21">
        <f>EXP(-LN(2)/2)*EX80+(1-EXP(-LN(2)/2))/(LN(2)/2)*ER81*EU81*VLOOKUP('Données projet'!$B$15,Paramètres!$A$1:$I$89,3,0)*0.475*44/12</f>
        <v>1.966631061197684</v>
      </c>
      <c r="EY81" s="22">
        <f t="shared" si="75"/>
        <v>65.42446436428196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9">
        <f t="shared" si="55"/>
        <v>870.61069190948115</v>
      </c>
      <c r="S82" s="59">
        <f ca="1">AVERAGE(OFFSET($R$3,0,0,'Données projet'!$E$9+1,1))-AVERAGE(OFFSET($H$3,0,0,'Données projet'!$E$9+1,1))</f>
        <v>681.47578137804555</v>
      </c>
      <c r="T82" s="59">
        <f t="shared" si="88"/>
        <v>300.88511065995885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242.6579999999999</v>
      </c>
      <c r="AK82" s="13">
        <f t="shared" si="89"/>
        <v>59.011045025839607</v>
      </c>
      <c r="AL82" s="20">
        <f t="shared" si="58"/>
        <v>525.40692008667054</v>
      </c>
      <c r="AM82" s="59">
        <f t="shared" si="59"/>
        <v>795.73646746784743</v>
      </c>
      <c r="AN82" s="59">
        <f ca="1">AVERAGE(OFFSET($AM$3,0,0,'Données projet'!$E$10+1,1))-AVERAGE(OFFSET($H$3,0,0,'Données projet'!$E$10+1,1))</f>
        <v>423.80243030843661</v>
      </c>
      <c r="AO82" s="59">
        <f t="shared" si="90"/>
        <v>260.29028006191834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4.1810542390914209</v>
      </c>
      <c r="AV82" s="21">
        <f>EXP(-LN(2)/25)*AV81+(1-EXP(-LN(2)/25))/(LN(2)/25)*Calculateur!AQ82*Calculateur!AS82*VLOOKUP('Données projet'!$B$10,Paramètres!$A$1:$I$89,3,0)*0.475*44/12</f>
        <v>12.467895306791041</v>
      </c>
      <c r="AW82" s="21">
        <f>EXP(-LN(2)/2)*AW81+(1-EXP(-LN(2)/2))/(LN(2)/2)*AQ82*AT82*VLOOKUP('Données projet'!$B$10,Paramètres!$A$1:$I$89,3,0)*0.475*44/12</f>
        <v>1.4314967729049428</v>
      </c>
      <c r="AX82" s="21">
        <f t="shared" si="60"/>
        <v>18.080446318787406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9.7839999999999971</v>
      </c>
      <c r="BD82" s="12">
        <f>IF('Données projet'!$A$88&gt;35,BD81+BC82-BL81,IF(A82&lt;'Données projet'!$A$88,$BA$205^A82,IF(A82='Données projet'!$A$88,'Données projet'!$B$88,BD81+BC82-BL81)))</f>
        <v>510.2459999999997</v>
      </c>
      <c r="BE82" s="13">
        <f>BD82*VLOOKUP('Données projet'!$B$11,Paramètres!$A$1:$I$89,3,0)*VLOOKUP('Données projet'!$B$11,Paramètres!$A$1:$I$89,5,0)</f>
        <v>305.12710799999985</v>
      </c>
      <c r="BF82" s="13">
        <f t="shared" si="91"/>
        <v>72.25023988738603</v>
      </c>
      <c r="BG82" s="20">
        <f t="shared" si="61"/>
        <v>657.26554757053043</v>
      </c>
      <c r="BH82" s="59">
        <f t="shared" si="62"/>
        <v>927.59509495170732</v>
      </c>
      <c r="BI82" s="59">
        <f ca="1">AVERAGE(OFFSET($BH$3,0,0,'Données projet'!$E$11+1,1))-AVERAGE(OFFSET($H$3,0,0,'Données projet'!$E$11+1,1))</f>
        <v>373.61861223558259</v>
      </c>
      <c r="BJ82" s="59">
        <f t="shared" si="92"/>
        <v>277.62293009761049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42.721496792159932</v>
      </c>
      <c r="BQ82" s="21">
        <f>EXP(-LN(2)/25)*BQ81+(1-EXP(-LN(2)/25))/(LN(2)/25)*Calculateur!BL82*Calculateur!BN82*VLOOKUP('Données projet'!$B$11,Paramètres!$A$1:$I$89,3,0)*0.475*44/12</f>
        <v>15.17768884133209</v>
      </c>
      <c r="BR82" s="21">
        <f>EXP(-LN(2)/2)*BR81+(1-EXP(-LN(2)/2))/(LN(2)/2)*BL82*BO82*VLOOKUP('Données projet'!$B$11,Paramètres!$A$1:$I$89,3,0)*0.475*44/12</f>
        <v>0.41972345882634432</v>
      </c>
      <c r="BS82" s="22">
        <f t="shared" si="63"/>
        <v>58.318909092318371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2.3076923076923093</v>
      </c>
      <c r="BY82" s="12">
        <f>IF('Données projet'!$A$114&gt;35,BY81+BX82-CG81,IF(A82&lt;'Données projet'!$A$114,$BV$205^A82,IF(A82='Données projet'!$A$114,'Données projet'!$B$114,BY81+BX82-CG81)))</f>
        <v>143.20512820512832</v>
      </c>
      <c r="BZ82" s="13">
        <f>BY82*VLOOKUP('Données projet'!$B$12,Paramètres!$A$1:$I$89,3,0)*VLOOKUP('Données projet'!$B$12,Paramètres!$A$1:$I$89,5,0)</f>
        <v>125.10400000000013</v>
      </c>
      <c r="CA82" s="13">
        <f t="shared" si="93"/>
        <v>32.862522273200391</v>
      </c>
      <c r="CB82" s="20">
        <f t="shared" si="64"/>
        <v>275.12502629249087</v>
      </c>
      <c r="CC82" s="59">
        <f t="shared" si="65"/>
        <v>545.45457367366782</v>
      </c>
      <c r="CD82" s="59">
        <f ca="1">AVERAGE(OFFSET($CC$3,0,0,'Données projet'!$E$12+1,1))-AVERAGE(OFFSET($H$3,0,0,'Données projet'!$E$12+1,1))</f>
        <v>251.30277097589737</v>
      </c>
      <c r="CE82" s="59">
        <f t="shared" si="94"/>
        <v>224.11983819941796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1.7035182706762586</v>
      </c>
      <c r="CL82" s="21">
        <f>EXP(-LN(2)/25)*CL81+(1-EXP(-LN(2)/25))/(LN(2)/25)*Calculateur!CG82*Calculateur!CI82*VLOOKUP('Données projet'!$B$12,Paramètres!$A$1:$I$89,3,0)*0.475*44/12</f>
        <v>14.529472192578474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16.232990463254733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2.4</v>
      </c>
      <c r="CT82" s="12">
        <f>IF('Données projet'!$A$140&gt;35,CT81+CS82-DB81,IF(A82&lt;'Données projet'!$A$140,$CQ$205^A82,IF(A82='Données projet'!$A$140,'Données projet'!$B$140,CT81+CS82-DB81)))</f>
        <v>216.60000000000002</v>
      </c>
      <c r="CU82" s="17">
        <f>CT82*VLOOKUP('Données projet'!$B$13,Paramètres!$A$1:$I$89,3,0)*VLOOKUP('Données projet'!$B$13,Paramètres!$A$1:$I$89,5,0)</f>
        <v>189.22176000000005</v>
      </c>
      <c r="CV82" s="13">
        <f t="shared" si="95"/>
        <v>47.367853957810077</v>
      </c>
      <c r="CW82" s="20">
        <f t="shared" si="67"/>
        <v>412.06024430985258</v>
      </c>
      <c r="CX82" s="59">
        <f t="shared" si="68"/>
        <v>682.38979169102959</v>
      </c>
      <c r="CY82" s="59">
        <f ca="1">AVERAGE(OFFSET($CX$3,0,0,'Données projet'!$E$13+1,1))-AVERAGE(OFFSET($H$3,0,0,'Données projet'!$E$13+1,1))</f>
        <v>287.28439432670405</v>
      </c>
      <c r="CZ82" s="59">
        <f t="shared" si="96"/>
        <v>276.01618888357268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5.0621373304567392</v>
      </c>
      <c r="DG82" s="21">
        <f>EXP(-LN(2)/25)*DG81+(1-EXP(-LN(2)/25))/(LN(2)/25)*Calculateur!DB82*Calculateur!DD82*VLOOKUP('Données projet'!$B$13,Paramètres!$A$1:$I$89,3,0)*0.475*44/12</f>
        <v>8.8242808432731792</v>
      </c>
      <c r="DH82" s="21">
        <f>EXP(-LN(2)/2)*DH81+(1-EXP(-LN(2)/2))/(LN(2)/2)*DB82*DE82*VLOOKUP('Données projet'!$B$13,Paramètres!$A$1:$I$89,3,0)*0.475*44/12</f>
        <v>0.44961628749299365</v>
      </c>
      <c r="DI82" s="22">
        <f t="shared" si="69"/>
        <v>14.336034461222912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2.1794871794871797</v>
      </c>
      <c r="DO82" s="12">
        <f>IF('Données projet'!$A$166&gt;35,DO81+DN82-DW81,IF(A82&lt;'Données projet'!$A$166,$DL$205^A82,IF(A82='Données projet'!$A$166,'Données projet'!$B$166,DO81+DN82-DW81)))</f>
        <v>91.41025641025638</v>
      </c>
      <c r="DP82" s="17">
        <f>DO82*VLOOKUP('Données projet'!$B$14,Paramètres!$A$1:$I$89,3,0)*VLOOKUP('Données projet'!$B$14,Paramètres!$A$1:$I$89,5,0)</f>
        <v>88.411999999999964</v>
      </c>
      <c r="DQ82" s="13">
        <f t="shared" si="97"/>
        <v>24.181841733826023</v>
      </c>
      <c r="DR82" s="20">
        <f t="shared" si="70"/>
        <v>196.1009410197469</v>
      </c>
      <c r="DS82" s="59">
        <f t="shared" si="71"/>
        <v>466.43048840092388</v>
      </c>
      <c r="DT82" s="59">
        <f ca="1">AVERAGE(OFFSET($DS$3,0,0,'Données projet'!$E$14+1,1))-AVERAGE(OFFSET($H$3,0,0,'Données projet'!$E$14+1,1))</f>
        <v>206.5245935130306</v>
      </c>
      <c r="DU82" s="59">
        <f t="shared" si="98"/>
        <v>130.57011290898546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3.8405782949504563</v>
      </c>
      <c r="EC82" s="21">
        <f>EXP(-LN(2)/2)*EC81+(1-EXP(-LN(2)/2))/(LN(2)/2)*DW82*DZ82*VLOOKUP('Données projet'!$B$14,Paramètres!$A$1:$I$89,3,0)*0.475*44/12</f>
        <v>0.44412683015574</v>
      </c>
      <c r="ED82" s="22">
        <f t="shared" si="72"/>
        <v>4.2847051251061963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11.117500000000001</v>
      </c>
      <c r="EJ82" s="12">
        <f>IF('Données projet'!$A$192&gt;35,EJ81+EI82-ER81,IF(A82&lt;'Données projet'!$A$192,$EG$205^A82,IF(A82='Données projet'!$A$192,'Données projet'!$B$192,EJ81+EI82-ER81)))</f>
        <v>358.45499999999993</v>
      </c>
      <c r="EK82" s="17">
        <f>EJ82*VLOOKUP('Données projet'!$B$15,Paramètres!$A$1:$I$89,3,0)*VLOOKUP('Données projet'!$B$15,Paramètres!$A$1:$I$89,5,0)</f>
        <v>167.75693999999999</v>
      </c>
      <c r="EL82" s="13">
        <f t="shared" si="99"/>
        <v>42.587265074910924</v>
      </c>
      <c r="EM82" s="20">
        <f t="shared" si="73"/>
        <v>366.34949050546987</v>
      </c>
      <c r="EN82" s="59">
        <f t="shared" si="74"/>
        <v>636.67903788664682</v>
      </c>
      <c r="EO82" s="59">
        <f ca="1">AVERAGE(OFFSET($EN$3,0,0,'Données projet'!$E$15+1,1))-AVERAGE(OFFSET($H$3,0,0,'Données projet'!$E$15+1,1))</f>
        <v>374.38106339726073</v>
      </c>
      <c r="EP82" s="59">
        <f t="shared" si="100"/>
        <v>296.53283288925957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41.84844528779162</v>
      </c>
      <c r="EW82" s="21">
        <f>EXP(-LN(2)/25)*EW81+(1-EXP(-LN(2)/25))/(LN(2)/25)*Calculateur!ER82*Calculateur!ET82*VLOOKUP('Données projet'!$B$15,Paramètres!$A$1:$I$89,3,0)*0.475*44/12</f>
        <v>20.20433070657532</v>
      </c>
      <c r="EX82" s="21">
        <f>EXP(-LN(2)/2)*EX81+(1-EXP(-LN(2)/2))/(LN(2)/2)*ER82*EU82*VLOOKUP('Données projet'!$B$15,Paramètres!$A$1:$I$89,3,0)*0.475*44/12</f>
        <v>1.3906181594649787</v>
      </c>
      <c r="EY82" s="22">
        <f t="shared" si="75"/>
        <v>63.443394153831917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9">
        <f t="shared" si="55"/>
        <v>889.23071757123694</v>
      </c>
      <c r="S83" s="59">
        <f ca="1">AVERAGE(OFFSET($R$3,0,0,'Données projet'!$E$9+1,1))-AVERAGE(OFFSET($H$3,0,0,'Données projet'!$E$9+1,1))</f>
        <v>681.47578137804555</v>
      </c>
      <c r="T83" s="59">
        <f t="shared" si="88"/>
        <v>300.88511065995885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248.3675999999999</v>
      </c>
      <c r="AK83" s="13">
        <f t="shared" si="89"/>
        <v>60.236253798706286</v>
      </c>
      <c r="AL83" s="20">
        <f t="shared" si="58"/>
        <v>537.48504536607982</v>
      </c>
      <c r="AM83" s="59">
        <f t="shared" si="59"/>
        <v>808.21365700476599</v>
      </c>
      <c r="AN83" s="59">
        <f ca="1">AVERAGE(OFFSET($AM$3,0,0,'Données projet'!$E$10+1,1))-AVERAGE(OFFSET($H$3,0,0,'Données projet'!$E$10+1,1))</f>
        <v>423.80243030843661</v>
      </c>
      <c r="AO83" s="59">
        <f t="shared" si="90"/>
        <v>260.29028006191834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0.1075</v>
      </c>
      <c r="AS83" s="16">
        <f>IF(ISNA(VLOOKUP(A83,'Données projet'!$A$61:$I$81,6,0)),0%,VLOOKUP(A83,'Données projet'!$A$61:$I$81,6,0)*VLOOKUP('Données projet'!$B$10,Paramètres!$A$1:$I$89,7,0))</f>
        <v>0.1075</v>
      </c>
      <c r="AT83" s="16">
        <f>IF(ISNA(VLOOKUP(A83,'Données projet'!$A$61:$I$81,7,0)),0%,VLOOKUP(A83,'Données projet'!$A$61:$I$81,7,0))</f>
        <v>0.25</v>
      </c>
      <c r="AU83" s="21">
        <f>EXP(-LN(2)/35)*AU82+(1-EXP(-LN(2)/35))/(LN(2)/35)*AQ83*AR83*VLOOKUP('Données projet'!$B$10,Paramètres!$A$1:$I$89,3,0)*0.475*44/12</f>
        <v>6.4738786873708385</v>
      </c>
      <c r="AV83" s="21">
        <f>EXP(-LN(2)/25)*AV82+(1-EXP(-LN(2)/25))/(LN(2)/25)*Calculateur!AQ83*Calculateur!AS83*VLOOKUP('Données projet'!$B$10,Paramètres!$A$1:$I$89,3,0)*0.475*44/12</f>
        <v>14.492421884503544</v>
      </c>
      <c r="AW83" s="21">
        <f>EXP(-LN(2)/2)*AW82+(1-EXP(-LN(2)/2))/(LN(2)/2)*AQ83*AT83*VLOOKUP('Données projet'!$B$10,Paramètres!$A$1:$I$89,3,0)*0.475*44/12</f>
        <v>5.7259871880448037</v>
      </c>
      <c r="AX83" s="21">
        <f t="shared" si="60"/>
        <v>26.692287759919189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520.03</v>
      </c>
      <c r="BB83" s="12">
        <f>VLOOKUP(A83,'Données projet'!$A$87:$I$107,9,0)</f>
        <v>9.7839999999999971</v>
      </c>
      <c r="BC83" s="12">
        <f t="array" ref="BC83">INDEX(BB:BB,MIN(IF(ISNUMBER(BB83:BB279),ROW(BB83:BB279),"")))</f>
        <v>9.7839999999999971</v>
      </c>
      <c r="BD83" s="12">
        <f>IF('Données projet'!$A$88&gt;35,BD82+BC83-BL82,IF(A83&lt;'Données projet'!$A$88,$BA$205^A83,IF(A83='Données projet'!$A$88,'Données projet'!$B$88,BD82+BC83-BL82)))</f>
        <v>520.02999999999975</v>
      </c>
      <c r="BE83" s="13">
        <f>BD83*VLOOKUP('Données projet'!$B$11,Paramètres!$A$1:$I$89,3,0)*VLOOKUP('Données projet'!$B$11,Paramètres!$A$1:$I$89,5,0)</f>
        <v>310.97793999999988</v>
      </c>
      <c r="BF83" s="13">
        <f t="shared" si="91"/>
        <v>73.473025513598785</v>
      </c>
      <c r="BG83" s="20">
        <f t="shared" si="61"/>
        <v>669.58543160285092</v>
      </c>
      <c r="BH83" s="59">
        <f t="shared" si="62"/>
        <v>940.31404324153709</v>
      </c>
      <c r="BI83" s="59">
        <f ca="1">AVERAGE(OFFSET($BH$3,0,0,'Données projet'!$E$11+1,1))-AVERAGE(OFFSET($H$3,0,0,'Données projet'!$E$11+1,1))</f>
        <v>373.61861223558259</v>
      </c>
      <c r="BJ83" s="59">
        <f t="shared" si="92"/>
        <v>277.62293009761049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520.03</v>
      </c>
      <c r="BM83" s="16">
        <f>IF(ISNA(VLOOKUP(A83,'Données projet'!$A$87:$I$107,5,0)),0%,VLOOKUP(A83,'Données projet'!$A$87:$I$107,5,0)*VLOOKUP('Données projet'!$B$11,Paramètres!$A$1:$I$89,7,0))</f>
        <v>0.27</v>
      </c>
      <c r="BN83" s="16">
        <f>IF(ISNA(VLOOKUP(A83,'Données projet'!$A$87:$I$107,6,0)),0%,VLOOKUP(A83,'Données projet'!$A$87:$I$107,6,0)*VLOOKUP('Données projet'!$B$11,Paramètres!$A$1:$I$89,7,0))</f>
        <v>9.0000000000000011E-2</v>
      </c>
      <c r="BO83" s="16">
        <f>IF(ISNA(VLOOKUP(A83,'Données projet'!$A$87:$I$107,7,0)),0%,VLOOKUP(A83,'Données projet'!$A$87:$I$107,7,0))</f>
        <v>0.2</v>
      </c>
      <c r="BP83" s="21">
        <f>EXP(-LN(2)/35)*BP82+(1-EXP(-LN(2)/35))/(LN(2)/35)*BL83*BM83*VLOOKUP('Données projet'!$B$11,Paramètres!$A$1:$I$89,3,0)*0.475*44/12</f>
        <v>153.26747033765446</v>
      </c>
      <c r="BQ83" s="21">
        <f>EXP(-LN(2)/25)*BQ82+(1-EXP(-LN(2)/25))/(LN(2)/25)*Calculateur!BL83*Calculateur!BN83*VLOOKUP('Données projet'!$B$11,Paramètres!$A$1:$I$89,3,0)*0.475*44/12</f>
        <v>51.744372778297887</v>
      </c>
      <c r="BR83" s="21">
        <f>EXP(-LN(2)/2)*BR82+(1-EXP(-LN(2)/2))/(LN(2)/2)*BL83*BO83*VLOOKUP('Données projet'!$B$11,Paramètres!$A$1:$I$89,3,0)*0.475*44/12</f>
        <v>70.716642801208678</v>
      </c>
      <c r="BS83" s="22">
        <f t="shared" si="63"/>
        <v>275.72848591716104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145.51282051282053</v>
      </c>
      <c r="BW83" s="12">
        <f>VLOOKUP(A83,'Données projet'!$A$113:$I$133,9,0)</f>
        <v>2.3076923076923093</v>
      </c>
      <c r="BX83" s="12">
        <f t="array" ref="BX83">INDEX(BW:BW,MIN(IF(ISNUMBER(BW83:BW279),ROW(BW83:BW279),"")))</f>
        <v>2.3076923076923093</v>
      </c>
      <c r="BY83" s="12">
        <f>IF('Données projet'!$A$114&gt;35,BY82+BX83-CG82,IF(A83&lt;'Données projet'!$A$114,$BV$205^A83,IF(A83='Données projet'!$A$114,'Données projet'!$B$114,BY82+BX83-CG82)))</f>
        <v>145.51282051282064</v>
      </c>
      <c r="BZ83" s="13">
        <f>BY83*VLOOKUP('Données projet'!$B$12,Paramètres!$A$1:$I$89,3,0)*VLOOKUP('Données projet'!$B$12,Paramètres!$A$1:$I$89,5,0)</f>
        <v>127.12000000000012</v>
      </c>
      <c r="CA83" s="13">
        <f t="shared" si="93"/>
        <v>33.330010689646656</v>
      </c>
      <c r="CB83" s="20">
        <f t="shared" si="64"/>
        <v>279.45043528446814</v>
      </c>
      <c r="CC83" s="59">
        <f t="shared" si="65"/>
        <v>550.17904692315426</v>
      </c>
      <c r="CD83" s="59">
        <f ca="1">AVERAGE(OFFSET($CC$3,0,0,'Données projet'!$E$12+1,1))-AVERAGE(OFFSET($H$3,0,0,'Données projet'!$E$12+1,1))</f>
        <v>251.30277097589737</v>
      </c>
      <c r="CE83" s="59">
        <f t="shared" si="94"/>
        <v>224.11983819941796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8.3333333333333339</v>
      </c>
      <c r="CH83" s="16">
        <f>IF(ISNA(VLOOKUP(A83,'Données projet'!$A$113:$I$133,5,0)),0%,VLOOKUP(A83,'Données projet'!$A$113:$I$133,5,0)*VLOOKUP('Données projet'!$B$12,Paramètres!$A$1:$I$89,7,0))</f>
        <v>4.3000000000000003E-2</v>
      </c>
      <c r="CI83" s="16">
        <f>IF(ISNA(VLOOKUP(A83,'Données projet'!$A$113:$I$133,6,0)),0%,VLOOKUP(A83,'Données projet'!$A$113:$I$133,6,0)*VLOOKUP('Données projet'!$B$12,Paramètres!$A$1:$I$89,7,0))</f>
        <v>0.215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2.01616976404084</v>
      </c>
      <c r="CL83" s="21">
        <f>EXP(-LN(2)/25)*CL82+(1-EXP(-LN(2)/25))/(LN(2)/25)*Calculateur!CG83*Calculateur!CI83*VLOOKUP('Données projet'!$B$12,Paramètres!$A$1:$I$89,3,0)*0.475*44/12</f>
        <v>15.855632468985252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17.871802233026091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219</v>
      </c>
      <c r="CR83" s="12">
        <f>VLOOKUP(A83,'Données projet'!$A$139:$I$159,9,0)</f>
        <v>2.4</v>
      </c>
      <c r="CS83" s="12">
        <f t="array" ref="CS83">INDEX(CR:CR,MIN(IF(ISNUMBER(CR83:CR279),ROW(CR83:CR279),"")))</f>
        <v>2.4</v>
      </c>
      <c r="CT83" s="12">
        <f>IF('Données projet'!$A$140&gt;35,CT82+CS83-DB82,IF(A83&lt;'Données projet'!$A$140,$CQ$205^A83,IF(A83='Données projet'!$A$140,'Données projet'!$B$140,CT82+CS83-DB82)))</f>
        <v>219.00000000000003</v>
      </c>
      <c r="CU83" s="17">
        <f>CT83*VLOOKUP('Données projet'!$B$13,Paramètres!$A$1:$I$89,3,0)*VLOOKUP('Données projet'!$B$13,Paramètres!$A$1:$I$89,5,0)</f>
        <v>191.31840000000005</v>
      </c>
      <c r="CV83" s="13">
        <f t="shared" si="95"/>
        <v>47.831314962098396</v>
      </c>
      <c r="CW83" s="20">
        <f t="shared" si="67"/>
        <v>416.51908689232141</v>
      </c>
      <c r="CX83" s="59">
        <f t="shared" si="68"/>
        <v>687.24769853100747</v>
      </c>
      <c r="CY83" s="59">
        <f ca="1">AVERAGE(OFFSET($CX$3,0,0,'Données projet'!$E$13+1,1))-AVERAGE(OFFSET($H$3,0,0,'Données projet'!$E$13+1,1))</f>
        <v>287.28439432670405</v>
      </c>
      <c r="CZ83" s="59">
        <f t="shared" si="96"/>
        <v>276.01618888357268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219</v>
      </c>
      <c r="DC83" s="16">
        <f>IF(ISNA(VLOOKUP(A83,'Données projet'!$A$139:$I$159,5,0)),0%,VLOOKUP(A83,'Données projet'!$A$139:$I$159,5,0)*VLOOKUP('Données projet'!$B$13,Paramètres!$A$1:$I$89,7,0))</f>
        <v>0.13250000000000001</v>
      </c>
      <c r="DD83" s="16">
        <f>IF(ISNA(VLOOKUP(A83,'Données projet'!$A$139:$I$159,6,0)),0%,VLOOKUP(A83,'Données projet'!$A$139:$I$159,6,0)*VLOOKUP('Données projet'!$B$13,Paramètres!$A$1:$I$89,7,0))</f>
        <v>0.13250000000000001</v>
      </c>
      <c r="DE83" s="16">
        <f>IF(ISNA(VLOOKUP(A83,'Données projet'!$A$139:$I$159,7,0)),0%,VLOOKUP(A83,'Données projet'!$A$139:$I$159,7,0))</f>
        <v>0.25</v>
      </c>
      <c r="DF83" s="21">
        <f>EXP(-LN(2)/35)*DF82+(1-EXP(-LN(2)/35))/(LN(2)/35)*DB83*DC83*VLOOKUP('Données projet'!$B$13,Paramètres!$A$1:$I$89,3,0)*0.475*44/12</f>
        <v>32.986201119407255</v>
      </c>
      <c r="DG83" s="21">
        <f>EXP(-LN(2)/25)*DG82+(1-EXP(-LN(2)/25))/(LN(2)/25)*Calculateur!DB83*Calculateur!DD83*VLOOKUP('Données projet'!$B$13,Paramètres!$A$1:$I$89,3,0)*0.475*44/12</f>
        <v>36.495971109124334</v>
      </c>
      <c r="DH83" s="21">
        <f>EXP(-LN(2)/2)*DH82+(1-EXP(-LN(2)/2))/(LN(2)/2)*DB83*DE83*VLOOKUP('Données projet'!$B$13,Paramètres!$A$1:$I$89,3,0)*0.475*44/12</f>
        <v>45.446441640628109</v>
      </c>
      <c r="DI83" s="22">
        <f t="shared" si="69"/>
        <v>114.9286138691597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93.589743589743591</v>
      </c>
      <c r="DM83" s="12">
        <f>VLOOKUP(A83,'Données projet'!$A$165:$I$185,9,0)</f>
        <v>2.1794871794871797</v>
      </c>
      <c r="DN83" s="12">
        <f t="array" ref="DN83">INDEX(DM:DM,MIN(IF(ISNUMBER(DM83:DM279),ROW(DM83:DM279),"")))</f>
        <v>2.1794871794871797</v>
      </c>
      <c r="DO83" s="12">
        <f>IF('Données projet'!$A$166&gt;35,DO82+DN83-DW82,IF(A83&lt;'Données projet'!$A$166,$DL$205^A83,IF(A83='Données projet'!$A$166,'Données projet'!$B$166,DO82+DN83-DW82)))</f>
        <v>93.589743589743563</v>
      </c>
      <c r="DP83" s="17">
        <f>DO83*VLOOKUP('Données projet'!$B$14,Paramètres!$A$1:$I$89,3,0)*VLOOKUP('Données projet'!$B$14,Paramètres!$A$1:$I$89,5,0)</f>
        <v>90.519999999999982</v>
      </c>
      <c r="DQ83" s="13">
        <f t="shared" si="97"/>
        <v>24.690594391033635</v>
      </c>
      <c r="DR83" s="20">
        <f t="shared" si="70"/>
        <v>200.65845189771687</v>
      </c>
      <c r="DS83" s="59">
        <f t="shared" si="71"/>
        <v>471.38706353640299</v>
      </c>
      <c r="DT83" s="59">
        <f ca="1">AVERAGE(OFFSET($DS$3,0,0,'Données projet'!$E$14+1,1))-AVERAGE(OFFSET($H$3,0,0,'Données projet'!$E$14+1,1))</f>
        <v>206.5245935130306</v>
      </c>
      <c r="DU83" s="59">
        <f t="shared" si="98"/>
        <v>130.57011290898546</v>
      </c>
      <c r="DV83" s="15">
        <f>IF(ISNA(VLOOKUP(A83,'Données projet'!$A$165:$I$185,3,0)),0,VLOOKUP(A83,'Données projet'!$A$165:$I$185,3,0))</f>
        <v>12</v>
      </c>
      <c r="DW83" s="15">
        <f>IF(ISNA(VLOOKUP(A83,'Données projet'!$A$165:$I$185,4,0)),0,VLOOKUP(A83,'Données projet'!$A$165:$I$185,4,0))</f>
        <v>5.7692307692307692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0.1075</v>
      </c>
      <c r="DZ83" s="16">
        <f>IF(ISNA(VLOOKUP(A83,'Données projet'!$A$165:$I$185,7,0)),0%,VLOOKUP(A83,'Données projet'!$A$165:$I$185,7,0))</f>
        <v>0.25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4.3960629447084818</v>
      </c>
      <c r="EC83" s="21">
        <f>EXP(-LN(2)/2)*EC82+(1-EXP(-LN(2)/2))/(LN(2)/2)*DW83*DZ83*VLOOKUP('Données projet'!$B$14,Paramètres!$A$1:$I$89,3,0)*0.475*44/12</f>
        <v>1.6302651391845262</v>
      </c>
      <c r="ED83" s="22">
        <f t="shared" si="72"/>
        <v>6.0263280838930076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11.117500000000001</v>
      </c>
      <c r="EJ83" s="12">
        <f>IF('Données projet'!$A$192&gt;35,EJ82+EI83-ER82,IF(A83&lt;'Données projet'!$A$192,$EG$205^A83,IF(A83='Données projet'!$A$192,'Données projet'!$B$192,EJ82+EI83-ER82)))</f>
        <v>369.57249999999993</v>
      </c>
      <c r="EK83" s="17">
        <f>EJ83*VLOOKUP('Données projet'!$B$15,Paramètres!$A$1:$I$89,3,0)*VLOOKUP('Données projet'!$B$15,Paramètres!$A$1:$I$89,5,0)</f>
        <v>172.95992999999996</v>
      </c>
      <c r="EL83" s="13">
        <f t="shared" si="99"/>
        <v>43.752281984506958</v>
      </c>
      <c r="EM83" s="20">
        <f t="shared" si="73"/>
        <v>377.44043587301621</v>
      </c>
      <c r="EN83" s="59">
        <f t="shared" si="74"/>
        <v>648.16904751170227</v>
      </c>
      <c r="EO83" s="59">
        <f ca="1">AVERAGE(OFFSET($EN$3,0,0,'Données projet'!$E$15+1,1))-AVERAGE(OFFSET($H$3,0,0,'Données projet'!$E$15+1,1))</f>
        <v>374.38106339726073</v>
      </c>
      <c r="EP83" s="59">
        <f t="shared" si="100"/>
        <v>296.53283288925957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41.027822800729261</v>
      </c>
      <c r="EW83" s="21">
        <f>EXP(-LN(2)/25)*EW82+(1-EXP(-LN(2)/25))/(LN(2)/25)*Calculateur!ER83*Calculateur!ET83*VLOOKUP('Données projet'!$B$15,Paramètres!$A$1:$I$89,3,0)*0.475*44/12</f>
        <v>19.651842220904442</v>
      </c>
      <c r="EX83" s="21">
        <f>EXP(-LN(2)/2)*EX82+(1-EXP(-LN(2)/2))/(LN(2)/2)*ER83*EU83*VLOOKUP('Données projet'!$B$15,Paramètres!$A$1:$I$89,3,0)*0.475*44/12</f>
        <v>0.98331553059884225</v>
      </c>
      <c r="EY83" s="22">
        <f t="shared" si="75"/>
        <v>61.662980552232547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9">
        <f t="shared" si="55"/>
        <v>907.8327001118364</v>
      </c>
      <c r="S84" s="59">
        <f ca="1">AVERAGE(OFFSET($R$3,0,0,'Données projet'!$E$9+1,1))-AVERAGE(OFFSET($H$3,0,0,'Données projet'!$E$9+1,1))</f>
        <v>681.47578137804555</v>
      </c>
      <c r="T84" s="59">
        <f t="shared" si="88"/>
        <v>300.88511065995885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233.90327999999991</v>
      </c>
      <c r="AK84" s="13">
        <f t="shared" si="89"/>
        <v>57.125833544518095</v>
      </c>
      <c r="AL84" s="20">
        <f t="shared" si="58"/>
        <v>506.87570609003546</v>
      </c>
      <c r="AM84" s="59">
        <f t="shared" si="59"/>
        <v>777.99645911353696</v>
      </c>
      <c r="AN84" s="59">
        <f ca="1">AVERAGE(OFFSET($AM$3,0,0,'Données projet'!$E$10+1,1))-AVERAGE(OFFSET($H$3,0,0,'Données projet'!$E$10+1,1))</f>
        <v>423.80243030843661</v>
      </c>
      <c r="AO84" s="59">
        <f t="shared" si="90"/>
        <v>260.29028006191834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6.3469298749875964</v>
      </c>
      <c r="AV84" s="21">
        <f>EXP(-LN(2)/25)*AV83+(1-EXP(-LN(2)/25))/(LN(2)/25)*Calculateur!AQ84*Calculateur!AS84*VLOOKUP('Données projet'!$B$10,Paramètres!$A$1:$I$89,3,0)*0.475*44/12</f>
        <v>14.096125845948452</v>
      </c>
      <c r="AW84" s="21">
        <f>EXP(-LN(2)/2)*AW83+(1-EXP(-LN(2)/2))/(LN(2)/2)*AQ84*AT84*VLOOKUP('Données projet'!$B$10,Paramètres!$A$1:$I$89,3,0)*0.475*44/12</f>
        <v>4.0488843696537717</v>
      </c>
      <c r="AX84" s="21">
        <f t="shared" si="60"/>
        <v>24.491940090589821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-2.2737367544323206E-13</v>
      </c>
      <c r="BE84" s="13">
        <f>BD84*VLOOKUP('Données projet'!$B$11,Paramètres!$A$1:$I$89,3,0)*VLOOKUP('Données projet'!$B$11,Paramètres!$A$1:$I$89,5,0)</f>
        <v>-1.3596945791505279E-13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373.61861223558259</v>
      </c>
      <c r="BJ84" s="59">
        <f t="shared" si="92"/>
        <v>277.62293009761049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150.26198872825918</v>
      </c>
      <c r="BQ84" s="21">
        <f>EXP(-LN(2)/25)*BQ83+(1-EXP(-LN(2)/25))/(LN(2)/25)*Calculateur!BL84*Calculateur!BN84*VLOOKUP('Données projet'!$B$11,Paramètres!$A$1:$I$89,3,0)*0.475*44/12</f>
        <v>50.329420183557033</v>
      </c>
      <c r="BR84" s="21">
        <f>EXP(-LN(2)/2)*BR83+(1-EXP(-LN(2)/2))/(LN(2)/2)*BL84*BO84*VLOOKUP('Données projet'!$B$11,Paramètres!$A$1:$I$89,3,0)*0.475*44/12</f>
        <v>50.004217667481512</v>
      </c>
      <c r="BS84" s="22">
        <f t="shared" si="63"/>
        <v>250.59562657929774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2.0512820512820498</v>
      </c>
      <c r="BY84" s="12">
        <f>IF('Données projet'!$A$114&gt;35,BY83+BX84-CG83,IF(A84&lt;'Données projet'!$A$114,$BV$205^A84,IF(A84='Données projet'!$A$114,'Données projet'!$B$114,BY83+BX84-CG83)))</f>
        <v>139.23076923076934</v>
      </c>
      <c r="BZ84" s="13">
        <f>BY84*VLOOKUP('Données projet'!$B$12,Paramètres!$A$1:$I$89,3,0)*VLOOKUP('Données projet'!$B$12,Paramètres!$A$1:$I$89,5,0)</f>
        <v>121.6320000000001</v>
      </c>
      <c r="CA84" s="13">
        <f t="shared" si="93"/>
        <v>32.055336725596518</v>
      </c>
      <c r="CB84" s="20">
        <f t="shared" si="64"/>
        <v>267.6721114637474</v>
      </c>
      <c r="CC84" s="59">
        <f t="shared" si="65"/>
        <v>538.79286448724883</v>
      </c>
      <c r="CD84" s="59">
        <f ca="1">AVERAGE(OFFSET($CC$3,0,0,'Données projet'!$E$12+1,1))-AVERAGE(OFFSET($H$3,0,0,'Données projet'!$E$12+1,1))</f>
        <v>251.30277097589737</v>
      </c>
      <c r="CE84" s="59">
        <f t="shared" si="94"/>
        <v>224.11983819941796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1.9766339047101282</v>
      </c>
      <c r="CL84" s="21">
        <f>EXP(-LN(2)/25)*CL83+(1-EXP(-LN(2)/25))/(LN(2)/25)*Calculateur!CG84*Calculateur!CI84*VLOOKUP('Données projet'!$B$12,Paramètres!$A$1:$I$89,3,0)*0.475*44/12</f>
        <v>15.422059365309378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17.398693270019507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2.8421709430404007E-14</v>
      </c>
      <c r="CU84" s="17">
        <f>CT84*VLOOKUP('Données projet'!$B$13,Paramètres!$A$1:$I$89,3,0)*VLOOKUP('Données projet'!$B$13,Paramètres!$A$1:$I$89,5,0)</f>
        <v>2.4829205358400945E-14</v>
      </c>
      <c r="CV84" s="13">
        <f t="shared" si="95"/>
        <v>4.3867331143352915E-13</v>
      </c>
      <c r="CW84" s="20">
        <f t="shared" si="67"/>
        <v>8.0726688341261168E-13</v>
      </c>
      <c r="CX84" s="59">
        <f t="shared" si="68"/>
        <v>271.12075302350223</v>
      </c>
      <c r="CY84" s="59">
        <f ca="1">AVERAGE(OFFSET($CX$3,0,0,'Données projet'!$E$13+1,1))-AVERAGE(OFFSET($H$3,0,0,'Données projet'!$E$13+1,1))</f>
        <v>287.28439432670405</v>
      </c>
      <c r="CZ84" s="59">
        <f t="shared" si="96"/>
        <v>276.01618888357268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32.339361835051719</v>
      </c>
      <c r="DG84" s="21">
        <f>EXP(-LN(2)/25)*DG83+(1-EXP(-LN(2)/25))/(LN(2)/25)*Calculateur!DB84*Calculateur!DD84*VLOOKUP('Données projet'!$B$13,Paramètres!$A$1:$I$89,3,0)*0.475*44/12</f>
        <v>35.497986859905623</v>
      </c>
      <c r="DH84" s="21">
        <f>EXP(-LN(2)/2)*DH83+(1-EXP(-LN(2)/2))/(LN(2)/2)*DB84*DE84*VLOOKUP('Données projet'!$B$13,Paramètres!$A$1:$I$89,3,0)*0.475*44/12</f>
        <v>32.135487064886824</v>
      </c>
      <c r="DI84" s="22">
        <f t="shared" si="69"/>
        <v>99.972835759844173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1.9230769230769227</v>
      </c>
      <c r="DO84" s="12">
        <f>IF('Données projet'!$A$166&gt;35,DO83+DN84-DW83,IF(A84&lt;'Données projet'!$A$166,$DL$205^A84,IF(A84='Données projet'!$A$166,'Données projet'!$B$166,DO83+DN84-DW83)))</f>
        <v>89.743589743589709</v>
      </c>
      <c r="DP84" s="17">
        <f>DO84*VLOOKUP('Données projet'!$B$14,Paramètres!$A$1:$I$89,3,0)*VLOOKUP('Données projet'!$B$14,Paramètres!$A$1:$I$89,5,0)</f>
        <v>86.799999999999969</v>
      </c>
      <c r="DQ84" s="13">
        <f t="shared" si="97"/>
        <v>23.791843477385193</v>
      </c>
      <c r="DR84" s="20">
        <f t="shared" si="70"/>
        <v>192.61412738977916</v>
      </c>
      <c r="DS84" s="59">
        <f t="shared" si="71"/>
        <v>463.73488041328062</v>
      </c>
      <c r="DT84" s="59">
        <f ca="1">AVERAGE(OFFSET($DS$3,0,0,'Données projet'!$E$14+1,1))-AVERAGE(OFFSET($H$3,0,0,'Données projet'!$E$14+1,1))</f>
        <v>206.5245935130306</v>
      </c>
      <c r="DU84" s="59">
        <f t="shared" si="98"/>
        <v>130.57011290898546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4.2758523723065256</v>
      </c>
      <c r="EC84" s="21">
        <f>EXP(-LN(2)/2)*EC83+(1-EXP(-LN(2)/2))/(LN(2)/2)*DW84*DZ84*VLOOKUP('Données projet'!$B$14,Paramètres!$A$1:$I$89,3,0)*0.475*44/12</f>
        <v>1.1527715350494092</v>
      </c>
      <c r="ED84" s="22">
        <f t="shared" si="72"/>
        <v>5.4286239073559344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11.117500000000001</v>
      </c>
      <c r="EJ84" s="12">
        <f>IF('Données projet'!$A$192&gt;35,EJ83+EI84-ER83,IF(A84&lt;'Données projet'!$A$192,$EG$205^A84,IF(A84='Données projet'!$A$192,'Données projet'!$B$192,EJ83+EI84-ER83)))</f>
        <v>380.68999999999994</v>
      </c>
      <c r="EK84" s="17">
        <f>EJ84*VLOOKUP('Données projet'!$B$15,Paramètres!$A$1:$I$89,3,0)*VLOOKUP('Données projet'!$B$15,Paramètres!$A$1:$I$89,5,0)</f>
        <v>178.16291999999999</v>
      </c>
      <c r="EL84" s="13">
        <f t="shared" si="99"/>
        <v>44.913226012533627</v>
      </c>
      <c r="EM84" s="20">
        <f t="shared" si="73"/>
        <v>388.52428763849611</v>
      </c>
      <c r="EN84" s="59">
        <f t="shared" si="74"/>
        <v>659.64504066199754</v>
      </c>
      <c r="EO84" s="59">
        <f ca="1">AVERAGE(OFFSET($EN$3,0,0,'Données projet'!$E$15+1,1))-AVERAGE(OFFSET($H$3,0,0,'Données projet'!$E$15+1,1))</f>
        <v>374.38106339726073</v>
      </c>
      <c r="EP84" s="59">
        <f t="shared" si="100"/>
        <v>296.53283288925957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40.223292220107908</v>
      </c>
      <c r="EW84" s="21">
        <f>EXP(-LN(2)/25)*EW83+(1-EXP(-LN(2)/25))/(LN(2)/25)*Calculateur!ER84*Calculateur!ET84*VLOOKUP('Données projet'!$B$15,Paramètres!$A$1:$I$89,3,0)*0.475*44/12</f>
        <v>19.114461561928341</v>
      </c>
      <c r="EX84" s="21">
        <f>EXP(-LN(2)/2)*EX83+(1-EXP(-LN(2)/2))/(LN(2)/2)*ER84*EU84*VLOOKUP('Données projet'!$B$15,Paramètres!$A$1:$I$89,3,0)*0.475*44/12</f>
        <v>0.69530907973248945</v>
      </c>
      <c r="EY84" s="22">
        <f t="shared" si="75"/>
        <v>60.033062861768734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9">
        <f t="shared" si="55"/>
        <v>926.41712218141379</v>
      </c>
      <c r="S85" s="59">
        <f ca="1">AVERAGE(OFFSET($R$3,0,0,'Données projet'!$E$9+1,1))-AVERAGE(OFFSET($H$3,0,0,'Données projet'!$E$9+1,1))</f>
        <v>681.47578137804555</v>
      </c>
      <c r="T85" s="59">
        <f t="shared" si="88"/>
        <v>300.88511065995885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239.42255999999992</v>
      </c>
      <c r="AK85" s="13">
        <f t="shared" si="89"/>
        <v>58.315274040589699</v>
      </c>
      <c r="AL85" s="20">
        <f t="shared" si="58"/>
        <v>518.56006095402688</v>
      </c>
      <c r="AM85" s="59">
        <f t="shared" si="59"/>
        <v>790.06615258601391</v>
      </c>
      <c r="AN85" s="59">
        <f ca="1">AVERAGE(OFFSET($AM$3,0,0,'Données projet'!$E$10+1,1))-AVERAGE(OFFSET($H$3,0,0,'Données projet'!$E$10+1,1))</f>
        <v>423.80243030843661</v>
      </c>
      <c r="AO85" s="59">
        <f t="shared" si="90"/>
        <v>260.29028006191834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6.2224704513840594</v>
      </c>
      <c r="AV85" s="21">
        <f>EXP(-LN(2)/25)*AV84+(1-EXP(-LN(2)/25))/(LN(2)/25)*Calculateur!AQ85*Calculateur!AS85*VLOOKUP('Données projet'!$B$10,Paramètres!$A$1:$I$89,3,0)*0.475*44/12</f>
        <v>13.71066654340795</v>
      </c>
      <c r="AW85" s="21">
        <f>EXP(-LN(2)/2)*AW84+(1-EXP(-LN(2)/2))/(LN(2)/2)*AQ85*AT85*VLOOKUP('Données projet'!$B$10,Paramètres!$A$1:$I$89,3,0)*0.475*44/12</f>
        <v>2.8629935940224023</v>
      </c>
      <c r="AX85" s="21">
        <f t="shared" si="60"/>
        <v>22.79613058881441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-2.2737367544323206E-13</v>
      </c>
      <c r="BE85" s="13">
        <f>BD85*VLOOKUP('Données projet'!$B$11,Paramètres!$A$1:$I$89,3,0)*VLOOKUP('Données projet'!$B$11,Paramètres!$A$1:$I$89,5,0)</f>
        <v>-1.3596945791505279E-13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373.61861223558259</v>
      </c>
      <c r="BJ85" s="59">
        <f t="shared" si="92"/>
        <v>277.62293009761049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147.31544278006137</v>
      </c>
      <c r="BQ85" s="21">
        <f>EXP(-LN(2)/25)*BQ84+(1-EXP(-LN(2)/25))/(LN(2)/25)*Calculateur!BL85*Calculateur!BN85*VLOOKUP('Données projet'!$B$11,Paramètres!$A$1:$I$89,3,0)*0.475*44/12</f>
        <v>48.953159541928486</v>
      </c>
      <c r="BR85" s="21">
        <f>EXP(-LN(2)/2)*BR84+(1-EXP(-LN(2)/2))/(LN(2)/2)*BL85*BO85*VLOOKUP('Données projet'!$B$11,Paramètres!$A$1:$I$89,3,0)*0.475*44/12</f>
        <v>35.358321400604346</v>
      </c>
      <c r="BS85" s="22">
        <f t="shared" si="63"/>
        <v>231.62692372259423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2.0512820512820498</v>
      </c>
      <c r="BY85" s="12">
        <f>IF('Données projet'!$A$114&gt;35,BY84+BX85-CG84,IF(A85&lt;'Données projet'!$A$114,$BV$205^A85,IF(A85='Données projet'!$A$114,'Données projet'!$B$114,BY84+BX85-CG84)))</f>
        <v>141.28205128205138</v>
      </c>
      <c r="BZ85" s="13">
        <f>BY85*VLOOKUP('Données projet'!$B$12,Paramètres!$A$1:$I$89,3,0)*VLOOKUP('Données projet'!$B$12,Paramètres!$A$1:$I$89,5,0)</f>
        <v>123.42400000000009</v>
      </c>
      <c r="CA85" s="13">
        <f t="shared" si="93"/>
        <v>32.472278764919849</v>
      </c>
      <c r="CB85" s="20">
        <f t="shared" si="64"/>
        <v>271.51935218223554</v>
      </c>
      <c r="CC85" s="59">
        <f t="shared" si="65"/>
        <v>543.02544381422263</v>
      </c>
      <c r="CD85" s="59">
        <f ca="1">AVERAGE(OFFSET($CC$3,0,0,'Données projet'!$E$12+1,1))-AVERAGE(OFFSET($H$3,0,0,'Données projet'!$E$12+1,1))</f>
        <v>251.30277097589737</v>
      </c>
      <c r="CE85" s="59">
        <f t="shared" si="94"/>
        <v>224.11983819941796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1.9378733194663986</v>
      </c>
      <c r="CL85" s="21">
        <f>EXP(-LN(2)/25)*CL84+(1-EXP(-LN(2)/25))/(LN(2)/25)*Calculateur!CG85*Calculateur!CI85*VLOOKUP('Données projet'!$B$12,Paramètres!$A$1:$I$89,3,0)*0.475*44/12</f>
        <v>15.000342340954139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16.938215660420539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2.8421709430404007E-14</v>
      </c>
      <c r="CU85" s="17">
        <f>CT85*VLOOKUP('Données projet'!$B$13,Paramètres!$A$1:$I$89,3,0)*VLOOKUP('Données projet'!$B$13,Paramètres!$A$1:$I$89,5,0)</f>
        <v>2.4829205358400945E-14</v>
      </c>
      <c r="CV85" s="13">
        <f t="shared" si="95"/>
        <v>4.3867331143352915E-13</v>
      </c>
      <c r="CW85" s="20">
        <f t="shared" si="67"/>
        <v>8.0726688341261168E-13</v>
      </c>
      <c r="CX85" s="59">
        <f t="shared" si="68"/>
        <v>271.50609163198783</v>
      </c>
      <c r="CY85" s="59">
        <f ca="1">AVERAGE(OFFSET($CX$3,0,0,'Données projet'!$E$13+1,1))-AVERAGE(OFFSET($H$3,0,0,'Données projet'!$E$13+1,1))</f>
        <v>287.28439432670405</v>
      </c>
      <c r="CZ85" s="59">
        <f t="shared" si="96"/>
        <v>276.01618888357268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31.705206674529386</v>
      </c>
      <c r="DG85" s="21">
        <f>EXP(-LN(2)/25)*DG84+(1-EXP(-LN(2)/25))/(LN(2)/25)*Calculateur!DB85*Calculateur!DD85*VLOOKUP('Données projet'!$B$13,Paramètres!$A$1:$I$89,3,0)*0.475*44/12</f>
        <v>34.527292542463506</v>
      </c>
      <c r="DH85" s="21">
        <f>EXP(-LN(2)/2)*DH84+(1-EXP(-LN(2)/2))/(LN(2)/2)*DB85*DE85*VLOOKUP('Données projet'!$B$13,Paramètres!$A$1:$I$89,3,0)*0.475*44/12</f>
        <v>22.723220820314058</v>
      </c>
      <c r="DI85" s="22">
        <f t="shared" si="69"/>
        <v>88.955720037306946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1.9230769230769227</v>
      </c>
      <c r="DO85" s="12">
        <f>IF('Données projet'!$A$166&gt;35,DO84+DN85-DW84,IF(A85&lt;'Données projet'!$A$166,$DL$205^A85,IF(A85='Données projet'!$A$166,'Données projet'!$B$166,DO84+DN85-DW84)))</f>
        <v>91.666666666666629</v>
      </c>
      <c r="DP85" s="17">
        <f>DO85*VLOOKUP('Données projet'!$B$14,Paramètres!$A$1:$I$89,3,0)*VLOOKUP('Données projet'!$B$14,Paramètres!$A$1:$I$89,5,0)</f>
        <v>88.659999999999968</v>
      </c>
      <c r="DQ85" s="13">
        <f t="shared" si="97"/>
        <v>24.241767654539562</v>
      </c>
      <c r="DR85" s="20">
        <f t="shared" si="70"/>
        <v>196.63724533165635</v>
      </c>
      <c r="DS85" s="59">
        <f t="shared" si="71"/>
        <v>468.14333696364338</v>
      </c>
      <c r="DT85" s="59">
        <f ca="1">AVERAGE(OFFSET($DS$3,0,0,'Données projet'!$E$14+1,1))-AVERAGE(OFFSET($H$3,0,0,'Données projet'!$E$14+1,1))</f>
        <v>206.5245935130306</v>
      </c>
      <c r="DU85" s="59">
        <f t="shared" si="98"/>
        <v>130.57011290898546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4.1589289643285001</v>
      </c>
      <c r="EC85" s="21">
        <f>EXP(-LN(2)/2)*EC84+(1-EXP(-LN(2)/2))/(LN(2)/2)*DW85*DZ85*VLOOKUP('Données projet'!$B$14,Paramètres!$A$1:$I$89,3,0)*0.475*44/12</f>
        <v>0.8151325695922631</v>
      </c>
      <c r="ED85" s="22">
        <f t="shared" si="72"/>
        <v>4.9740615339207634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11.117500000000001</v>
      </c>
      <c r="EJ85" s="12">
        <f>IF('Données projet'!$A$192&gt;35,EJ84+EI85-ER84,IF(A85&lt;'Données projet'!$A$192,$EG$205^A85,IF(A85='Données projet'!$A$192,'Données projet'!$B$192,EJ84+EI85-ER84)))</f>
        <v>391.80749999999995</v>
      </c>
      <c r="EK85" s="17">
        <f>EJ85*VLOOKUP('Données projet'!$B$15,Paramètres!$A$1:$I$89,3,0)*VLOOKUP('Données projet'!$B$15,Paramètres!$A$1:$I$89,5,0)</f>
        <v>183.36590999999999</v>
      </c>
      <c r="EL85" s="13">
        <f t="shared" si="99"/>
        <v>46.070229759286974</v>
      </c>
      <c r="EM85" s="20">
        <f t="shared" si="73"/>
        <v>399.60127674742472</v>
      </c>
      <c r="EN85" s="59">
        <f t="shared" si="74"/>
        <v>671.10736837941181</v>
      </c>
      <c r="EO85" s="59">
        <f ca="1">AVERAGE(OFFSET($EN$3,0,0,'Données projet'!$E$15+1,1))-AVERAGE(OFFSET($H$3,0,0,'Données projet'!$E$15+1,1))</f>
        <v>374.38106339726073</v>
      </c>
      <c r="EP85" s="59">
        <f t="shared" si="100"/>
        <v>296.53283288925957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39.434537993457333</v>
      </c>
      <c r="EW85" s="21">
        <f>EXP(-LN(2)/25)*EW84+(1-EXP(-LN(2)/25))/(LN(2)/25)*Calculateur!ER85*Calculateur!ET85*VLOOKUP('Données projet'!$B$15,Paramètres!$A$1:$I$89,3,0)*0.475*44/12</f>
        <v>18.591775605331563</v>
      </c>
      <c r="EX85" s="21">
        <f>EXP(-LN(2)/2)*EX84+(1-EXP(-LN(2)/2))/(LN(2)/2)*ER85*EU85*VLOOKUP('Données projet'!$B$15,Paramètres!$A$1:$I$89,3,0)*0.475*44/12</f>
        <v>0.49165776529942118</v>
      </c>
      <c r="EY85" s="22">
        <f t="shared" si="75"/>
        <v>58.517971364088318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9">
        <f t="shared" si="55"/>
        <v>944.98444257151471</v>
      </c>
      <c r="S86" s="59">
        <f ca="1">AVERAGE(OFFSET($R$3,0,0,'Données projet'!$E$9+1,1))-AVERAGE(OFFSET($H$3,0,0,'Données projet'!$E$9+1,1))</f>
        <v>681.47578137804555</v>
      </c>
      <c r="T86" s="59">
        <f t="shared" si="88"/>
        <v>300.88511065995885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244.94183999999993</v>
      </c>
      <c r="AK86" s="13">
        <f t="shared" si="89"/>
        <v>59.501526882688026</v>
      </c>
      <c r="AL86" s="20">
        <f t="shared" si="58"/>
        <v>530.23886398734817</v>
      </c>
      <c r="AM86" s="59">
        <f t="shared" si="59"/>
        <v>802.12360946445165</v>
      </c>
      <c r="AN86" s="59">
        <f ca="1">AVERAGE(OFFSET($AM$3,0,0,'Données projet'!$E$10+1,1))-AVERAGE(OFFSET($H$3,0,0,'Données projet'!$E$10+1,1))</f>
        <v>423.80243030843661</v>
      </c>
      <c r="AO86" s="59">
        <f t="shared" si="90"/>
        <v>260.29028006191834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6.100451601164635</v>
      </c>
      <c r="AV86" s="21">
        <f>EXP(-LN(2)/25)*AV85+(1-EXP(-LN(2)/25))/(LN(2)/25)*Calculateur!AQ86*Calculateur!AS86*VLOOKUP('Données projet'!$B$10,Paramètres!$A$1:$I$89,3,0)*0.475*44/12</f>
        <v>13.335747645765842</v>
      </c>
      <c r="AW86" s="21">
        <f>EXP(-LN(2)/2)*AW85+(1-EXP(-LN(2)/2))/(LN(2)/2)*AQ86*AT86*VLOOKUP('Données projet'!$B$10,Paramètres!$A$1:$I$89,3,0)*0.475*44/12</f>
        <v>2.0244421848268863</v>
      </c>
      <c r="AX86" s="21">
        <f t="shared" si="60"/>
        <v>21.460641431757363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-2.2737367544323206E-13</v>
      </c>
      <c r="BE86" s="13">
        <f>BD86*VLOOKUP('Données projet'!$B$11,Paramètres!$A$1:$I$89,3,0)*VLOOKUP('Données projet'!$B$11,Paramètres!$A$1:$I$89,5,0)</f>
        <v>-1.3596945791505279E-13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373.61861223558259</v>
      </c>
      <c r="BJ86" s="59">
        <f t="shared" si="92"/>
        <v>277.62293009761049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144.42667680069218</v>
      </c>
      <c r="BQ86" s="21">
        <f>EXP(-LN(2)/25)*BQ85+(1-EXP(-LN(2)/25))/(LN(2)/25)*Calculateur!BL86*Calculateur!BN86*VLOOKUP('Données projet'!$B$11,Paramètres!$A$1:$I$89,3,0)*0.475*44/12</f>
        <v>47.614532819919674</v>
      </c>
      <c r="BR86" s="21">
        <f>EXP(-LN(2)/2)*BR85+(1-EXP(-LN(2)/2))/(LN(2)/2)*BL86*BO86*VLOOKUP('Données projet'!$B$11,Paramètres!$A$1:$I$89,3,0)*0.475*44/12</f>
        <v>25.00210883374076</v>
      </c>
      <c r="BS86" s="22">
        <f t="shared" si="63"/>
        <v>217.0433184543526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2.0512820512820498</v>
      </c>
      <c r="BY86" s="12">
        <f>IF('Données projet'!$A$114&gt;35,BY85+BX86-CG85,IF(A86&lt;'Données projet'!$A$114,$BV$205^A86,IF(A86='Données projet'!$A$114,'Données projet'!$B$114,BY85+BX86-CG85)))</f>
        <v>143.33333333333343</v>
      </c>
      <c r="BZ86" s="13">
        <f>BY86*VLOOKUP('Données projet'!$B$12,Paramètres!$A$1:$I$89,3,0)*VLOOKUP('Données projet'!$B$12,Paramètres!$A$1:$I$89,5,0)</f>
        <v>125.21600000000009</v>
      </c>
      <c r="CA86" s="13">
        <f t="shared" si="93"/>
        <v>32.888516733565673</v>
      </c>
      <c r="CB86" s="20">
        <f t="shared" si="64"/>
        <v>275.36536664429372</v>
      </c>
      <c r="CC86" s="59">
        <f t="shared" si="65"/>
        <v>547.25011212139725</v>
      </c>
      <c r="CD86" s="59">
        <f ca="1">AVERAGE(OFFSET($CC$3,0,0,'Données projet'!$E$12+1,1))-AVERAGE(OFFSET($H$3,0,0,'Données projet'!$E$12+1,1))</f>
        <v>251.30277097589737</v>
      </c>
      <c r="CE86" s="59">
        <f t="shared" si="94"/>
        <v>224.11983819941796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1.8998728056576759</v>
      </c>
      <c r="CL86" s="21">
        <f>EXP(-LN(2)/25)*CL85+(1-EXP(-LN(2)/25))/(LN(2)/25)*Calculateur!CG86*Calculateur!CI86*VLOOKUP('Données projet'!$B$12,Paramètres!$A$1:$I$89,3,0)*0.475*44/12</f>
        <v>14.590157190807028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16.490029996464706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2.8421709430404007E-14</v>
      </c>
      <c r="CU86" s="17">
        <f>CT86*VLOOKUP('Données projet'!$B$13,Paramètres!$A$1:$I$89,3,0)*VLOOKUP('Données projet'!$B$13,Paramètres!$A$1:$I$89,5,0)</f>
        <v>2.4829205358400945E-14</v>
      </c>
      <c r="CV86" s="13">
        <f t="shared" si="95"/>
        <v>4.3867331143352915E-13</v>
      </c>
      <c r="CW86" s="20">
        <f t="shared" si="67"/>
        <v>8.0726688341261168E-13</v>
      </c>
      <c r="CX86" s="59">
        <f t="shared" si="68"/>
        <v>271.88474547710427</v>
      </c>
      <c r="CY86" s="59">
        <f ca="1">AVERAGE(OFFSET($CX$3,0,0,'Données projet'!$E$13+1,1))-AVERAGE(OFFSET($H$3,0,0,'Données projet'!$E$13+1,1))</f>
        <v>287.28439432670405</v>
      </c>
      <c r="CZ86" s="59">
        <f t="shared" si="96"/>
        <v>276.01618888357268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31.083486909908441</v>
      </c>
      <c r="DG86" s="21">
        <f>EXP(-LN(2)/25)*DG85+(1-EXP(-LN(2)/25))/(LN(2)/25)*Calculateur!DB86*Calculateur!DD86*VLOOKUP('Données projet'!$B$13,Paramètres!$A$1:$I$89,3,0)*0.475*44/12</f>
        <v>33.583141912178441</v>
      </c>
      <c r="DH86" s="21">
        <f>EXP(-LN(2)/2)*DH85+(1-EXP(-LN(2)/2))/(LN(2)/2)*DB86*DE86*VLOOKUP('Données projet'!$B$13,Paramètres!$A$1:$I$89,3,0)*0.475*44/12</f>
        <v>16.067743532443416</v>
      </c>
      <c r="DI86" s="22">
        <f t="shared" si="69"/>
        <v>80.734372354530294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1.9230769230769227</v>
      </c>
      <c r="DO86" s="12">
        <f>IF('Données projet'!$A$166&gt;35,DO85+DN86-DW85,IF(A86&lt;'Données projet'!$A$166,$DL$205^A86,IF(A86='Données projet'!$A$166,'Données projet'!$B$166,DO85+DN86-DW85)))</f>
        <v>93.589743589743549</v>
      </c>
      <c r="DP86" s="17">
        <f>DO86*VLOOKUP('Données projet'!$B$14,Paramètres!$A$1:$I$89,3,0)*VLOOKUP('Données projet'!$B$14,Paramètres!$A$1:$I$89,5,0)</f>
        <v>90.519999999999968</v>
      </c>
      <c r="DQ86" s="13">
        <f t="shared" si="97"/>
        <v>24.690594391033635</v>
      </c>
      <c r="DR86" s="20">
        <f t="shared" si="70"/>
        <v>200.65845189771684</v>
      </c>
      <c r="DS86" s="59">
        <f t="shared" si="71"/>
        <v>472.54319737482035</v>
      </c>
      <c r="DT86" s="59">
        <f ca="1">AVERAGE(OFFSET($DS$3,0,0,'Données projet'!$E$14+1,1))-AVERAGE(OFFSET($H$3,0,0,'Données projet'!$E$14+1,1))</f>
        <v>206.5245935130306</v>
      </c>
      <c r="DU86" s="59">
        <f t="shared" si="98"/>
        <v>130.57011290898546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4.045202833090368</v>
      </c>
      <c r="EC86" s="21">
        <f>EXP(-LN(2)/2)*EC85+(1-EXP(-LN(2)/2))/(LN(2)/2)*DW86*DZ86*VLOOKUP('Données projet'!$B$14,Paramètres!$A$1:$I$89,3,0)*0.475*44/12</f>
        <v>0.57638576752470461</v>
      </c>
      <c r="ED86" s="22">
        <f t="shared" si="72"/>
        <v>4.6215886006150724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11.117500000000001</v>
      </c>
      <c r="EJ86" s="12">
        <f>IF('Données projet'!$A$192&gt;35,EJ85+EI86-ER85,IF(A86&lt;'Données projet'!$A$192,$EG$205^A86,IF(A86='Données projet'!$A$192,'Données projet'!$B$192,EJ85+EI86-ER85)))</f>
        <v>402.92499999999995</v>
      </c>
      <c r="EK86" s="17">
        <f>EJ86*VLOOKUP('Données projet'!$B$15,Paramètres!$A$1:$I$89,3,0)*VLOOKUP('Données projet'!$B$15,Paramètres!$A$1:$I$89,5,0)</f>
        <v>188.56889999999996</v>
      </c>
      <c r="EL86" s="13">
        <f t="shared" si="99"/>
        <v>47.223417871971755</v>
      </c>
      <c r="EM86" s="20">
        <f t="shared" si="73"/>
        <v>410.67162029368404</v>
      </c>
      <c r="EN86" s="59">
        <f t="shared" si="74"/>
        <v>682.55636577078758</v>
      </c>
      <c r="EO86" s="59">
        <f ca="1">AVERAGE(OFFSET($EN$3,0,0,'Données projet'!$E$15+1,1))-AVERAGE(OFFSET($H$3,0,0,'Données projet'!$E$15+1,1))</f>
        <v>374.38106339726073</v>
      </c>
      <c r="EP86" s="59">
        <f t="shared" si="100"/>
        <v>296.53283288925957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38.661250756098802</v>
      </c>
      <c r="EW86" s="21">
        <f>EXP(-LN(2)/25)*EW85+(1-EXP(-LN(2)/25))/(LN(2)/25)*Calculateur!ER86*Calculateur!ET86*VLOOKUP('Données projet'!$B$15,Paramètres!$A$1:$I$89,3,0)*0.475*44/12</f>
        <v>18.083382523704785</v>
      </c>
      <c r="EX86" s="21">
        <f>EXP(-LN(2)/2)*EX85+(1-EXP(-LN(2)/2))/(LN(2)/2)*ER86*EU86*VLOOKUP('Données projet'!$B$15,Paramètres!$A$1:$I$89,3,0)*0.475*44/12</f>
        <v>0.34765453986624478</v>
      </c>
      <c r="EY86" s="22">
        <f t="shared" si="75"/>
        <v>57.092287819669835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9">
        <f t="shared" si="55"/>
        <v>963.53509812410164</v>
      </c>
      <c r="S87" s="59">
        <f ca="1">AVERAGE(OFFSET($R$3,0,0,'Données projet'!$E$9+1,1))-AVERAGE(OFFSET($H$3,0,0,'Données projet'!$E$9+1,1))</f>
        <v>681.47578137804555</v>
      </c>
      <c r="T87" s="59">
        <f t="shared" si="88"/>
        <v>300.88511065995885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250.46111999999997</v>
      </c>
      <c r="AK87" s="13">
        <f t="shared" si="89"/>
        <v>60.684672167637892</v>
      </c>
      <c r="AL87" s="20">
        <f t="shared" si="58"/>
        <v>541.91225469196922</v>
      </c>
      <c r="AM87" s="59">
        <f t="shared" si="59"/>
        <v>814.16908521651953</v>
      </c>
      <c r="AN87" s="59">
        <f ca="1">AVERAGE(OFFSET($AM$3,0,0,'Données projet'!$E$10+1,1))-AVERAGE(OFFSET($H$3,0,0,'Données projet'!$E$10+1,1))</f>
        <v>423.80243030843661</v>
      </c>
      <c r="AO87" s="59">
        <f t="shared" si="90"/>
        <v>260.29028006191834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5.9808254661738642</v>
      </c>
      <c r="AV87" s="21">
        <f>EXP(-LN(2)/25)*AV86+(1-EXP(-LN(2)/25))/(LN(2)/25)*Calculateur!AQ87*Calculateur!AS87*VLOOKUP('Données projet'!$B$10,Paramètres!$A$1:$I$89,3,0)*0.475*44/12</f>
        <v>12.971080925095885</v>
      </c>
      <c r="AW87" s="21">
        <f>EXP(-LN(2)/2)*AW86+(1-EXP(-LN(2)/2))/(LN(2)/2)*AQ87*AT87*VLOOKUP('Données projet'!$B$10,Paramètres!$A$1:$I$89,3,0)*0.475*44/12</f>
        <v>1.4314967970112014</v>
      </c>
      <c r="AX87" s="21">
        <f t="shared" si="60"/>
        <v>20.383403188280951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-2.2737367544323206E-13</v>
      </c>
      <c r="BE87" s="13">
        <f>BD87*VLOOKUP('Données projet'!$B$11,Paramètres!$A$1:$I$89,3,0)*VLOOKUP('Données projet'!$B$11,Paramètres!$A$1:$I$89,5,0)</f>
        <v>-1.3596945791505279E-13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373.61861223558259</v>
      </c>
      <c r="BJ87" s="59">
        <f t="shared" si="92"/>
        <v>277.62293009761049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141.59455776020513</v>
      </c>
      <c r="BQ87" s="21">
        <f>EXP(-LN(2)/25)*BQ86+(1-EXP(-LN(2)/25))/(LN(2)/25)*Calculateur!BL87*Calculateur!BN87*VLOOKUP('Données projet'!$B$11,Paramètres!$A$1:$I$89,3,0)*0.475*44/12</f>
        <v>46.312510916019512</v>
      </c>
      <c r="BR87" s="21">
        <f>EXP(-LN(2)/2)*BR86+(1-EXP(-LN(2)/2))/(LN(2)/2)*BL87*BO87*VLOOKUP('Données projet'!$B$11,Paramètres!$A$1:$I$89,3,0)*0.475*44/12</f>
        <v>17.679160700302177</v>
      </c>
      <c r="BS87" s="22">
        <f t="shared" si="63"/>
        <v>205.58622937652683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2.0512820512820498</v>
      </c>
      <c r="BY87" s="12">
        <f>IF('Données projet'!$A$114&gt;35,BY86+BX87-CG86,IF(A87&lt;'Données projet'!$A$114,$BV$205^A87,IF(A87='Données projet'!$A$114,'Données projet'!$B$114,BY86+BX87-CG86)))</f>
        <v>145.38461538461547</v>
      </c>
      <c r="BZ87" s="13">
        <f>BY87*VLOOKUP('Données projet'!$B$12,Paramètres!$A$1:$I$89,3,0)*VLOOKUP('Données projet'!$B$12,Paramètres!$A$1:$I$89,5,0)</f>
        <v>127.00800000000008</v>
      </c>
      <c r="CA87" s="13">
        <f t="shared" si="93"/>
        <v>33.304061871951063</v>
      </c>
      <c r="CB87" s="20">
        <f t="shared" si="64"/>
        <v>279.2101744269815</v>
      </c>
      <c r="CC87" s="59">
        <f t="shared" si="65"/>
        <v>551.46700495153186</v>
      </c>
      <c r="CD87" s="59">
        <f ca="1">AVERAGE(OFFSET($CC$3,0,0,'Données projet'!$E$12+1,1))-AVERAGE(OFFSET($H$3,0,0,'Données projet'!$E$12+1,1))</f>
        <v>251.30277097589737</v>
      </c>
      <c r="CE87" s="59">
        <f t="shared" si="94"/>
        <v>224.11983819941796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1.8626174587467175</v>
      </c>
      <c r="CL87" s="21">
        <f>EXP(-LN(2)/25)*CL86+(1-EXP(-LN(2)/25))/(LN(2)/25)*Calculateur!CG87*Calculateur!CI87*VLOOKUP('Données projet'!$B$12,Paramètres!$A$1:$I$89,3,0)*0.475*44/12</f>
        <v>14.191188575161389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16.053806033908106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2.8421709430404007E-14</v>
      </c>
      <c r="CU87" s="17">
        <f>CT87*VLOOKUP('Données projet'!$B$13,Paramètres!$A$1:$I$89,3,0)*VLOOKUP('Données projet'!$B$13,Paramètres!$A$1:$I$89,5,0)</f>
        <v>2.4829205358400945E-14</v>
      </c>
      <c r="CV87" s="13">
        <f t="shared" si="95"/>
        <v>4.3867331143352915E-13</v>
      </c>
      <c r="CW87" s="20">
        <f t="shared" si="67"/>
        <v>8.0726688341261168E-13</v>
      </c>
      <c r="CX87" s="59">
        <f t="shared" si="68"/>
        <v>272.25683052455111</v>
      </c>
      <c r="CY87" s="59">
        <f ca="1">AVERAGE(OFFSET($CX$3,0,0,'Données projet'!$E$13+1,1))-AVERAGE(OFFSET($H$3,0,0,'Données projet'!$E$13+1,1))</f>
        <v>287.28439432670405</v>
      </c>
      <c r="CZ87" s="59">
        <f t="shared" si="96"/>
        <v>276.01618888357268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30.473958690660101</v>
      </c>
      <c r="DG87" s="21">
        <f>EXP(-LN(2)/25)*DG86+(1-EXP(-LN(2)/25))/(LN(2)/25)*Calculateur!DB87*Calculateur!DD87*VLOOKUP('Données projet'!$B$13,Paramètres!$A$1:$I$89,3,0)*0.475*44/12</f>
        <v>32.664809130529243</v>
      </c>
      <c r="DH87" s="21">
        <f>EXP(-LN(2)/2)*DH86+(1-EXP(-LN(2)/2))/(LN(2)/2)*DB87*DE87*VLOOKUP('Données projet'!$B$13,Paramètres!$A$1:$I$89,3,0)*0.475*44/12</f>
        <v>11.361610410157031</v>
      </c>
      <c r="DI87" s="22">
        <f t="shared" si="69"/>
        <v>74.500378231346374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1.9230769230769227</v>
      </c>
      <c r="DO87" s="12">
        <f>IF('Données projet'!$A$166&gt;35,DO86+DN87-DW86,IF(A87&lt;'Données projet'!$A$166,$DL$205^A87,IF(A87='Données projet'!$A$166,'Données projet'!$B$166,DO86+DN87-DW86)))</f>
        <v>95.512820512820468</v>
      </c>
      <c r="DP87" s="17">
        <f>DO87*VLOOKUP('Données projet'!$B$14,Paramètres!$A$1:$I$89,3,0)*VLOOKUP('Données projet'!$B$14,Paramètres!$A$1:$I$89,5,0)</f>
        <v>92.379999999999953</v>
      </c>
      <c r="DQ87" s="13">
        <f t="shared" si="97"/>
        <v>25.138348835345543</v>
      </c>
      <c r="DR87" s="20">
        <f t="shared" si="70"/>
        <v>204.6777908882267</v>
      </c>
      <c r="DS87" s="59">
        <f t="shared" si="71"/>
        <v>476.93462141277701</v>
      </c>
      <c r="DT87" s="59">
        <f ca="1">AVERAGE(OFFSET($DS$3,0,0,'Données projet'!$E$14+1,1))-AVERAGE(OFFSET($H$3,0,0,'Données projet'!$E$14+1,1))</f>
        <v>206.5245935130306</v>
      </c>
      <c r="DU87" s="59">
        <f t="shared" si="98"/>
        <v>130.57011290898546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3.9345865488915401</v>
      </c>
      <c r="EC87" s="21">
        <f>EXP(-LN(2)/2)*EC86+(1-EXP(-LN(2)/2))/(LN(2)/2)*DW87*DZ87*VLOOKUP('Données projet'!$B$14,Paramètres!$A$1:$I$89,3,0)*0.475*44/12</f>
        <v>0.40756628479613155</v>
      </c>
      <c r="ED87" s="22">
        <f t="shared" si="72"/>
        <v>4.3421528336876714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11.117500000000001</v>
      </c>
      <c r="EJ87" s="12">
        <f>IF('Données projet'!$A$192&gt;35,EJ86+EI87-ER86,IF(A87&lt;'Données projet'!$A$192,$EG$205^A87,IF(A87='Données projet'!$A$192,'Données projet'!$B$192,EJ86+EI87-ER86)))</f>
        <v>414.04249999999996</v>
      </c>
      <c r="EK87" s="17">
        <f>EJ87*VLOOKUP('Données projet'!$B$15,Paramètres!$A$1:$I$89,3,0)*VLOOKUP('Données projet'!$B$15,Paramètres!$A$1:$I$89,5,0)</f>
        <v>193.77188999999998</v>
      </c>
      <c r="EL87" s="13">
        <f t="shared" si="99"/>
        <v>48.372907727823183</v>
      </c>
      <c r="EM87" s="20">
        <f t="shared" si="73"/>
        <v>421.73552270929196</v>
      </c>
      <c r="EN87" s="59">
        <f t="shared" si="74"/>
        <v>693.99235323384232</v>
      </c>
      <c r="EO87" s="59">
        <f ca="1">AVERAGE(OFFSET($EN$3,0,0,'Données projet'!$E$15+1,1))-AVERAGE(OFFSET($H$3,0,0,'Données projet'!$E$15+1,1))</f>
        <v>374.38106339726073</v>
      </c>
      <c r="EP87" s="59">
        <f t="shared" si="100"/>
        <v>296.53283288925957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37.903127209806229</v>
      </c>
      <c r="EW87" s="21">
        <f>EXP(-LN(2)/25)*EW86+(1-EXP(-LN(2)/25))/(LN(2)/25)*Calculateur!ER87*Calculateur!ET87*VLOOKUP('Données projet'!$B$15,Paramètres!$A$1:$I$89,3,0)*0.475*44/12</f>
        <v>17.58889147763032</v>
      </c>
      <c r="EX87" s="21">
        <f>EXP(-LN(2)/2)*EX86+(1-EXP(-LN(2)/2))/(LN(2)/2)*ER87*EU87*VLOOKUP('Données projet'!$B$15,Paramètres!$A$1:$I$89,3,0)*0.475*44/12</f>
        <v>0.24582888264971062</v>
      </c>
      <c r="EY87" s="22">
        <f t="shared" si="75"/>
        <v>55.737847570086259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9">
        <f t="shared" si="55"/>
        <v>854.22219526396816</v>
      </c>
      <c r="S88" s="59">
        <f ca="1">AVERAGE(OFFSET($R$3,0,0,'Données projet'!$E$9+1,1))-AVERAGE(OFFSET($H$3,0,0,'Données projet'!$E$9+1,1))</f>
        <v>681.47578137804555</v>
      </c>
      <c r="T88" s="59">
        <f t="shared" si="88"/>
        <v>300.88511065995885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255.98039999999997</v>
      </c>
      <c r="AK88" s="13">
        <f t="shared" si="89"/>
        <v>61.864786260587792</v>
      </c>
      <c r="AL88" s="20">
        <f t="shared" si="58"/>
        <v>553.58036607052361</v>
      </c>
      <c r="AM88" s="59">
        <f t="shared" si="59"/>
        <v>826.20282679880506</v>
      </c>
      <c r="AN88" s="59">
        <f ca="1">AVERAGE(OFFSET($AM$3,0,0,'Données projet'!$E$10+1,1))-AVERAGE(OFFSET($H$3,0,0,'Données projet'!$E$10+1,1))</f>
        <v>423.80243030843661</v>
      </c>
      <c r="AO88" s="59">
        <f t="shared" si="90"/>
        <v>260.29028006191834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0.1075</v>
      </c>
      <c r="AS88" s="16">
        <f>IF(ISNA(VLOOKUP(A88,'Données projet'!$A$61:$I$81,6,0)),0%,VLOOKUP(A88,'Données projet'!$A$61:$I$81,6,0)*VLOOKUP('Données projet'!$B$10,Paramètres!$A$1:$I$89,7,0))</f>
        <v>0.1075</v>
      </c>
      <c r="AT88" s="16">
        <f>IF(ISNA(VLOOKUP(A88,'Données projet'!$A$61:$I$81,7,0)),0%,VLOOKUP(A88,'Données projet'!$A$61:$I$81,7,0))</f>
        <v>0.25</v>
      </c>
      <c r="AU88" s="21">
        <f>EXP(-LN(2)/35)*AU87+(1-EXP(-LN(2)/35))/(LN(2)/35)*AQ88*AR88*VLOOKUP('Données projet'!$B$10,Paramètres!$A$1:$I$89,3,0)*0.475*44/12</f>
        <v>8.2383574984422498</v>
      </c>
      <c r="AV88" s="21">
        <f>EXP(-LN(2)/25)*AV87+(1-EXP(-LN(2)/25))/(LN(2)/25)*Calculateur!AQ88*Calculateur!AS88*VLOOKUP('Données projet'!$B$10,Paramètres!$A$1:$I$89,3,0)*0.475*44/12</f>
        <v>14.98184786561446</v>
      </c>
      <c r="AW88" s="21">
        <f>EXP(-LN(2)/2)*AW87+(1-EXP(-LN(2)/2))/(LN(2)/2)*AQ88*AT88*VLOOKUP('Données projet'!$B$10,Paramètres!$A$1:$I$89,3,0)*0.475*44/12</f>
        <v>5.7259872050905027</v>
      </c>
      <c r="AX88" s="21">
        <f t="shared" si="60"/>
        <v>28.946192569147215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-2.2737367544323206E-13</v>
      </c>
      <c r="BE88" s="13">
        <f>BD88*VLOOKUP('Données projet'!$B$11,Paramètres!$A$1:$I$89,3,0)*VLOOKUP('Données projet'!$B$11,Paramètres!$A$1:$I$89,5,0)</f>
        <v>-1.3596945791505279E-13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373.61861223558259</v>
      </c>
      <c r="BJ88" s="59">
        <f t="shared" si="92"/>
        <v>277.62293009761049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138.81797484667999</v>
      </c>
      <c r="BQ88" s="21">
        <f>EXP(-LN(2)/25)*BQ87+(1-EXP(-LN(2)/25))/(LN(2)/25)*Calculateur!BL88*Calculateur!BN88*VLOOKUP('Données projet'!$B$11,Paramètres!$A$1:$I$89,3,0)*0.475*44/12</f>
        <v>45.046092869551856</v>
      </c>
      <c r="BR88" s="21">
        <f>EXP(-LN(2)/2)*BR87+(1-EXP(-LN(2)/2))/(LN(2)/2)*BL88*BO88*VLOOKUP('Données projet'!$B$11,Paramètres!$A$1:$I$89,3,0)*0.475*44/12</f>
        <v>12.501054416870382</v>
      </c>
      <c r="BS88" s="22">
        <f t="shared" si="63"/>
        <v>196.3651221331022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147.43589743589743</v>
      </c>
      <c r="BW88" s="12">
        <f>VLOOKUP(A88,'Données projet'!$A$113:$I$133,9,0)</f>
        <v>2.0512820512820498</v>
      </c>
      <c r="BX88" s="12">
        <f t="array" ref="BX88">INDEX(BW:BW,MIN(IF(ISNUMBER(BW88:BW284),ROW(BW88:BW284),"")))</f>
        <v>2.0512820512820498</v>
      </c>
      <c r="BY88" s="12">
        <f>IF('Données projet'!$A$114&gt;35,BY87+BX88-CG87,IF(A88&lt;'Données projet'!$A$114,$BV$205^A88,IF(A88='Données projet'!$A$114,'Données projet'!$B$114,BY87+BX88-CG87)))</f>
        <v>147.43589743589752</v>
      </c>
      <c r="BZ88" s="13">
        <f>BY88*VLOOKUP('Données projet'!$B$12,Paramètres!$A$1:$I$89,3,0)*VLOOKUP('Données projet'!$B$12,Paramètres!$A$1:$I$89,5,0)</f>
        <v>128.80000000000007</v>
      </c>
      <c r="CA88" s="13">
        <f t="shared" si="93"/>
        <v>33.718925085085118</v>
      </c>
      <c r="CB88" s="20">
        <f t="shared" si="64"/>
        <v>283.05379452318999</v>
      </c>
      <c r="CC88" s="59">
        <f t="shared" si="65"/>
        <v>555.6762552514715</v>
      </c>
      <c r="CD88" s="59">
        <f ca="1">AVERAGE(OFFSET($CC$3,0,0,'Données projet'!$E$12+1,1))-AVERAGE(OFFSET($H$3,0,0,'Données projet'!$E$12+1,1))</f>
        <v>251.30277097589737</v>
      </c>
      <c r="CE88" s="59">
        <f t="shared" si="94"/>
        <v>224.11983819941796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7.6923076923076916</v>
      </c>
      <c r="CH88" s="16">
        <f>IF(ISNA(VLOOKUP(A88,'Données projet'!$A$113:$I$133,5,0)),0%,VLOOKUP(A88,'Données projet'!$A$113:$I$133,5,0)*VLOOKUP('Données projet'!$B$12,Paramètres!$A$1:$I$89,7,0))</f>
        <v>4.3000000000000003E-2</v>
      </c>
      <c r="CI88" s="16">
        <f>IF(ISNA(VLOOKUP(A88,'Données projet'!$A$113:$I$133,6,0)),0%,VLOOKUP(A88,'Données projet'!$A$113:$I$133,6,0)*VLOOKUP('Données projet'!$B$12,Paramètres!$A$1:$I$89,7,0))</f>
        <v>0.215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2.1455293873350065</v>
      </c>
      <c r="CL88" s="21">
        <f>EXP(-LN(2)/25)*CL87+(1-EXP(-LN(2)/25))/(LN(2)/25)*Calculateur!CG88*Calculateur!CI88*VLOOKUP('Données projet'!$B$12,Paramètres!$A$1:$I$89,3,0)*0.475*44/12</f>
        <v>15.394024661215646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17.539554048550652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2.8421709430404007E-14</v>
      </c>
      <c r="CU88" s="17">
        <f>CT88*VLOOKUP('Données projet'!$B$13,Paramètres!$A$1:$I$89,3,0)*VLOOKUP('Données projet'!$B$13,Paramètres!$A$1:$I$89,5,0)</f>
        <v>2.4829205358400945E-14</v>
      </c>
      <c r="CV88" s="13">
        <f t="shared" si="95"/>
        <v>4.3867331143352915E-13</v>
      </c>
      <c r="CW88" s="20">
        <f t="shared" si="67"/>
        <v>8.0726688341261168E-13</v>
      </c>
      <c r="CX88" s="59">
        <f t="shared" si="68"/>
        <v>272.62246072828231</v>
      </c>
      <c r="CY88" s="59">
        <f ca="1">AVERAGE(OFFSET($CX$3,0,0,'Données projet'!$E$13+1,1))-AVERAGE(OFFSET($H$3,0,0,'Données projet'!$E$13+1,1))</f>
        <v>287.28439432670405</v>
      </c>
      <c r="CZ88" s="59">
        <f t="shared" si="96"/>
        <v>276.01618888357268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29.876382948015717</v>
      </c>
      <c r="DG88" s="21">
        <f>EXP(-LN(2)/25)*DG87+(1-EXP(-LN(2)/25))/(LN(2)/25)*Calculateur!DB88*Calculateur!DD88*VLOOKUP('Données projet'!$B$13,Paramètres!$A$1:$I$89,3,0)*0.475*44/12</f>
        <v>31.771588207087266</v>
      </c>
      <c r="DH88" s="21">
        <f>EXP(-LN(2)/2)*DH87+(1-EXP(-LN(2)/2))/(LN(2)/2)*DB88*DE88*VLOOKUP('Données projet'!$B$13,Paramètres!$A$1:$I$89,3,0)*0.475*44/12</f>
        <v>8.0338717662217078</v>
      </c>
      <c r="DI88" s="22">
        <f t="shared" si="69"/>
        <v>69.681842921324687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97.435897435897431</v>
      </c>
      <c r="DM88" s="12">
        <f>VLOOKUP(A88,'Données projet'!$A$165:$I$185,9,0)</f>
        <v>1.9230769230769227</v>
      </c>
      <c r="DN88" s="12">
        <f t="array" ref="DN88">INDEX(DM:DM,MIN(IF(ISNUMBER(DM88:DM284),ROW(DM88:DM284),"")))</f>
        <v>1.9230769230769227</v>
      </c>
      <c r="DO88" s="12">
        <f>IF('Données projet'!$A$166&gt;35,DO87+DN88-DW87,IF(A88&lt;'Données projet'!$A$166,$DL$205^A88,IF(A88='Données projet'!$A$166,'Données projet'!$B$166,DO87+DN88-DW87)))</f>
        <v>97.435897435897388</v>
      </c>
      <c r="DP88" s="17">
        <f>DO88*VLOOKUP('Données projet'!$B$14,Paramètres!$A$1:$I$89,3,0)*VLOOKUP('Données projet'!$B$14,Paramètres!$A$1:$I$89,5,0)</f>
        <v>94.239999999999952</v>
      </c>
      <c r="DQ88" s="13">
        <f t="shared" si="97"/>
        <v>25.585055065362205</v>
      </c>
      <c r="DR88" s="20">
        <f t="shared" si="70"/>
        <v>208.6953042388391</v>
      </c>
      <c r="DS88" s="59">
        <f t="shared" si="71"/>
        <v>481.31776496712064</v>
      </c>
      <c r="DT88" s="59">
        <f ca="1">AVERAGE(OFFSET($DS$3,0,0,'Données projet'!$E$14+1,1))-AVERAGE(OFFSET($H$3,0,0,'Données projet'!$E$14+1,1))</f>
        <v>206.5245935130306</v>
      </c>
      <c r="DU88" s="59">
        <f t="shared" si="98"/>
        <v>130.57011290898546</v>
      </c>
      <c r="DV88" s="15">
        <f>IF(ISNA(VLOOKUP(A88,'Données projet'!$A$165:$I$185,3,0)),0,VLOOKUP(A88,'Données projet'!$A$165:$I$185,3,0))</f>
        <v>13</v>
      </c>
      <c r="DW88" s="15">
        <f>IF(ISNA(VLOOKUP(A88,'Données projet'!$A$165:$I$185,4,0)),0,VLOOKUP(A88,'Données projet'!$A$165:$I$185,4,0))</f>
        <v>5.7692307692307692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0.1075</v>
      </c>
      <c r="DZ88" s="16">
        <f>IF(ISNA(VLOOKUP(A88,'Données projet'!$A$165:$I$185,7,0)),0%,VLOOKUP(A88,'Données projet'!$A$165:$I$185,7,0))</f>
        <v>0.25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4.4875005380018669</v>
      </c>
      <c r="EC88" s="21">
        <f>EXP(-LN(2)/2)*EC87+(1-EXP(-LN(2)/2))/(LN(2)/2)*DW88*DZ88*VLOOKUP('Données projet'!$B$14,Paramètres!$A$1:$I$89,3,0)*0.475*44/12</f>
        <v>1.6044129296368688</v>
      </c>
      <c r="ED88" s="22">
        <f t="shared" si="72"/>
        <v>6.0919134676387356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425.16</v>
      </c>
      <c r="EH88" s="12">
        <f>VLOOKUP(A88,'Données projet'!$A$191:$I$211,9,0)</f>
        <v>11.117500000000001</v>
      </c>
      <c r="EI88" s="12">
        <f t="array" ref="EI88">INDEX(EH:EH,MIN(IF(ISNUMBER(EH88:EH284),ROW(EH88:EH284),"")))</f>
        <v>11.117500000000001</v>
      </c>
      <c r="EJ88" s="12">
        <f>IF('Données projet'!$A$192&gt;35,EJ87+EI88-ER87,IF(A88&lt;'Données projet'!$A$192,$EG$205^A88,IF(A88='Données projet'!$A$192,'Données projet'!$B$192,EJ87+EI88-ER87)))</f>
        <v>425.15999999999997</v>
      </c>
      <c r="EK88" s="17">
        <f>EJ88*VLOOKUP('Données projet'!$B$15,Paramètres!$A$1:$I$89,3,0)*VLOOKUP('Données projet'!$B$15,Paramètres!$A$1:$I$89,5,0)</f>
        <v>198.97487999999998</v>
      </c>
      <c r="EL88" s="13">
        <f t="shared" si="99"/>
        <v>49.518810041794701</v>
      </c>
      <c r="EM88" s="20">
        <f t="shared" si="73"/>
        <v>432.79317682279242</v>
      </c>
      <c r="EN88" s="59">
        <f t="shared" si="74"/>
        <v>705.41563755107393</v>
      </c>
      <c r="EO88" s="59">
        <f ca="1">AVERAGE(OFFSET($EN$3,0,0,'Données projet'!$E$15+1,1))-AVERAGE(OFFSET($H$3,0,0,'Données projet'!$E$15+1,1))</f>
        <v>374.38106339726073</v>
      </c>
      <c r="EP88" s="59">
        <f t="shared" si="100"/>
        <v>296.53283288925957</v>
      </c>
      <c r="EQ88" s="15">
        <f>IF(ISNA(VLOOKUP(A88,'Données projet'!$A$191:$I$211,3,0)),0,VLOOKUP(A88,'Données projet'!$A$191:$I$211,3,0))</f>
        <v>4</v>
      </c>
      <c r="ER88" s="15">
        <f>IF(ISNA(VLOOKUP(A88,'Données projet'!$A$191:$I$211,4,0)),0,VLOOKUP(A88,'Données projet'!$A$191:$I$211,4,0))</f>
        <v>95.720000000000027</v>
      </c>
      <c r="ES88" s="16">
        <f>IF(ISNA(VLOOKUP(A88,'Données projet'!$A$191:$I$211,5,0)),0%,VLOOKUP(A88,'Données projet'!$A$191:$I$211,5,0)*VLOOKUP('Données projet'!$B$15,Paramètres!$A$1:$I$89,7,0))</f>
        <v>0.33</v>
      </c>
      <c r="ET88" s="16">
        <f>IF(ISNA(VLOOKUP(A88,'Données projet'!$A$191:$I$211,6,0)),0%,VLOOKUP(A88,'Données projet'!$A$191:$I$211,6,0)*VLOOKUP('Données projet'!$B$15,Paramètres!$A$1:$I$89,7,0))</f>
        <v>0.11000000000000001</v>
      </c>
      <c r="EU88" s="16">
        <f>IF(ISNA(VLOOKUP(A88,'Données projet'!$A$191:$I$211,7,0)),0%,VLOOKUP(A88,'Données projet'!$A$191:$I$211,7,0))</f>
        <v>0.2</v>
      </c>
      <c r="EV88" s="21">
        <f>EXP(-LN(2)/35)*EV87+(1-EXP(-LN(2)/35))/(LN(2)/35)*ER88*ES88*VLOOKUP('Données projet'!$B$15,Paramètres!$A$1:$I$89,3,0)*0.475*44/12</f>
        <v>56.770468103603221</v>
      </c>
      <c r="EW88" s="21">
        <f>EXP(-LN(2)/25)*EW87+(1-EXP(-LN(2)/25))/(LN(2)/25)*Calculateur!ER88*Calculateur!ET88*VLOOKUP('Données projet'!$B$15,Paramètres!$A$1:$I$89,3,0)*0.475*44/12</f>
        <v>23.619050216152928</v>
      </c>
      <c r="EX88" s="21">
        <f>EXP(-LN(2)/2)*EX87+(1-EXP(-LN(2)/2))/(LN(2)/2)*ER88*EU88*VLOOKUP('Données projet'!$B$15,Paramètres!$A$1:$I$89,3,0)*0.475*44/12</f>
        <v>10.317940258533362</v>
      </c>
      <c r="EY88" s="22">
        <f t="shared" si="75"/>
        <v>90.707458578289504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9">
        <f t="shared" si="55"/>
        <v>872.10019725440065</v>
      </c>
      <c r="S89" s="59">
        <f ca="1">AVERAGE(OFFSET($R$3,0,0,'Données projet'!$E$9+1,1))-AVERAGE(OFFSET($H$3,0,0,'Données projet'!$E$9+1,1))</f>
        <v>681.47578137804555</v>
      </c>
      <c r="T89" s="59">
        <f t="shared" si="88"/>
        <v>300.88511065995885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241.13543999999993</v>
      </c>
      <c r="AK89" s="13">
        <f t="shared" si="89"/>
        <v>58.6837587821827</v>
      </c>
      <c r="AL89" s="20">
        <f t="shared" si="58"/>
        <v>522.18510454563477</v>
      </c>
      <c r="AM89" s="59">
        <f t="shared" si="59"/>
        <v>795.16685261103953</v>
      </c>
      <c r="AN89" s="59">
        <f ca="1">AVERAGE(OFFSET($AM$3,0,0,'Données projet'!$E$10+1,1))-AVERAGE(OFFSET($H$3,0,0,'Données projet'!$E$10+1,1))</f>
        <v>423.80243030843661</v>
      </c>
      <c r="AO89" s="59">
        <f t="shared" si="90"/>
        <v>260.29028006191834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8.076808332799704</v>
      </c>
      <c r="AV89" s="21">
        <f>EXP(-LN(2)/25)*AV88+(1-EXP(-LN(2)/25))/(LN(2)/25)*Calculateur!AQ89*Calculateur!AS89*VLOOKUP('Données projet'!$B$10,Paramètres!$A$1:$I$89,3,0)*0.475*44/12</f>
        <v>14.572168447868094</v>
      </c>
      <c r="AW89" s="21">
        <f>EXP(-LN(2)/2)*AW88+(1-EXP(-LN(2)/2))/(LN(2)/2)*AQ89*AT89*VLOOKUP('Données projet'!$B$10,Paramètres!$A$1:$I$89,3,0)*0.475*44/12</f>
        <v>4.0488843817069009</v>
      </c>
      <c r="AX89" s="21">
        <f t="shared" si="60"/>
        <v>26.6978611623747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-2.2737367544323206E-13</v>
      </c>
      <c r="BE89" s="13">
        <f>BD89*VLOOKUP('Données projet'!$B$11,Paramètres!$A$1:$I$89,3,0)*VLOOKUP('Données projet'!$B$11,Paramètres!$A$1:$I$89,5,0)</f>
        <v>-1.3596945791505279E-13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373.61861223558259</v>
      </c>
      <c r="BJ89" s="59">
        <f t="shared" si="92"/>
        <v>277.62293009761049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136.09583903054073</v>
      </c>
      <c r="BQ89" s="21">
        <f>EXP(-LN(2)/25)*BQ88+(1-EXP(-LN(2)/25))/(LN(2)/25)*Calculateur!BL89*Calculateur!BN89*VLOOKUP('Données projet'!$B$11,Paramètres!$A$1:$I$89,3,0)*0.475*44/12</f>
        <v>43.814305091162893</v>
      </c>
      <c r="BR89" s="21">
        <f>EXP(-LN(2)/2)*BR88+(1-EXP(-LN(2)/2))/(LN(2)/2)*BL89*BO89*VLOOKUP('Données projet'!$B$11,Paramètres!$A$1:$I$89,3,0)*0.475*44/12</f>
        <v>8.8395803501510883</v>
      </c>
      <c r="BS89" s="22">
        <f t="shared" si="63"/>
        <v>188.74972447185473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1.9230769230769169</v>
      </c>
      <c r="BY89" s="12">
        <f>IF('Données projet'!$A$114&gt;35,BY88+BX89-CG88,IF(A89&lt;'Données projet'!$A$114,$BV$205^A89,IF(A89='Données projet'!$A$114,'Données projet'!$B$114,BY88+BX89-CG88)))</f>
        <v>141.66666666666674</v>
      </c>
      <c r="BZ89" s="13">
        <f>BY89*VLOOKUP('Données projet'!$B$12,Paramètres!$A$1:$I$89,3,0)*VLOOKUP('Données projet'!$B$12,Paramètres!$A$1:$I$89,5,0)</f>
        <v>123.76000000000009</v>
      </c>
      <c r="CA89" s="13">
        <f t="shared" si="93"/>
        <v>32.550376670812263</v>
      </c>
      <c r="CB89" s="20">
        <f t="shared" si="64"/>
        <v>272.2405727016648</v>
      </c>
      <c r="CC89" s="59">
        <f t="shared" si="65"/>
        <v>545.2223207670695</v>
      </c>
      <c r="CD89" s="59">
        <f ca="1">AVERAGE(OFFSET($CC$3,0,0,'Données projet'!$E$12+1,1))-AVERAGE(OFFSET($H$3,0,0,'Données projet'!$E$12+1,1))</f>
        <v>251.30277097589737</v>
      </c>
      <c r="CE89" s="59">
        <f t="shared" si="94"/>
        <v>224.11983819941796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2.1034568646930754</v>
      </c>
      <c r="CL89" s="21">
        <f>EXP(-LN(2)/25)*CL88+(1-EXP(-LN(2)/25))/(LN(2)/25)*Calculateur!CG89*Calculateur!CI89*VLOOKUP('Données projet'!$B$12,Paramètres!$A$1:$I$89,3,0)*0.475*44/12</f>
        <v>14.973074247318131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17.076531112011207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2.8421709430404007E-14</v>
      </c>
      <c r="CU89" s="17">
        <f>CT89*VLOOKUP('Données projet'!$B$13,Paramètres!$A$1:$I$89,3,0)*VLOOKUP('Données projet'!$B$13,Paramètres!$A$1:$I$89,5,0)</f>
        <v>2.4829205358400945E-14</v>
      </c>
      <c r="CV89" s="13">
        <f t="shared" si="95"/>
        <v>4.3867331143352915E-13</v>
      </c>
      <c r="CW89" s="20">
        <f t="shared" si="67"/>
        <v>8.0726688341261168E-13</v>
      </c>
      <c r="CX89" s="59">
        <f t="shared" si="68"/>
        <v>272.9817480654055</v>
      </c>
      <c r="CY89" s="59">
        <f ca="1">AVERAGE(OFFSET($CX$3,0,0,'Données projet'!$E$13+1,1))-AVERAGE(OFFSET($H$3,0,0,'Données projet'!$E$13+1,1))</f>
        <v>287.28439432670405</v>
      </c>
      <c r="CZ89" s="59">
        <f t="shared" si="96"/>
        <v>276.01618888357268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29.290525301199377</v>
      </c>
      <c r="DG89" s="21">
        <f>EXP(-LN(2)/25)*DG88+(1-EXP(-LN(2)/25))/(LN(2)/25)*Calculateur!DB89*Calculateur!DD89*VLOOKUP('Données projet'!$B$13,Paramètres!$A$1:$I$89,3,0)*0.475*44/12</f>
        <v>30.902792456769255</v>
      </c>
      <c r="DH89" s="21">
        <f>EXP(-LN(2)/2)*DH88+(1-EXP(-LN(2)/2))/(LN(2)/2)*DB89*DE89*VLOOKUP('Données projet'!$B$13,Paramètres!$A$1:$I$89,3,0)*0.475*44/12</f>
        <v>5.6808052050785154</v>
      </c>
      <c r="DI89" s="22">
        <f t="shared" si="69"/>
        <v>65.874122963047142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2.0512820512820524</v>
      </c>
      <c r="DO89" s="12">
        <f>IF('Données projet'!$A$166&gt;35,DO88+DN89-DW88,IF(A89&lt;'Données projet'!$A$166,$DL$205^A89,IF(A89='Données projet'!$A$166,'Données projet'!$B$166,DO88+DN89-DW88)))</f>
        <v>93.717948717948673</v>
      </c>
      <c r="DP89" s="17">
        <f>DO89*VLOOKUP('Données projet'!$B$14,Paramètres!$A$1:$I$89,3,0)*VLOOKUP('Données projet'!$B$14,Paramètres!$A$1:$I$89,5,0)</f>
        <v>90.643999999999949</v>
      </c>
      <c r="DQ89" s="13">
        <f t="shared" si="97"/>
        <v>24.720477775606724</v>
      </c>
      <c r="DR89" s="20">
        <f t="shared" si="70"/>
        <v>200.9264654591816</v>
      </c>
      <c r="DS89" s="59">
        <f t="shared" si="71"/>
        <v>473.9082135245863</v>
      </c>
      <c r="DT89" s="59">
        <f ca="1">AVERAGE(OFFSET($DS$3,0,0,'Données projet'!$E$14+1,1))-AVERAGE(OFFSET($H$3,0,0,'Données projet'!$E$14+1,1))</f>
        <v>206.5245935130306</v>
      </c>
      <c r="DU89" s="59">
        <f t="shared" si="98"/>
        <v>130.57011290898546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4.3647895998028092</v>
      </c>
      <c r="EC89" s="21">
        <f>EXP(-LN(2)/2)*EC88+(1-EXP(-LN(2)/2))/(LN(2)/2)*DW89*DZ89*VLOOKUP('Données projet'!$B$14,Paramètres!$A$1:$I$89,3,0)*0.475*44/12</f>
        <v>1.1344912623696051</v>
      </c>
      <c r="ED89" s="22">
        <f t="shared" si="72"/>
        <v>5.4992808621724141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10.192500000000001</v>
      </c>
      <c r="EJ89" s="12">
        <f>IF('Données projet'!$A$192&gt;35,EJ88+EI89-ER88,IF(A89&lt;'Données projet'!$A$192,$EG$205^A89,IF(A89='Données projet'!$A$192,'Données projet'!$B$192,EJ88+EI89-ER88)))</f>
        <v>339.63249999999994</v>
      </c>
      <c r="EK89" s="17">
        <f>EJ89*VLOOKUP('Données projet'!$B$15,Paramètres!$A$1:$I$89,3,0)*VLOOKUP('Données projet'!$B$15,Paramètres!$A$1:$I$89,5,0)</f>
        <v>158.94800999999998</v>
      </c>
      <c r="EL89" s="13">
        <f t="shared" si="99"/>
        <v>40.605145105192584</v>
      </c>
      <c r="EM89" s="20">
        <f t="shared" si="73"/>
        <v>347.55507847487706</v>
      </c>
      <c r="EN89" s="59">
        <f t="shared" si="74"/>
        <v>620.53682654028171</v>
      </c>
      <c r="EO89" s="59">
        <f ca="1">AVERAGE(OFFSET($EN$3,0,0,'Données projet'!$E$15+1,1))-AVERAGE(OFFSET($H$3,0,0,'Données projet'!$E$15+1,1))</f>
        <v>374.38106339726073</v>
      </c>
      <c r="EP89" s="59">
        <f t="shared" si="100"/>
        <v>296.53283288925957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55.657233850658017</v>
      </c>
      <c r="EW89" s="21">
        <f>EXP(-LN(2)/25)*EW88+(1-EXP(-LN(2)/25))/(LN(2)/25)*Calculateur!ER89*Calculateur!ET89*VLOOKUP('Données projet'!$B$15,Paramètres!$A$1:$I$89,3,0)*0.475*44/12</f>
        <v>22.973186045920357</v>
      </c>
      <c r="EX89" s="21">
        <f>EXP(-LN(2)/2)*EX88+(1-EXP(-LN(2)/2))/(LN(2)/2)*ER89*EU89*VLOOKUP('Données projet'!$B$15,Paramètres!$A$1:$I$89,3,0)*0.475*44/12</f>
        <v>7.2958855246866197</v>
      </c>
      <c r="EY89" s="22">
        <f t="shared" si="75"/>
        <v>85.926305421264999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9">
        <f t="shared" si="55"/>
        <v>889.96132020426046</v>
      </c>
      <c r="S90" s="59">
        <f ca="1">AVERAGE(OFFSET($R$3,0,0,'Données projet'!$E$9+1,1))-AVERAGE(OFFSET($H$3,0,0,'Données projet'!$E$9+1,1))</f>
        <v>681.47578137804555</v>
      </c>
      <c r="T90" s="59">
        <f t="shared" si="88"/>
        <v>300.88511065995885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246.27407999999991</v>
      </c>
      <c r="AK90" s="13">
        <f t="shared" si="89"/>
        <v>59.787395242924475</v>
      </c>
      <c r="AL90" s="20">
        <f t="shared" si="58"/>
        <v>533.05706938142669</v>
      </c>
      <c r="AM90" s="59">
        <f t="shared" si="59"/>
        <v>806.39187195190152</v>
      </c>
      <c r="AN90" s="59">
        <f ca="1">AVERAGE(OFFSET($AM$3,0,0,'Données projet'!$E$10+1,1))-AVERAGE(OFFSET($H$3,0,0,'Données projet'!$E$10+1,1))</f>
        <v>423.80243030843661</v>
      </c>
      <c r="AO90" s="59">
        <f t="shared" si="90"/>
        <v>260.29028006191834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7.9184270477601464</v>
      </c>
      <c r="AV90" s="21">
        <f>EXP(-LN(2)/25)*AV89+(1-EXP(-LN(2)/25))/(LN(2)/25)*Calculateur!AQ90*Calculateur!AS90*VLOOKUP('Données projet'!$B$10,Paramètres!$A$1:$I$89,3,0)*0.475*44/12</f>
        <v>14.173691735344107</v>
      </c>
      <c r="AW90" s="21">
        <f>EXP(-LN(2)/2)*AW89+(1-EXP(-LN(2)/2))/(LN(2)/2)*AQ90*AT90*VLOOKUP('Données projet'!$B$10,Paramètres!$A$1:$I$89,3,0)*0.475*44/12</f>
        <v>2.8629936025452514</v>
      </c>
      <c r="AX90" s="21">
        <f t="shared" si="60"/>
        <v>24.955112385649507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-2.2737367544323206E-13</v>
      </c>
      <c r="BE90" s="13">
        <f>BD90*VLOOKUP('Données projet'!$B$11,Paramètres!$A$1:$I$89,3,0)*VLOOKUP('Données projet'!$B$11,Paramètres!$A$1:$I$89,5,0)</f>
        <v>-1.3596945791505279E-13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373.61861223558259</v>
      </c>
      <c r="BJ90" s="59">
        <f t="shared" si="92"/>
        <v>277.62293009761049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133.42708263741704</v>
      </c>
      <c r="BQ90" s="21">
        <f>EXP(-LN(2)/25)*BQ89+(1-EXP(-LN(2)/25))/(LN(2)/25)*Calculateur!BL90*Calculateur!BN90*VLOOKUP('Données projet'!$B$11,Paramètres!$A$1:$I$89,3,0)*0.475*44/12</f>
        <v>42.61620061435088</v>
      </c>
      <c r="BR90" s="21">
        <f>EXP(-LN(2)/2)*BR89+(1-EXP(-LN(2)/2))/(LN(2)/2)*BL90*BO90*VLOOKUP('Données projet'!$B$11,Paramètres!$A$1:$I$89,3,0)*0.475*44/12</f>
        <v>6.2505272084351908</v>
      </c>
      <c r="BS90" s="22">
        <f t="shared" si="63"/>
        <v>182.2938104602031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1.9230769230769169</v>
      </c>
      <c r="BY90" s="12">
        <f>IF('Données projet'!$A$114&gt;35,BY89+BX90-CG89,IF(A90&lt;'Données projet'!$A$114,$BV$205^A90,IF(A90='Données projet'!$A$114,'Données projet'!$B$114,BY89+BX90-CG89)))</f>
        <v>143.58974358974365</v>
      </c>
      <c r="BZ90" s="13">
        <f>BY90*VLOOKUP('Données projet'!$B$12,Paramètres!$A$1:$I$89,3,0)*VLOOKUP('Données projet'!$B$12,Paramètres!$A$1:$I$89,5,0)</f>
        <v>125.44000000000007</v>
      </c>
      <c r="CA90" s="13">
        <f t="shared" si="93"/>
        <v>32.940497538217585</v>
      </c>
      <c r="CB90" s="20">
        <f t="shared" si="64"/>
        <v>275.8460332123957</v>
      </c>
      <c r="CC90" s="59">
        <f t="shared" si="65"/>
        <v>549.18083578287053</v>
      </c>
      <c r="CD90" s="59">
        <f ca="1">AVERAGE(OFFSET($CC$3,0,0,'Données projet'!$E$12+1,1))-AVERAGE(OFFSET($H$3,0,0,'Données projet'!$E$12+1,1))</f>
        <v>251.30277097589737</v>
      </c>
      <c r="CE90" s="59">
        <f t="shared" si="94"/>
        <v>224.11983819941796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2.0622093585584476</v>
      </c>
      <c r="CL90" s="21">
        <f>EXP(-LN(2)/25)*CL89+(1-EXP(-LN(2)/25))/(LN(2)/25)*Calculateur!CG90*Calculateur!CI90*VLOOKUP('Données projet'!$B$12,Paramètres!$A$1:$I$89,3,0)*0.475*44/12</f>
        <v>14.563634744625464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16.625844103183912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2.8421709430404007E-14</v>
      </c>
      <c r="CU90" s="17">
        <f>CT90*VLOOKUP('Données projet'!$B$13,Paramètres!$A$1:$I$89,3,0)*VLOOKUP('Données projet'!$B$13,Paramètres!$A$1:$I$89,5,0)</f>
        <v>2.4829205358400945E-14</v>
      </c>
      <c r="CV90" s="13">
        <f t="shared" si="95"/>
        <v>4.3867331143352915E-13</v>
      </c>
      <c r="CW90" s="20">
        <f t="shared" si="67"/>
        <v>8.0726688341261168E-13</v>
      </c>
      <c r="CX90" s="59">
        <f t="shared" si="68"/>
        <v>273.33480257047563</v>
      </c>
      <c r="CY90" s="59">
        <f ca="1">AVERAGE(OFFSET($CX$3,0,0,'Données projet'!$E$13+1,1))-AVERAGE(OFFSET($H$3,0,0,'Données projet'!$E$13+1,1))</f>
        <v>287.28439432670405</v>
      </c>
      <c r="CZ90" s="59">
        <f t="shared" si="96"/>
        <v>276.01618888357268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28.716155965499222</v>
      </c>
      <c r="DG90" s="21">
        <f>EXP(-LN(2)/25)*DG89+(1-EXP(-LN(2)/25))/(LN(2)/25)*Calculateur!DB90*Calculateur!DD90*VLOOKUP('Données projet'!$B$13,Paramètres!$A$1:$I$89,3,0)*0.475*44/12</f>
        <v>30.057753971931675</v>
      </c>
      <c r="DH90" s="21">
        <f>EXP(-LN(2)/2)*DH89+(1-EXP(-LN(2)/2))/(LN(2)/2)*DB90*DE90*VLOOKUP('Données projet'!$B$13,Paramètres!$A$1:$I$89,3,0)*0.475*44/12</f>
        <v>4.0169358831108539</v>
      </c>
      <c r="DI90" s="22">
        <f t="shared" si="69"/>
        <v>62.790845820541755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2.0512820512820524</v>
      </c>
      <c r="DO90" s="12">
        <f>IF('Données projet'!$A$166&gt;35,DO89+DN90-DW89,IF(A90&lt;'Données projet'!$A$166,$DL$205^A90,IF(A90='Données projet'!$A$166,'Données projet'!$B$166,DO89+DN90-DW89)))</f>
        <v>95.769230769230731</v>
      </c>
      <c r="DP90" s="17">
        <f>DO90*VLOOKUP('Données projet'!$B$14,Paramètres!$A$1:$I$89,3,0)*VLOOKUP('Données projet'!$B$14,Paramètres!$A$1:$I$89,5,0)</f>
        <v>92.627999999999972</v>
      </c>
      <c r="DQ90" s="13">
        <f t="shared" si="97"/>
        <v>25.197969715925712</v>
      </c>
      <c r="DR90" s="20">
        <f t="shared" si="70"/>
        <v>205.2135639219039</v>
      </c>
      <c r="DS90" s="59">
        <f t="shared" si="71"/>
        <v>478.5483664923787</v>
      </c>
      <c r="DT90" s="59">
        <f ca="1">AVERAGE(OFFSET($DS$3,0,0,'Données projet'!$E$14+1,1))-AVERAGE(OFFSET($H$3,0,0,'Données projet'!$E$14+1,1))</f>
        <v>206.5245935130306</v>
      </c>
      <c r="DU90" s="59">
        <f t="shared" si="98"/>
        <v>130.57011290898546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4.2454341986618926</v>
      </c>
      <c r="EC90" s="21">
        <f>EXP(-LN(2)/2)*EC89+(1-EXP(-LN(2)/2))/(LN(2)/2)*DW90*DZ90*VLOOKUP('Données projet'!$B$14,Paramètres!$A$1:$I$89,3,0)*0.475*44/12</f>
        <v>0.80220646481843449</v>
      </c>
      <c r="ED90" s="22">
        <f t="shared" si="72"/>
        <v>5.047640663480327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10.192500000000001</v>
      </c>
      <c r="EJ90" s="12">
        <f>IF('Données projet'!$A$192&gt;35,EJ89+EI90-ER89,IF(A90&lt;'Données projet'!$A$192,$EG$205^A90,IF(A90='Données projet'!$A$192,'Données projet'!$B$192,EJ89+EI90-ER89)))</f>
        <v>349.82499999999993</v>
      </c>
      <c r="EK90" s="17">
        <f>EJ90*VLOOKUP('Données projet'!$B$15,Paramètres!$A$1:$I$89,3,0)*VLOOKUP('Données projet'!$B$15,Paramètres!$A$1:$I$89,5,0)</f>
        <v>163.71809999999996</v>
      </c>
      <c r="EL90" s="13">
        <f t="shared" si="99"/>
        <v>41.680018719903437</v>
      </c>
      <c r="EM90" s="20">
        <f t="shared" si="73"/>
        <v>357.73505677049843</v>
      </c>
      <c r="EN90" s="59">
        <f t="shared" si="74"/>
        <v>631.06985934097327</v>
      </c>
      <c r="EO90" s="59">
        <f ca="1">AVERAGE(OFFSET($EN$3,0,0,'Données projet'!$E$15+1,1))-AVERAGE(OFFSET($H$3,0,0,'Données projet'!$E$15+1,1))</f>
        <v>374.38106339726073</v>
      </c>
      <c r="EP90" s="59">
        <f t="shared" si="100"/>
        <v>296.53283288925957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54.565829442407221</v>
      </c>
      <c r="EW90" s="21">
        <f>EXP(-LN(2)/25)*EW89+(1-EXP(-LN(2)/25))/(LN(2)/25)*Calculateur!ER90*Calculateur!ET90*VLOOKUP('Données projet'!$B$15,Paramètres!$A$1:$I$89,3,0)*0.475*44/12</f>
        <v>22.344983065387318</v>
      </c>
      <c r="EX90" s="21">
        <f>EXP(-LN(2)/2)*EX89+(1-EXP(-LN(2)/2))/(LN(2)/2)*ER90*EU90*VLOOKUP('Données projet'!$B$15,Paramètres!$A$1:$I$89,3,0)*0.475*44/12</f>
        <v>5.158970129266681</v>
      </c>
      <c r="EY90" s="22">
        <f t="shared" si="75"/>
        <v>82.069782637061209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9">
        <f t="shared" si="55"/>
        <v>907.80601685922727</v>
      </c>
      <c r="S91" s="59">
        <f ca="1">AVERAGE(OFFSET($R$3,0,0,'Données projet'!$E$9+1,1))-AVERAGE(OFFSET($H$3,0,0,'Données projet'!$E$9+1,1))</f>
        <v>681.47578137804555</v>
      </c>
      <c r="T91" s="59">
        <f t="shared" si="88"/>
        <v>300.88511065995885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251.41271999999989</v>
      </c>
      <c r="AK91" s="13">
        <f t="shared" si="89"/>
        <v>60.888354295829195</v>
      </c>
      <c r="AL91" s="20">
        <f t="shared" si="58"/>
        <v>543.92437106523562</v>
      </c>
      <c r="AM91" s="59">
        <f t="shared" si="59"/>
        <v>817.60610343442931</v>
      </c>
      <c r="AN91" s="59">
        <f ca="1">AVERAGE(OFFSET($AM$3,0,0,'Données projet'!$E$10+1,1))-AVERAGE(OFFSET($H$3,0,0,'Données projet'!$E$10+1,1))</f>
        <v>423.80243030843661</v>
      </c>
      <c r="AO91" s="59">
        <f t="shared" si="90"/>
        <v>260.29028006191834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7.7631515231171697</v>
      </c>
      <c r="AV91" s="21">
        <f>EXP(-LN(2)/25)*AV90+(1-EXP(-LN(2)/25))/(LN(2)/25)*Calculateur!AQ91*Calculateur!AS91*VLOOKUP('Données projet'!$B$10,Paramètres!$A$1:$I$89,3,0)*0.475*44/12</f>
        <v>13.786111389479069</v>
      </c>
      <c r="AW91" s="21">
        <f>EXP(-LN(2)/2)*AW90+(1-EXP(-LN(2)/2))/(LN(2)/2)*AQ91*AT91*VLOOKUP('Données projet'!$B$10,Paramètres!$A$1:$I$89,3,0)*0.475*44/12</f>
        <v>2.0244421908534505</v>
      </c>
      <c r="AX91" s="21">
        <f t="shared" si="60"/>
        <v>23.57370510344969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-2.2737367544323206E-13</v>
      </c>
      <c r="BE91" s="13">
        <f>BD91*VLOOKUP('Données projet'!$B$11,Paramètres!$A$1:$I$89,3,0)*VLOOKUP('Données projet'!$B$11,Paramètres!$A$1:$I$89,5,0)</f>
        <v>-1.3596945791505279E-13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373.61861223558259</v>
      </c>
      <c r="BJ91" s="59">
        <f t="shared" si="92"/>
        <v>277.62293009761049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130.81065892938184</v>
      </c>
      <c r="BQ91" s="21">
        <f>EXP(-LN(2)/25)*BQ90+(1-EXP(-LN(2)/25))/(LN(2)/25)*Calculateur!BL91*Calculateur!BN91*VLOOKUP('Données projet'!$B$11,Paramètres!$A$1:$I$89,3,0)*0.475*44/12</f>
        <v>41.450858367462864</v>
      </c>
      <c r="BR91" s="21">
        <f>EXP(-LN(2)/2)*BR90+(1-EXP(-LN(2)/2))/(LN(2)/2)*BL91*BO91*VLOOKUP('Données projet'!$B$11,Paramètres!$A$1:$I$89,3,0)*0.475*44/12</f>
        <v>4.4197901750755442</v>
      </c>
      <c r="BS91" s="22">
        <f t="shared" si="63"/>
        <v>176.68130747192026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1.9230769230769169</v>
      </c>
      <c r="BY91" s="12">
        <f>IF('Données projet'!$A$114&gt;35,BY90+BX91-CG90,IF(A91&lt;'Données projet'!$A$114,$BV$205^A91,IF(A91='Données projet'!$A$114,'Données projet'!$B$114,BY90+BX91-CG90)))</f>
        <v>145.51282051282055</v>
      </c>
      <c r="BZ91" s="13">
        <f>BY91*VLOOKUP('Données projet'!$B$12,Paramètres!$A$1:$I$89,3,0)*VLOOKUP('Données projet'!$B$12,Paramètres!$A$1:$I$89,5,0)</f>
        <v>127.12000000000005</v>
      </c>
      <c r="CA91" s="13">
        <f t="shared" si="93"/>
        <v>33.33001068964662</v>
      </c>
      <c r="CB91" s="20">
        <f t="shared" si="64"/>
        <v>279.45043528446791</v>
      </c>
      <c r="CC91" s="59">
        <f t="shared" si="65"/>
        <v>553.13216765366155</v>
      </c>
      <c r="CD91" s="59">
        <f ca="1">AVERAGE(OFFSET($CC$3,0,0,'Données projet'!$E$12+1,1))-AVERAGE(OFFSET($H$3,0,0,'Données projet'!$E$12+1,1))</f>
        <v>251.30277097589737</v>
      </c>
      <c r="CE91" s="59">
        <f t="shared" si="94"/>
        <v>224.11983819941796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2.0217706908606252</v>
      </c>
      <c r="CL91" s="21">
        <f>EXP(-LN(2)/25)*CL90+(1-EXP(-LN(2)/25))/(LN(2)/25)*Calculateur!CG91*Calculateur!CI91*VLOOKUP('Données projet'!$B$12,Paramètres!$A$1:$I$89,3,0)*0.475*44/12</f>
        <v>14.165391386665416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16.18716207752604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2.8421709430404007E-14</v>
      </c>
      <c r="CU91" s="17">
        <f>CT91*VLOOKUP('Données projet'!$B$13,Paramètres!$A$1:$I$89,3,0)*VLOOKUP('Données projet'!$B$13,Paramètres!$A$1:$I$89,5,0)</f>
        <v>2.4829205358400945E-14</v>
      </c>
      <c r="CV91" s="13">
        <f t="shared" si="95"/>
        <v>4.3867331143352915E-13</v>
      </c>
      <c r="CW91" s="20">
        <f t="shared" si="67"/>
        <v>8.0726688341261168E-13</v>
      </c>
      <c r="CX91" s="59">
        <f t="shared" si="68"/>
        <v>273.68173236919449</v>
      </c>
      <c r="CY91" s="59">
        <f ca="1">AVERAGE(OFFSET($CX$3,0,0,'Données projet'!$E$13+1,1))-AVERAGE(OFFSET($H$3,0,0,'Données projet'!$E$13+1,1))</f>
        <v>287.28439432670405</v>
      </c>
      <c r="CZ91" s="59">
        <f t="shared" si="96"/>
        <v>276.01618888357268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28.153049662141445</v>
      </c>
      <c r="DG91" s="21">
        <f>EXP(-LN(2)/25)*DG90+(1-EXP(-LN(2)/25))/(LN(2)/25)*Calculateur!DB91*Calculateur!DD91*VLOOKUP('Données projet'!$B$13,Paramètres!$A$1:$I$89,3,0)*0.475*44/12</f>
        <v>29.235823108900618</v>
      </c>
      <c r="DH91" s="21">
        <f>EXP(-LN(2)/2)*DH90+(1-EXP(-LN(2)/2))/(LN(2)/2)*DB91*DE91*VLOOKUP('Données projet'!$B$13,Paramètres!$A$1:$I$89,3,0)*0.475*44/12</f>
        <v>2.8404026025392577</v>
      </c>
      <c r="DI91" s="22">
        <f t="shared" si="69"/>
        <v>60.229275373581316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2.0512820512820524</v>
      </c>
      <c r="DO91" s="12">
        <f>IF('Données projet'!$A$166&gt;35,DO90+DN91-DW90,IF(A91&lt;'Données projet'!$A$166,$DL$205^A91,IF(A91='Données projet'!$A$166,'Données projet'!$B$166,DO90+DN91-DW90)))</f>
        <v>97.820512820512789</v>
      </c>
      <c r="DP91" s="17">
        <f>DO91*VLOOKUP('Données projet'!$B$14,Paramètres!$A$1:$I$89,3,0)*VLOOKUP('Données projet'!$B$14,Paramètres!$A$1:$I$89,5,0)</f>
        <v>94.611999999999981</v>
      </c>
      <c r="DQ91" s="13">
        <f t="shared" si="97"/>
        <v>25.67427257306754</v>
      </c>
      <c r="DR91" s="20">
        <f t="shared" si="70"/>
        <v>209.49859139809257</v>
      </c>
      <c r="DS91" s="59">
        <f t="shared" si="71"/>
        <v>483.18032376728627</v>
      </c>
      <c r="DT91" s="59">
        <f ca="1">AVERAGE(OFFSET($DS$3,0,0,'Données projet'!$E$14+1,1))-AVERAGE(OFFSET($H$3,0,0,'Données projet'!$E$14+1,1))</f>
        <v>206.5245935130306</v>
      </c>
      <c r="DU91" s="59">
        <f t="shared" si="98"/>
        <v>130.57011290898546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4.1293425772418013</v>
      </c>
      <c r="EC91" s="21">
        <f>EXP(-LN(2)/2)*EC90+(1-EXP(-LN(2)/2))/(LN(2)/2)*DW91*DZ91*VLOOKUP('Données projet'!$B$14,Paramètres!$A$1:$I$89,3,0)*0.475*44/12</f>
        <v>0.56724563118480265</v>
      </c>
      <c r="ED91" s="22">
        <f t="shared" si="72"/>
        <v>4.6965882084266042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10.192500000000001</v>
      </c>
      <c r="EJ91" s="12">
        <f>IF('Données projet'!$A$192&gt;35,EJ90+EI91-ER90,IF(A91&lt;'Données projet'!$A$192,$EG$205^A91,IF(A91='Données projet'!$A$192,'Données projet'!$B$192,EJ90+EI91-ER90)))</f>
        <v>360.01749999999993</v>
      </c>
      <c r="EK91" s="17">
        <f>EJ91*VLOOKUP('Données projet'!$B$15,Paramètres!$A$1:$I$89,3,0)*VLOOKUP('Données projet'!$B$15,Paramètres!$A$1:$I$89,5,0)</f>
        <v>168.48818999999997</v>
      </c>
      <c r="EL91" s="13">
        <f t="shared" si="99"/>
        <v>42.751252606373484</v>
      </c>
      <c r="EM91" s="20">
        <f t="shared" si="73"/>
        <v>367.90869587276711</v>
      </c>
      <c r="EN91" s="59">
        <f t="shared" si="74"/>
        <v>641.59042824196081</v>
      </c>
      <c r="EO91" s="59">
        <f ca="1">AVERAGE(OFFSET($EN$3,0,0,'Données projet'!$E$15+1,1))-AVERAGE(OFFSET($H$3,0,0,'Données projet'!$E$15+1,1))</f>
        <v>374.38106339726073</v>
      </c>
      <c r="EP91" s="59">
        <f t="shared" si="100"/>
        <v>296.53283288925957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53.495826808911261</v>
      </c>
      <c r="EW91" s="21">
        <f>EXP(-LN(2)/25)*EW90+(1-EXP(-LN(2)/25))/(LN(2)/25)*Calculateur!ER91*Calculateur!ET91*VLOOKUP('Données projet'!$B$15,Paramètres!$A$1:$I$89,3,0)*0.475*44/12</f>
        <v>21.733958328392713</v>
      </c>
      <c r="EX91" s="21">
        <f>EXP(-LN(2)/2)*EX90+(1-EXP(-LN(2)/2))/(LN(2)/2)*ER91*EU91*VLOOKUP('Données projet'!$B$15,Paramètres!$A$1:$I$89,3,0)*0.475*44/12</f>
        <v>3.6479427623433098</v>
      </c>
      <c r="EY91" s="22">
        <f t="shared" si="75"/>
        <v>78.877727899647283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9">
        <f t="shared" si="55"/>
        <v>925.63471753484805</v>
      </c>
      <c r="S92" s="59">
        <f ca="1">AVERAGE(OFFSET($R$3,0,0,'Données projet'!$E$9+1,1))-AVERAGE(OFFSET($H$3,0,0,'Données projet'!$E$9+1,1))</f>
        <v>681.47578137804555</v>
      </c>
      <c r="T92" s="59">
        <f t="shared" si="88"/>
        <v>300.88511065995885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256.55135999999987</v>
      </c>
      <c r="AK92" s="13">
        <f t="shared" si="89"/>
        <v>61.986696970400146</v>
      </c>
      <c r="AL92" s="20">
        <f t="shared" si="58"/>
        <v>554.78711589011334</v>
      </c>
      <c r="AM92" s="59">
        <f t="shared" si="59"/>
        <v>828.80975960163687</v>
      </c>
      <c r="AN92" s="59">
        <f ca="1">AVERAGE(OFFSET($AM$3,0,0,'Données projet'!$E$10+1,1))-AVERAGE(OFFSET($H$3,0,0,'Données projet'!$E$10+1,1))</f>
        <v>423.80243030843661</v>
      </c>
      <c r="AO92" s="59">
        <f t="shared" si="90"/>
        <v>260.29028006191834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7.6109208568037232</v>
      </c>
      <c r="AV92" s="21">
        <f>EXP(-LN(2)/25)*AV91+(1-EXP(-LN(2)/25))/(LN(2)/25)*Calculateur!AQ92*Calculateur!AS92*VLOOKUP('Données projet'!$B$10,Paramètres!$A$1:$I$89,3,0)*0.475*44/12</f>
        <v>13.409129448553674</v>
      </c>
      <c r="AW92" s="21">
        <f>EXP(-LN(2)/2)*AW91+(1-EXP(-LN(2)/2))/(LN(2)/2)*AQ92*AT92*VLOOKUP('Données projet'!$B$10,Paramètres!$A$1:$I$89,3,0)*0.475*44/12</f>
        <v>1.4314968012726257</v>
      </c>
      <c r="AX92" s="21">
        <f t="shared" si="60"/>
        <v>22.451547106630024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-2.2737367544323206E-13</v>
      </c>
      <c r="BE92" s="13">
        <f>BD92*VLOOKUP('Données projet'!$B$11,Paramètres!$A$1:$I$89,3,0)*VLOOKUP('Données projet'!$B$11,Paramètres!$A$1:$I$89,5,0)</f>
        <v>-1.3596945791505279E-13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373.61861223558259</v>
      </c>
      <c r="BJ92" s="59">
        <f t="shared" si="92"/>
        <v>277.62293009761049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128.24554169440034</v>
      </c>
      <c r="BQ92" s="21">
        <f>EXP(-LN(2)/25)*BQ91+(1-EXP(-LN(2)/25))/(LN(2)/25)*Calculateur!BL92*Calculateur!BN92*VLOOKUP('Données projet'!$B$11,Paramètres!$A$1:$I$89,3,0)*0.475*44/12</f>
        <v>40.317382465598691</v>
      </c>
      <c r="BR92" s="21">
        <f>EXP(-LN(2)/2)*BR91+(1-EXP(-LN(2)/2))/(LN(2)/2)*BL92*BO92*VLOOKUP('Données projet'!$B$11,Paramètres!$A$1:$I$89,3,0)*0.475*44/12</f>
        <v>3.1252636042175954</v>
      </c>
      <c r="BS92" s="22">
        <f t="shared" si="63"/>
        <v>171.68818776421662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1.9230769230769169</v>
      </c>
      <c r="BY92" s="12">
        <f>IF('Données projet'!$A$114&gt;35,BY91+BX92-CG91,IF(A92&lt;'Données projet'!$A$114,$BV$205^A92,IF(A92='Données projet'!$A$114,'Données projet'!$B$114,BY91+BX92-CG91)))</f>
        <v>147.43589743589746</v>
      </c>
      <c r="BZ92" s="13">
        <f>BY92*VLOOKUP('Données projet'!$B$12,Paramètres!$A$1:$I$89,3,0)*VLOOKUP('Données projet'!$B$12,Paramètres!$A$1:$I$89,5,0)</f>
        <v>128.80000000000004</v>
      </c>
      <c r="CA92" s="13">
        <f t="shared" si="93"/>
        <v>33.718925085085118</v>
      </c>
      <c r="CB92" s="20">
        <f t="shared" si="64"/>
        <v>283.05379452318994</v>
      </c>
      <c r="CC92" s="59">
        <f t="shared" si="65"/>
        <v>557.07643823471358</v>
      </c>
      <c r="CD92" s="59">
        <f ca="1">AVERAGE(OFFSET($CC$3,0,0,'Données projet'!$E$12+1,1))-AVERAGE(OFFSET($H$3,0,0,'Données projet'!$E$12+1,1))</f>
        <v>251.30277097589737</v>
      </c>
      <c r="CE92" s="59">
        <f t="shared" si="94"/>
        <v>224.11983819941796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1.9821250007712055</v>
      </c>
      <c r="CL92" s="21">
        <f>EXP(-LN(2)/25)*CL91+(1-EXP(-LN(2)/25))/(LN(2)/25)*Calculateur!CG92*Calculateur!CI92*VLOOKUP('Données projet'!$B$12,Paramètres!$A$1:$I$89,3,0)*0.475*44/12</f>
        <v>13.778038014271493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15.760163015042698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2.8421709430404007E-14</v>
      </c>
      <c r="CU92" s="17">
        <f>CT92*VLOOKUP('Données projet'!$B$13,Paramètres!$A$1:$I$89,3,0)*VLOOKUP('Données projet'!$B$13,Paramètres!$A$1:$I$89,5,0)</f>
        <v>2.4829205358400945E-14</v>
      </c>
      <c r="CV92" s="13">
        <f t="shared" si="95"/>
        <v>4.3867331143352915E-13</v>
      </c>
      <c r="CW92" s="20">
        <f t="shared" si="67"/>
        <v>8.0726688341261168E-13</v>
      </c>
      <c r="CX92" s="59">
        <f t="shared" si="68"/>
        <v>274.02264371152438</v>
      </c>
      <c r="CY92" s="59">
        <f ca="1">AVERAGE(OFFSET($CX$3,0,0,'Données projet'!$E$13+1,1))-AVERAGE(OFFSET($H$3,0,0,'Données projet'!$E$13+1,1))</f>
        <v>287.28439432670405</v>
      </c>
      <c r="CZ92" s="59">
        <f t="shared" si="96"/>
        <v>276.01618888357268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27.600985529931584</v>
      </c>
      <c r="DG92" s="21">
        <f>EXP(-LN(2)/25)*DG91+(1-EXP(-LN(2)/25))/(LN(2)/25)*Calculateur!DB92*Calculateur!DD92*VLOOKUP('Données projet'!$B$13,Paramètres!$A$1:$I$89,3,0)*0.475*44/12</f>
        <v>28.436367988542614</v>
      </c>
      <c r="DH92" s="21">
        <f>EXP(-LN(2)/2)*DH91+(1-EXP(-LN(2)/2))/(LN(2)/2)*DB92*DE92*VLOOKUP('Données projet'!$B$13,Paramètres!$A$1:$I$89,3,0)*0.475*44/12</f>
        <v>2.008467941555427</v>
      </c>
      <c r="DI92" s="22">
        <f t="shared" si="69"/>
        <v>58.045821460029629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2.0512820512820524</v>
      </c>
      <c r="DO92" s="12">
        <f>IF('Données projet'!$A$166&gt;35,DO91+DN92-DW91,IF(A92&lt;'Données projet'!$A$166,$DL$205^A92,IF(A92='Données projet'!$A$166,'Données projet'!$B$166,DO91+DN92-DW91)))</f>
        <v>99.871794871794847</v>
      </c>
      <c r="DP92" s="17">
        <f>DO92*VLOOKUP('Données projet'!$B$14,Paramètres!$A$1:$I$89,3,0)*VLOOKUP('Données projet'!$B$14,Paramètres!$A$1:$I$89,5,0)</f>
        <v>96.595999999999975</v>
      </c>
      <c r="DQ92" s="13">
        <f t="shared" si="97"/>
        <v>26.14941415452644</v>
      </c>
      <c r="DR92" s="20">
        <f t="shared" si="70"/>
        <v>213.78159631913351</v>
      </c>
      <c r="DS92" s="59">
        <f t="shared" si="71"/>
        <v>487.80424003065707</v>
      </c>
      <c r="DT92" s="59">
        <f ca="1">AVERAGE(OFFSET($DS$3,0,0,'Données projet'!$E$14+1,1))-AVERAGE(OFFSET($H$3,0,0,'Données projet'!$E$14+1,1))</f>
        <v>206.5245935130306</v>
      </c>
      <c r="DU92" s="59">
        <f t="shared" si="98"/>
        <v>130.57011290898546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4.0164254873144358</v>
      </c>
      <c r="EC92" s="21">
        <f>EXP(-LN(2)/2)*EC91+(1-EXP(-LN(2)/2))/(LN(2)/2)*DW92*DZ92*VLOOKUP('Données projet'!$B$14,Paramètres!$A$1:$I$89,3,0)*0.475*44/12</f>
        <v>0.4011032324092173</v>
      </c>
      <c r="ED92" s="22">
        <f t="shared" si="72"/>
        <v>4.417528719723653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10.192500000000001</v>
      </c>
      <c r="EJ92" s="12">
        <f>IF('Données projet'!$A$192&gt;35,EJ91+EI92-ER91,IF(A92&lt;'Données projet'!$A$192,$EG$205^A92,IF(A92='Données projet'!$A$192,'Données projet'!$B$192,EJ91+EI92-ER91)))</f>
        <v>370.20999999999992</v>
      </c>
      <c r="EK92" s="17">
        <f>EJ92*VLOOKUP('Données projet'!$B$15,Paramètres!$A$1:$I$89,3,0)*VLOOKUP('Données projet'!$B$15,Paramètres!$A$1:$I$89,5,0)</f>
        <v>173.25827999999996</v>
      </c>
      <c r="EL92" s="13">
        <f t="shared" si="99"/>
        <v>43.818961645566453</v>
      </c>
      <c r="EM92" s="20">
        <f t="shared" si="73"/>
        <v>378.07619586602806</v>
      </c>
      <c r="EN92" s="59">
        <f t="shared" si="74"/>
        <v>652.09883957755164</v>
      </c>
      <c r="EO92" s="59">
        <f ca="1">AVERAGE(OFFSET($EN$3,0,0,'Données projet'!$E$15+1,1))-AVERAGE(OFFSET($H$3,0,0,'Données projet'!$E$15+1,1))</f>
        <v>374.38106339726073</v>
      </c>
      <c r="EP92" s="59">
        <f t="shared" si="100"/>
        <v>296.53283288925957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52.446806274420993</v>
      </c>
      <c r="EW92" s="21">
        <f>EXP(-LN(2)/25)*EW91+(1-EXP(-LN(2)/25))/(LN(2)/25)*Calculateur!ER92*Calculateur!ET92*VLOOKUP('Données projet'!$B$15,Paramètres!$A$1:$I$89,3,0)*0.475*44/12</f>
        <v>21.139642094963619</v>
      </c>
      <c r="EX92" s="21">
        <f>EXP(-LN(2)/2)*EX91+(1-EXP(-LN(2)/2))/(LN(2)/2)*ER92*EU92*VLOOKUP('Données projet'!$B$15,Paramètres!$A$1:$I$89,3,0)*0.475*44/12</f>
        <v>2.5794850646333405</v>
      </c>
      <c r="EY92" s="22">
        <f t="shared" si="75"/>
        <v>76.165933434017958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9">
        <f t="shared" si="55"/>
        <v>943.44783190500175</v>
      </c>
      <c r="S93" s="59">
        <f ca="1">AVERAGE(OFFSET($R$3,0,0,'Données projet'!$E$9+1,1))-AVERAGE(OFFSET($H$3,0,0,'Données projet'!$E$9+1,1))</f>
        <v>681.47578137804555</v>
      </c>
      <c r="T93" s="59">
        <f t="shared" si="88"/>
        <v>300.88511065995885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261.68999999999983</v>
      </c>
      <c r="AK93" s="13">
        <f t="shared" si="89"/>
        <v>63.082481711546343</v>
      </c>
      <c r="AL93" s="20">
        <f t="shared" si="58"/>
        <v>565.64540564760955</v>
      </c>
      <c r="AM93" s="59">
        <f t="shared" si="59"/>
        <v>840.00304665183717</v>
      </c>
      <c r="AN93" s="59">
        <f ca="1">AVERAGE(OFFSET($AM$3,0,0,'Données projet'!$E$10+1,1))-AVERAGE(OFFSET($H$3,0,0,'Données projet'!$E$10+1,1))</f>
        <v>423.80243030843661</v>
      </c>
      <c r="AO93" s="59">
        <f t="shared" si="90"/>
        <v>260.29028006191834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0.1075</v>
      </c>
      <c r="AS93" s="16">
        <f>IF(ISNA(VLOOKUP(A93,'Données projet'!$A$61:$I$81,6,0)),0%,VLOOKUP(A93,'Données projet'!$A$61:$I$81,6,0)*VLOOKUP('Données projet'!$B$10,Paramètres!$A$1:$I$89,7,0))</f>
        <v>0.1075</v>
      </c>
      <c r="AT93" s="16">
        <f>IF(ISNA(VLOOKUP(A93,'Données projet'!$A$61:$I$81,7,0)),0%,VLOOKUP(A93,'Données projet'!$A$61:$I$81,7,0))</f>
        <v>0.25</v>
      </c>
      <c r="AU93" s="21">
        <f>EXP(-LN(2)/35)*AU92+(1-EXP(-LN(2)/35))/(LN(2)/35)*AQ93*AR93*VLOOKUP('Données projet'!$B$10,Paramètres!$A$1:$I$89,3,0)*0.475*44/12</f>
        <v>9.8364877127218708</v>
      </c>
      <c r="AV93" s="21">
        <f>EXP(-LN(2)/25)*AV92+(1-EXP(-LN(2)/25))/(LN(2)/25)*Calculateur!AQ93*Calculateur!AS93*VLOOKUP('Données projet'!$B$10,Paramètres!$A$1:$I$89,3,0)*0.475*44/12</f>
        <v>15.407917929162327</v>
      </c>
      <c r="AW93" s="21">
        <f>EXP(-LN(2)/2)*AW92+(1-EXP(-LN(2)/2))/(LN(2)/2)*AQ93*AT93*VLOOKUP('Données projet'!$B$10,Paramètres!$A$1:$I$89,3,0)*0.475*44/12</f>
        <v>5.7259872081037848</v>
      </c>
      <c r="AX93" s="21">
        <f t="shared" si="60"/>
        <v>30.970392849987984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-2.2737367544323206E-13</v>
      </c>
      <c r="BE93" s="13">
        <f>BD93*VLOOKUP('Données projet'!$B$11,Paramètres!$A$1:$I$89,3,0)*VLOOKUP('Données projet'!$B$11,Paramètres!$A$1:$I$89,5,0)</f>
        <v>-1.3596945791505279E-13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373.61861223558259</v>
      </c>
      <c r="BJ93" s="59">
        <f t="shared" si="92"/>
        <v>277.62293009761049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125.7307248438298</v>
      </c>
      <c r="BQ93" s="21">
        <f>EXP(-LN(2)/25)*BQ92+(1-EXP(-LN(2)/25))/(LN(2)/25)*Calculateur!BL93*Calculateur!BN93*VLOOKUP('Données projet'!$B$11,Paramètres!$A$1:$I$89,3,0)*0.475*44/12</f>
        <v>39.214901521877898</v>
      </c>
      <c r="BR93" s="21">
        <f>EXP(-LN(2)/2)*BR92+(1-EXP(-LN(2)/2))/(LN(2)/2)*BL93*BO93*VLOOKUP('Données projet'!$B$11,Paramètres!$A$1:$I$89,3,0)*0.475*44/12</f>
        <v>2.2098950875377721</v>
      </c>
      <c r="BS93" s="22">
        <f t="shared" si="63"/>
        <v>167.15552145324548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149.35897435897434</v>
      </c>
      <c r="BW93" s="12">
        <f>VLOOKUP(A93,'Données projet'!$A$113:$I$133,9,0)</f>
        <v>1.9230769230769169</v>
      </c>
      <c r="BX93" s="12">
        <f t="array" ref="BX93">INDEX(BW:BW,MIN(IF(ISNUMBER(BW93:BW289),ROW(BW93:BW289),"")))</f>
        <v>1.9230769230769169</v>
      </c>
      <c r="BY93" s="12">
        <f>IF('Données projet'!$A$114&gt;35,BY92+BX93-CG92,IF(A93&lt;'Données projet'!$A$114,$BV$205^A93,IF(A93='Données projet'!$A$114,'Données projet'!$B$114,BY92+BX93-CG92)))</f>
        <v>149.35897435897436</v>
      </c>
      <c r="BZ93" s="13">
        <f>BY93*VLOOKUP('Données projet'!$B$12,Paramètres!$A$1:$I$89,3,0)*VLOOKUP('Données projet'!$B$12,Paramètres!$A$1:$I$89,5,0)</f>
        <v>130.48000000000002</v>
      </c>
      <c r="CA93" s="13">
        <f t="shared" si="93"/>
        <v>34.107249437343114</v>
      </c>
      <c r="CB93" s="20">
        <f t="shared" si="64"/>
        <v>286.65612610337257</v>
      </c>
      <c r="CC93" s="59">
        <f t="shared" si="65"/>
        <v>561.01376710760019</v>
      </c>
      <c r="CD93" s="59">
        <f ca="1">AVERAGE(OFFSET($CC$3,0,0,'Données projet'!$E$12+1,1))-AVERAGE(OFFSET($H$3,0,0,'Données projet'!$E$12+1,1))</f>
        <v>251.30277097589737</v>
      </c>
      <c r="CE93" s="59">
        <f t="shared" si="94"/>
        <v>224.11983819941796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7.0512820512820511</v>
      </c>
      <c r="CH93" s="16">
        <f>IF(ISNA(VLOOKUP(A93,'Données projet'!$A$113:$I$133,5,0)),0%,VLOOKUP(A93,'Données projet'!$A$113:$I$133,5,0)*VLOOKUP('Données projet'!$B$12,Paramètres!$A$1:$I$89,7,0))</f>
        <v>4.3000000000000003E-2</v>
      </c>
      <c r="CI93" s="16">
        <f>IF(ISNA(VLOOKUP(A93,'Données projet'!$A$113:$I$133,6,0)),0%,VLOOKUP(A93,'Données projet'!$A$113:$I$133,6,0)*VLOOKUP('Données projet'!$B$12,Paramètres!$A$1:$I$89,7,0))</f>
        <v>0.215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2.2360737326136437</v>
      </c>
      <c r="CL93" s="21">
        <f>EXP(-LN(2)/25)*CL92+(1-EXP(-LN(2)/25))/(LN(2)/25)*Calculateur!CG93*Calculateur!CI93*VLOOKUP('Données projet'!$B$12,Paramètres!$A$1:$I$89,3,0)*0.475*44/12</f>
        <v>14.859597150479576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17.09567088309322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2.8421709430404007E-14</v>
      </c>
      <c r="CU93" s="17">
        <f>CT93*VLOOKUP('Données projet'!$B$13,Paramètres!$A$1:$I$89,3,0)*VLOOKUP('Données projet'!$B$13,Paramètres!$A$1:$I$89,5,0)</f>
        <v>2.4829205358400945E-14</v>
      </c>
      <c r="CV93" s="13">
        <f t="shared" si="95"/>
        <v>4.3867331143352915E-13</v>
      </c>
      <c r="CW93" s="20">
        <f t="shared" si="67"/>
        <v>8.0726688341261168E-13</v>
      </c>
      <c r="CX93" s="59">
        <f t="shared" si="68"/>
        <v>274.35764100422847</v>
      </c>
      <c r="CY93" s="59">
        <f ca="1">AVERAGE(OFFSET($CX$3,0,0,'Données projet'!$E$13+1,1))-AVERAGE(OFFSET($H$3,0,0,'Données projet'!$E$13+1,1))</f>
        <v>287.28439432670405</v>
      </c>
      <c r="CZ93" s="59">
        <f t="shared" si="96"/>
        <v>276.01618888357268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27.059747038628487</v>
      </c>
      <c r="DG93" s="21">
        <f>EXP(-LN(2)/25)*DG92+(1-EXP(-LN(2)/25))/(LN(2)/25)*Calculateur!DB93*Calculateur!DD93*VLOOKUP('Données projet'!$B$13,Paramètres!$A$1:$I$89,3,0)*0.475*44/12</f>
        <v>27.658774010492316</v>
      </c>
      <c r="DH93" s="21">
        <f>EXP(-LN(2)/2)*DH92+(1-EXP(-LN(2)/2))/(LN(2)/2)*DB93*DE93*VLOOKUP('Données projet'!$B$13,Paramètres!$A$1:$I$89,3,0)*0.475*44/12</f>
        <v>1.4202013012696288</v>
      </c>
      <c r="DI93" s="22">
        <f t="shared" si="69"/>
        <v>56.138722350390431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101.92307692307692</v>
      </c>
      <c r="DM93" s="12">
        <f>VLOOKUP(A93,'Données projet'!$A$165:$I$185,9,0)</f>
        <v>2.0512820512820524</v>
      </c>
      <c r="DN93" s="12">
        <f t="array" ref="DN93">INDEX(DM:DM,MIN(IF(ISNUMBER(DM93:DM289),ROW(DM93:DM289),"")))</f>
        <v>2.0512820512820524</v>
      </c>
      <c r="DO93" s="12">
        <f>IF('Données projet'!$A$166&gt;35,DO92+DN93-DW92,IF(A93&lt;'Données projet'!$A$166,$DL$205^A93,IF(A93='Données projet'!$A$166,'Données projet'!$B$166,DO92+DN93-DW92)))</f>
        <v>101.92307692307691</v>
      </c>
      <c r="DP93" s="17">
        <f>DO93*VLOOKUP('Données projet'!$B$14,Paramètres!$A$1:$I$89,3,0)*VLOOKUP('Données projet'!$B$14,Paramètres!$A$1:$I$89,5,0)</f>
        <v>98.579999999999984</v>
      </c>
      <c r="DQ93" s="13">
        <f t="shared" si="97"/>
        <v>26.623421060219858</v>
      </c>
      <c r="DR93" s="20">
        <f t="shared" si="70"/>
        <v>218.06262501321623</v>
      </c>
      <c r="DS93" s="59">
        <f t="shared" si="71"/>
        <v>492.42026601744391</v>
      </c>
      <c r="DT93" s="59">
        <f ca="1">AVERAGE(OFFSET($DS$3,0,0,'Données projet'!$E$14+1,1))-AVERAGE(OFFSET($H$3,0,0,'Données projet'!$E$14+1,1))</f>
        <v>206.5245935130306</v>
      </c>
      <c r="DU93" s="59">
        <f t="shared" si="98"/>
        <v>130.57011290898546</v>
      </c>
      <c r="DV93" s="15">
        <f>IF(ISNA(VLOOKUP(A93,'Données projet'!$A$165:$I$185,3,0)),0,VLOOKUP(A93,'Données projet'!$A$165:$I$185,3,0))</f>
        <v>14</v>
      </c>
      <c r="DW93" s="15">
        <f>IF(ISNA(VLOOKUP(A93,'Données projet'!$A$165:$I$185,4,0)),0,VLOOKUP(A93,'Données projet'!$A$165:$I$185,4,0))</f>
        <v>5.7692307692307692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0.1075</v>
      </c>
      <c r="DZ93" s="16">
        <f>IF(ISNA(VLOOKUP(A93,'Données projet'!$A$165:$I$185,7,0)),0%,VLOOKUP(A93,'Données projet'!$A$165:$I$185,7,0))</f>
        <v>0.25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4.5671015863498656</v>
      </c>
      <c r="EC93" s="21">
        <f>EXP(-LN(2)/2)*EC92+(1-EXP(-LN(2)/2))/(LN(2)/2)*DW93*DZ93*VLOOKUP('Données projet'!$B$14,Paramètres!$A$1:$I$89,3,0)*0.475*44/12</f>
        <v>1.5998428614669178</v>
      </c>
      <c r="ED93" s="22">
        <f t="shared" si="72"/>
        <v>6.1669444478167836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10.192500000000001</v>
      </c>
      <c r="EJ93" s="12">
        <f>IF('Données projet'!$A$192&gt;35,EJ92+EI93-ER92,IF(A93&lt;'Données projet'!$A$192,$EG$205^A93,IF(A93='Données projet'!$A$192,'Données projet'!$B$192,EJ92+EI93-ER92)))</f>
        <v>380.40249999999992</v>
      </c>
      <c r="EK93" s="17">
        <f>EJ93*VLOOKUP('Données projet'!$B$15,Paramètres!$A$1:$I$89,3,0)*VLOOKUP('Données projet'!$B$15,Paramètres!$A$1:$I$89,5,0)</f>
        <v>178.02836999999997</v>
      </c>
      <c r="EL93" s="13">
        <f t="shared" si="99"/>
        <v>44.883254032720146</v>
      </c>
      <c r="EM93" s="20">
        <f t="shared" si="73"/>
        <v>388.23774519032082</v>
      </c>
      <c r="EN93" s="59">
        <f t="shared" si="74"/>
        <v>662.5953861945485</v>
      </c>
      <c r="EO93" s="59">
        <f ca="1">AVERAGE(OFFSET($EN$3,0,0,'Données projet'!$E$15+1,1))-AVERAGE(OFFSET($H$3,0,0,'Données projet'!$E$15+1,1))</f>
        <v>374.38106339726073</v>
      </c>
      <c r="EP93" s="59">
        <f t="shared" si="100"/>
        <v>296.53283288925957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51.418356392772736</v>
      </c>
      <c r="EW93" s="21">
        <f>EXP(-LN(2)/25)*EW92+(1-EXP(-LN(2)/25))/(LN(2)/25)*Calculateur!ER93*Calculateur!ET93*VLOOKUP('Données projet'!$B$15,Paramètres!$A$1:$I$89,3,0)*0.475*44/12</f>
        <v>20.561577470191377</v>
      </c>
      <c r="EX93" s="21">
        <f>EXP(-LN(2)/2)*EX92+(1-EXP(-LN(2)/2))/(LN(2)/2)*ER93*EU93*VLOOKUP('Données projet'!$B$15,Paramètres!$A$1:$I$89,3,0)*0.475*44/12</f>
        <v>1.8239713811716549</v>
      </c>
      <c r="EY93" s="22">
        <f t="shared" si="75"/>
        <v>73.803905244135777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9">
        <f t="shared" si="55"/>
        <v>961.2457505969237</v>
      </c>
      <c r="S94" s="59">
        <f ca="1">AVERAGE(OFFSET($R$3,0,0,'Données projet'!$E$9+1,1))-AVERAGE(OFFSET($H$3,0,0,'Données projet'!$E$9+1,1))</f>
        <v>681.47578137804555</v>
      </c>
      <c r="T94" s="59">
        <f t="shared" si="88"/>
        <v>300.88511065995885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</v>
      </c>
      <c r="AI94" s="13">
        <f>IF('Données projet'!$A$62&gt;35,AI93+AH94-AQ93,IF(A94&lt;'Données projet'!$A$62,$AF$205^A94,IF(A94='Données projet'!$A$62,'Données projet'!$B$62,AI93+AH94-AQ93)))</f>
        <v>258.99999999999983</v>
      </c>
      <c r="AJ94" s="13">
        <f>AI94*VLOOKUP('Données projet'!$B$10,Paramètres!$A$1:$I$89,3,0)*VLOOKUP('Données projet'!$B$10,Paramètres!$A$1:$I$89,5,0)</f>
        <v>246.46439999999984</v>
      </c>
      <c r="AK94" s="13">
        <f t="shared" si="89"/>
        <v>59.828218865086768</v>
      </c>
      <c r="AL94" s="20">
        <f t="shared" si="58"/>
        <v>533.45964452335909</v>
      </c>
      <c r="AM94" s="59">
        <f t="shared" si="59"/>
        <v>808.1464713662042</v>
      </c>
      <c r="AN94" s="59">
        <f ca="1">AVERAGE(OFFSET($AM$3,0,0,'Données projet'!$E$10+1,1))-AVERAGE(OFFSET($H$3,0,0,'Données projet'!$E$10+1,1))</f>
        <v>423.80243030843661</v>
      </c>
      <c r="AO94" s="59">
        <f t="shared" si="90"/>
        <v>260.29028006191834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9.643600188340482</v>
      </c>
      <c r="AV94" s="21">
        <f>EXP(-LN(2)/25)*AV93+(1-EXP(-LN(2)/25))/(LN(2)/25)*Calculateur!AQ94*Calculateur!AS94*VLOOKUP('Données projet'!$B$10,Paramètres!$A$1:$I$89,3,0)*0.475*44/12</f>
        <v>14.986587603122194</v>
      </c>
      <c r="AW94" s="21">
        <f>EXP(-LN(2)/2)*AW93+(1-EXP(-LN(2)/2))/(LN(2)/2)*AQ94*AT94*VLOOKUP('Données projet'!$B$10,Paramètres!$A$1:$I$89,3,0)*0.475*44/12</f>
        <v>4.0488843838376134</v>
      </c>
      <c r="AX94" s="21">
        <f t="shared" si="60"/>
        <v>28.679072175300288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-1.3596945791505279E-13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373.61861223558259</v>
      </c>
      <c r="BJ94" s="59">
        <f t="shared" si="92"/>
        <v>277.62293009761049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123.26522201781214</v>
      </c>
      <c r="BQ94" s="21">
        <f>EXP(-LN(2)/25)*BQ93+(1-EXP(-LN(2)/25))/(LN(2)/25)*Calculateur!BL94*Calculateur!BN94*VLOOKUP('Données projet'!$B$11,Paramètres!$A$1:$I$89,3,0)*0.475*44/12</f>
        <v>38.142567977540104</v>
      </c>
      <c r="BR94" s="21">
        <f>EXP(-LN(2)/2)*BR93+(1-EXP(-LN(2)/2))/(LN(2)/2)*BL94*BO94*VLOOKUP('Données projet'!$B$11,Paramètres!$A$1:$I$89,3,0)*0.475*44/12</f>
        <v>1.5626318021087977</v>
      </c>
      <c r="BS94" s="22">
        <f t="shared" si="63"/>
        <v>162.97042179746103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1.7948717948717956</v>
      </c>
      <c r="BY94" s="12">
        <f>IF('Données projet'!$A$114&gt;35,BY93+BX94-CG93,IF(A94&lt;'Données projet'!$A$114,$BV$205^A94,IF(A94='Données projet'!$A$114,'Données projet'!$B$114,BY93+BX94-CG93)))</f>
        <v>144.10256410256412</v>
      </c>
      <c r="BZ94" s="13">
        <f>BY94*VLOOKUP('Données projet'!$B$12,Paramètres!$A$1:$I$89,3,0)*VLOOKUP('Données projet'!$B$12,Paramètres!$A$1:$I$89,5,0)</f>
        <v>125.88800000000002</v>
      </c>
      <c r="CA94" s="13">
        <f t="shared" si="93"/>
        <v>33.044426758623921</v>
      </c>
      <c r="CB94" s="20">
        <f t="shared" si="64"/>
        <v>276.80730993793668</v>
      </c>
      <c r="CC94" s="59">
        <f t="shared" si="65"/>
        <v>551.49413678078167</v>
      </c>
      <c r="CD94" s="59">
        <f ca="1">AVERAGE(OFFSET($CC$3,0,0,'Données projet'!$E$12+1,1))-AVERAGE(OFFSET($H$3,0,0,'Données projet'!$E$12+1,1))</f>
        <v>251.30277097589737</v>
      </c>
      <c r="CE94" s="59">
        <f t="shared" si="94"/>
        <v>224.11983819941796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2.1922256905873962</v>
      </c>
      <c r="CL94" s="21">
        <f>EXP(-LN(2)/25)*CL93+(1-EXP(-LN(2)/25))/(LN(2)/25)*Calculateur!CG94*Calculateur!CI94*VLOOKUP('Données projet'!$B$12,Paramètres!$A$1:$I$89,3,0)*0.475*44/12</f>
        <v>14.453260684967461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16.645486375554857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2.8421709430404007E-14</v>
      </c>
      <c r="CU94" s="17">
        <f>CT94*VLOOKUP('Données projet'!$B$13,Paramètres!$A$1:$I$89,3,0)*VLOOKUP('Données projet'!$B$13,Paramètres!$A$1:$I$89,5,0)</f>
        <v>2.4829205358400945E-14</v>
      </c>
      <c r="CV94" s="13">
        <f t="shared" si="95"/>
        <v>4.3867331143352915E-13</v>
      </c>
      <c r="CW94" s="20">
        <f t="shared" si="67"/>
        <v>8.0726688341261168E-13</v>
      </c>
      <c r="CX94" s="59">
        <f t="shared" si="68"/>
        <v>274.68682684284585</v>
      </c>
      <c r="CY94" s="59">
        <f ca="1">AVERAGE(OFFSET($CX$3,0,0,'Données projet'!$E$13+1,1))-AVERAGE(OFFSET($H$3,0,0,'Données projet'!$E$13+1,1))</f>
        <v>287.28439432670405</v>
      </c>
      <c r="CZ94" s="59">
        <f t="shared" si="96"/>
        <v>276.01618888357268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26.529121904016961</v>
      </c>
      <c r="DG94" s="21">
        <f>EXP(-LN(2)/25)*DG93+(1-EXP(-LN(2)/25))/(LN(2)/25)*Calculateur!DB94*Calculateur!DD94*VLOOKUP('Données projet'!$B$13,Paramètres!$A$1:$I$89,3,0)*0.475*44/12</f>
        <v>26.902443380663694</v>
      </c>
      <c r="DH94" s="21">
        <f>EXP(-LN(2)/2)*DH93+(1-EXP(-LN(2)/2))/(LN(2)/2)*DB94*DE94*VLOOKUP('Données projet'!$B$13,Paramètres!$A$1:$I$89,3,0)*0.475*44/12</f>
        <v>1.0042339707777135</v>
      </c>
      <c r="DI94" s="22">
        <f t="shared" si="69"/>
        <v>54.43579925545837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1.7948717948717956</v>
      </c>
      <c r="DO94" s="12">
        <f>IF('Données projet'!$A$166&gt;35,DO93+DN94-DW93,IF(A94&lt;'Données projet'!$A$166,$DL$205^A94,IF(A94='Données projet'!$A$166,'Données projet'!$B$166,DO93+DN94-DW93)))</f>
        <v>97.948717948717928</v>
      </c>
      <c r="DP94" s="17">
        <f>DO94*VLOOKUP('Données projet'!$B$14,Paramètres!$A$1:$I$89,3,0)*VLOOKUP('Données projet'!$B$14,Paramètres!$A$1:$I$89,5,0)</f>
        <v>94.735999999999976</v>
      </c>
      <c r="DQ94" s="13">
        <f t="shared" si="97"/>
        <v>25.704002661751492</v>
      </c>
      <c r="DR94" s="20">
        <f t="shared" si="70"/>
        <v>209.76633796921715</v>
      </c>
      <c r="DS94" s="59">
        <f t="shared" si="71"/>
        <v>484.4531648120622</v>
      </c>
      <c r="DT94" s="59">
        <f ca="1">AVERAGE(OFFSET($DS$3,0,0,'Données projet'!$E$14+1,1))-AVERAGE(OFFSET($H$3,0,0,'Données projet'!$E$14+1,1))</f>
        <v>206.5245935130306</v>
      </c>
      <c r="DU94" s="59">
        <f t="shared" si="98"/>
        <v>130.57011290898546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4.4422139532976948</v>
      </c>
      <c r="EC94" s="21">
        <f>EXP(-LN(2)/2)*EC93+(1-EXP(-LN(2)/2))/(LN(2)/2)*DW94*DZ94*VLOOKUP('Données projet'!$B$14,Paramètres!$A$1:$I$89,3,0)*0.475*44/12</f>
        <v>1.1312597361761481</v>
      </c>
      <c r="ED94" s="22">
        <f t="shared" si="72"/>
        <v>5.5734736894738433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10.192500000000001</v>
      </c>
      <c r="EJ94" s="12">
        <f>IF('Données projet'!$A$192&gt;35,EJ93+EI94-ER93,IF(A94&lt;'Données projet'!$A$192,$EG$205^A94,IF(A94='Données projet'!$A$192,'Données projet'!$B$192,EJ93+EI94-ER93)))</f>
        <v>390.59499999999991</v>
      </c>
      <c r="EK94" s="17">
        <f>EJ94*VLOOKUP('Données projet'!$B$15,Paramètres!$A$1:$I$89,3,0)*VLOOKUP('Données projet'!$B$15,Paramètres!$A$1:$I$89,5,0)</f>
        <v>182.79845999999995</v>
      </c>
      <c r="EL94" s="13">
        <f t="shared" si="99"/>
        <v>45.944231835010378</v>
      </c>
      <c r="EM94" s="20">
        <f t="shared" si="73"/>
        <v>398.39352161264304</v>
      </c>
      <c r="EN94" s="59">
        <f t="shared" si="74"/>
        <v>673.08034845548809</v>
      </c>
      <c r="EO94" s="59">
        <f ca="1">AVERAGE(OFFSET($EN$3,0,0,'Données projet'!$E$15+1,1))-AVERAGE(OFFSET($H$3,0,0,'Données projet'!$E$15+1,1))</f>
        <v>374.38106339726073</v>
      </c>
      <c r="EP94" s="59">
        <f t="shared" si="100"/>
        <v>296.53283288925957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50.410073786011111</v>
      </c>
      <c r="EW94" s="21">
        <f>EXP(-LN(2)/25)*EW93+(1-EXP(-LN(2)/25))/(LN(2)/25)*Calculateur!ER94*Calculateur!ET94*VLOOKUP('Données projet'!$B$15,Paramètres!$A$1:$I$89,3,0)*0.475*44/12</f>
        <v>19.999320052982629</v>
      </c>
      <c r="EX94" s="21">
        <f>EXP(-LN(2)/2)*EX93+(1-EXP(-LN(2)/2))/(LN(2)/2)*ER94*EU94*VLOOKUP('Données projet'!$B$15,Paramètres!$A$1:$I$89,3,0)*0.475*44/12</f>
        <v>1.2897425323166702</v>
      </c>
      <c r="EY94" s="22">
        <f t="shared" si="75"/>
        <v>71.699136371310402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9">
        <f t="shared" si="55"/>
        <v>979.02884661845201</v>
      </c>
      <c r="S95" s="59">
        <f ca="1">AVERAGE(OFFSET($R$3,0,0,'Données projet'!$E$9+1,1))-AVERAGE(OFFSET($H$3,0,0,'Données projet'!$E$9+1,1))</f>
        <v>681.47578137804555</v>
      </c>
      <c r="T95" s="59">
        <f t="shared" si="88"/>
        <v>300.88511065995885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</v>
      </c>
      <c r="AI95" s="13">
        <f>IF('Données projet'!$A$62&gt;35,AI94+AH95-AQ94,IF(A95&lt;'Données projet'!$A$62,$AF$205^A95,IF(A95='Données projet'!$A$62,'Données projet'!$B$62,AI94+AH95-AQ94)))</f>
        <v>263.99999999999983</v>
      </c>
      <c r="AJ95" s="13">
        <f>AI95*VLOOKUP('Données projet'!$B$10,Paramètres!$A$1:$I$89,3,0)*VLOOKUP('Données projet'!$B$10,Paramètres!$A$1:$I$89,5,0)</f>
        <v>251.22239999999982</v>
      </c>
      <c r="AK95" s="13">
        <f t="shared" si="89"/>
        <v>60.84762505974976</v>
      </c>
      <c r="AL95" s="20">
        <f t="shared" si="58"/>
        <v>543.52196031239725</v>
      </c>
      <c r="AM95" s="59">
        <f t="shared" si="59"/>
        <v>818.53226235550892</v>
      </c>
      <c r="AN95" s="59">
        <f ca="1">AVERAGE(OFFSET($AM$3,0,0,'Données projet'!$E$10+1,1))-AVERAGE(OFFSET($H$3,0,0,'Données projet'!$E$10+1,1))</f>
        <v>423.80243030843661</v>
      </c>
      <c r="AO95" s="59">
        <f t="shared" si="90"/>
        <v>260.29028006191834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9.4544950706624391</v>
      </c>
      <c r="AV95" s="21">
        <f>EXP(-LN(2)/25)*AV94+(1-EXP(-LN(2)/25))/(LN(2)/25)*Calculateur!AQ95*Calculateur!AS95*VLOOKUP('Données projet'!$B$10,Paramètres!$A$1:$I$89,3,0)*0.475*44/12</f>
        <v>14.576778577004427</v>
      </c>
      <c r="AW95" s="21">
        <f>EXP(-LN(2)/2)*AW94+(1-EXP(-LN(2)/2))/(LN(2)/2)*AQ95*AT95*VLOOKUP('Données projet'!$B$10,Paramètres!$A$1:$I$89,3,0)*0.475*44/12</f>
        <v>2.8629936040518928</v>
      </c>
      <c r="AX95" s="21">
        <f t="shared" si="60"/>
        <v>26.894267251718759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-1.3596945791505279E-13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373.61861223558259</v>
      </c>
      <c r="BJ95" s="59">
        <f t="shared" si="92"/>
        <v>277.62293009761049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120.84806619840442</v>
      </c>
      <c r="BQ95" s="21">
        <f>EXP(-LN(2)/25)*BQ94+(1-EXP(-LN(2)/25))/(LN(2)/25)*Calculateur!BL95*Calculateur!BN95*VLOOKUP('Données projet'!$B$11,Paramètres!$A$1:$I$89,3,0)*0.475*44/12</f>
        <v>37.099557450363797</v>
      </c>
      <c r="BR95" s="21">
        <f>EXP(-LN(2)/2)*BR94+(1-EXP(-LN(2)/2))/(LN(2)/2)*BL95*BO95*VLOOKUP('Données projet'!$B$11,Paramètres!$A$1:$I$89,3,0)*0.475*44/12</f>
        <v>1.104947543768886</v>
      </c>
      <c r="BS95" s="22">
        <f t="shared" si="63"/>
        <v>159.0525711925371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1.7948717948717956</v>
      </c>
      <c r="BY95" s="12">
        <f>IF('Données projet'!$A$114&gt;35,BY94+BX95-CG94,IF(A95&lt;'Données projet'!$A$114,$BV$205^A95,IF(A95='Données projet'!$A$114,'Données projet'!$B$114,BY94+BX95-CG94)))</f>
        <v>145.89743589743591</v>
      </c>
      <c r="BZ95" s="13">
        <f>BY95*VLOOKUP('Données projet'!$B$12,Paramètres!$A$1:$I$89,3,0)*VLOOKUP('Données projet'!$B$12,Paramètres!$A$1:$I$89,5,0)</f>
        <v>127.45600000000005</v>
      </c>
      <c r="CA95" s="13">
        <f t="shared" si="93"/>
        <v>33.407841186908719</v>
      </c>
      <c r="CB95" s="20">
        <f t="shared" si="64"/>
        <v>280.1711900671994</v>
      </c>
      <c r="CC95" s="59">
        <f t="shared" si="65"/>
        <v>555.18149211031118</v>
      </c>
      <c r="CD95" s="59">
        <f ca="1">AVERAGE(OFFSET($CC$3,0,0,'Données projet'!$E$12+1,1))-AVERAGE(OFFSET($H$3,0,0,'Données projet'!$E$12+1,1))</f>
        <v>251.30277097589737</v>
      </c>
      <c r="CE95" s="59">
        <f t="shared" si="94"/>
        <v>224.11983819941796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2.1492374819206184</v>
      </c>
      <c r="CL95" s="21">
        <f>EXP(-LN(2)/25)*CL94+(1-EXP(-LN(2)/25))/(LN(2)/25)*Calculateur!CG95*Calculateur!CI95*VLOOKUP('Données projet'!$B$12,Paramètres!$A$1:$I$89,3,0)*0.475*44/12</f>
        <v>14.058035511473079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16.207272993393698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2.8421709430404007E-14</v>
      </c>
      <c r="CU95" s="17">
        <f>CT95*VLOOKUP('Données projet'!$B$13,Paramètres!$A$1:$I$89,3,0)*VLOOKUP('Données projet'!$B$13,Paramètres!$A$1:$I$89,5,0)</f>
        <v>2.4829205358400945E-14</v>
      </c>
      <c r="CV95" s="13">
        <f t="shared" si="95"/>
        <v>4.3867331143352915E-13</v>
      </c>
      <c r="CW95" s="20">
        <f t="shared" si="67"/>
        <v>8.0726688341261168E-13</v>
      </c>
      <c r="CX95" s="59">
        <f t="shared" si="68"/>
        <v>275.01030204311252</v>
      </c>
      <c r="CY95" s="59">
        <f ca="1">AVERAGE(OFFSET($CX$3,0,0,'Données projet'!$E$13+1,1))-AVERAGE(OFFSET($H$3,0,0,'Données projet'!$E$13+1,1))</f>
        <v>287.28439432670405</v>
      </c>
      <c r="CZ95" s="59">
        <f t="shared" si="96"/>
        <v>276.01618888357268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26.00890200464579</v>
      </c>
      <c r="DG95" s="21">
        <f>EXP(-LN(2)/25)*DG94+(1-EXP(-LN(2)/25))/(LN(2)/25)*Calculateur!DB95*Calculateur!DD95*VLOOKUP('Données projet'!$B$13,Paramètres!$A$1:$I$89,3,0)*0.475*44/12</f>
        <v>26.166794651681435</v>
      </c>
      <c r="DH95" s="21">
        <f>EXP(-LN(2)/2)*DH94+(1-EXP(-LN(2)/2))/(LN(2)/2)*DB95*DE95*VLOOKUP('Données projet'!$B$13,Paramètres!$A$1:$I$89,3,0)*0.475*44/12</f>
        <v>0.71010065063481442</v>
      </c>
      <c r="DI95" s="22">
        <f t="shared" si="69"/>
        <v>52.88579730696204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1.7948717948717956</v>
      </c>
      <c r="DO95" s="12">
        <f>IF('Données projet'!$A$166&gt;35,DO94+DN95-DW94,IF(A95&lt;'Données projet'!$A$166,$DL$205^A95,IF(A95='Données projet'!$A$166,'Données projet'!$B$166,DO94+DN95-DW94)))</f>
        <v>99.743589743589723</v>
      </c>
      <c r="DP95" s="17">
        <f>DO95*VLOOKUP('Données projet'!$B$14,Paramètres!$A$1:$I$89,3,0)*VLOOKUP('Données projet'!$B$14,Paramètres!$A$1:$I$89,5,0)</f>
        <v>96.471999999999994</v>
      </c>
      <c r="DQ95" s="13">
        <f t="shared" si="97"/>
        <v>26.119751318300278</v>
      </c>
      <c r="DR95" s="20">
        <f t="shared" si="70"/>
        <v>213.51396687937299</v>
      </c>
      <c r="DS95" s="59">
        <f t="shared" si="71"/>
        <v>488.52426892248468</v>
      </c>
      <c r="DT95" s="59">
        <f ca="1">AVERAGE(OFFSET($DS$3,0,0,'Données projet'!$E$14+1,1))-AVERAGE(OFFSET($H$3,0,0,'Données projet'!$E$14+1,1))</f>
        <v>206.5245935130306</v>
      </c>
      <c r="DU95" s="59">
        <f t="shared" si="98"/>
        <v>130.57011290898546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4.32074137913889</v>
      </c>
      <c r="EC95" s="21">
        <f>EXP(-LN(2)/2)*EC94+(1-EXP(-LN(2)/2))/(LN(2)/2)*DW95*DZ95*VLOOKUP('Données projet'!$B$14,Paramètres!$A$1:$I$89,3,0)*0.475*44/12</f>
        <v>0.799921430733459</v>
      </c>
      <c r="ED95" s="22">
        <f t="shared" si="72"/>
        <v>5.120662809872349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10.192500000000001</v>
      </c>
      <c r="EJ95" s="12">
        <f>IF('Données projet'!$A$192&gt;35,EJ94+EI95-ER94,IF(A95&lt;'Données projet'!$A$192,$EG$205^A95,IF(A95='Données projet'!$A$192,'Données projet'!$B$192,EJ94+EI95-ER94)))</f>
        <v>400.78749999999991</v>
      </c>
      <c r="EK95" s="17">
        <f>EJ95*VLOOKUP('Données projet'!$B$15,Paramètres!$A$1:$I$89,3,0)*VLOOKUP('Données projet'!$B$15,Paramètres!$A$1:$I$89,5,0)</f>
        <v>187.56854999999999</v>
      </c>
      <c r="EL95" s="13">
        <f t="shared" si="99"/>
        <v>47.00199148936823</v>
      </c>
      <c r="EM95" s="20">
        <f t="shared" si="73"/>
        <v>408.54369309398299</v>
      </c>
      <c r="EN95" s="59">
        <f t="shared" si="74"/>
        <v>683.55399513709472</v>
      </c>
      <c r="EO95" s="59">
        <f ca="1">AVERAGE(OFFSET($EN$3,0,0,'Données projet'!$E$15+1,1))-AVERAGE(OFFSET($H$3,0,0,'Données projet'!$E$15+1,1))</f>
        <v>374.38106339726073</v>
      </c>
      <c r="EP95" s="59">
        <f t="shared" si="100"/>
        <v>296.53283288925957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49.421562986176419</v>
      </c>
      <c r="EW95" s="21">
        <f>EXP(-LN(2)/25)*EW94+(1-EXP(-LN(2)/25))/(LN(2)/25)*Calculateur!ER95*Calculateur!ET95*VLOOKUP('Données projet'!$B$15,Paramètres!$A$1:$I$89,3,0)*0.475*44/12</f>
        <v>19.452437594415287</v>
      </c>
      <c r="EX95" s="21">
        <f>EXP(-LN(2)/2)*EX94+(1-EXP(-LN(2)/2))/(LN(2)/2)*ER95*EU95*VLOOKUP('Données projet'!$B$15,Paramètres!$A$1:$I$89,3,0)*0.475*44/12</f>
        <v>0.91198569058582746</v>
      </c>
      <c r="EY95" s="22">
        <f t="shared" si="75"/>
        <v>69.785986271177535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9">
        <f t="shared" si="55"/>
        <v>996.79747663917988</v>
      </c>
      <c r="S96" s="59">
        <f ca="1">AVERAGE(OFFSET($R$3,0,0,'Données projet'!$E$9+1,1))-AVERAGE(OFFSET($H$3,0,0,'Données projet'!$E$9+1,1))</f>
        <v>681.47578137804555</v>
      </c>
      <c r="T96" s="59">
        <f t="shared" si="88"/>
        <v>300.88511065995885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</v>
      </c>
      <c r="AI96" s="13">
        <f>IF('Données projet'!$A$62&gt;35,AI95+AH96-AQ95,IF(A96&lt;'Données projet'!$A$62,$AF$205^A96,IF(A96='Données projet'!$A$62,'Données projet'!$B$62,AI95+AH96-AQ95)))</f>
        <v>268.99999999999983</v>
      </c>
      <c r="AJ96" s="13">
        <f>AI96*VLOOKUP('Données projet'!$B$10,Paramètres!$A$1:$I$89,3,0)*VLOOKUP('Données projet'!$B$10,Paramètres!$A$1:$I$89,5,0)</f>
        <v>255.98039999999983</v>
      </c>
      <c r="AK96" s="13">
        <f t="shared" si="89"/>
        <v>61.864786260587735</v>
      </c>
      <c r="AL96" s="20">
        <f t="shared" si="58"/>
        <v>553.58036607052338</v>
      </c>
      <c r="AM96" s="59">
        <f t="shared" si="59"/>
        <v>828.9085317423594</v>
      </c>
      <c r="AN96" s="59">
        <f ca="1">AVERAGE(OFFSET($AM$3,0,0,'Données projet'!$E$10+1,1))-AVERAGE(OFFSET($H$3,0,0,'Données projet'!$E$10+1,1))</f>
        <v>423.80243030843661</v>
      </c>
      <c r="AO96" s="59">
        <f t="shared" si="90"/>
        <v>260.29028006191834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9.2690981889993296</v>
      </c>
      <c r="AV96" s="21">
        <f>EXP(-LN(2)/25)*AV95+(1-EXP(-LN(2)/25))/(LN(2)/25)*Calculateur!AQ96*Calculateur!AS96*VLOOKUP('Données projet'!$B$10,Paramètres!$A$1:$I$89,3,0)*0.475*44/12</f>
        <v>14.178175800256772</v>
      </c>
      <c r="AW96" s="21">
        <f>EXP(-LN(2)/2)*AW95+(1-EXP(-LN(2)/2))/(LN(2)/2)*AQ96*AT96*VLOOKUP('Données projet'!$B$10,Paramètres!$A$1:$I$89,3,0)*0.475*44/12</f>
        <v>2.0244421919188071</v>
      </c>
      <c r="AX96" s="21">
        <f t="shared" si="60"/>
        <v>25.471716181174912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-1.3596945791505279E-13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373.61861223558259</v>
      </c>
      <c r="BJ96" s="59">
        <f t="shared" si="92"/>
        <v>277.62293009761049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118.47830933029583</v>
      </c>
      <c r="BQ96" s="21">
        <f>EXP(-LN(2)/25)*BQ95+(1-EXP(-LN(2)/25))/(LN(2)/25)*Calculateur!BL96*Calculateur!BN96*VLOOKUP('Données projet'!$B$11,Paramètres!$A$1:$I$89,3,0)*0.475*44/12</f>
        <v>36.085068100902667</v>
      </c>
      <c r="BR96" s="21">
        <f>EXP(-LN(2)/2)*BR95+(1-EXP(-LN(2)/2))/(LN(2)/2)*BL96*BO96*VLOOKUP('Données projet'!$B$11,Paramètres!$A$1:$I$89,3,0)*0.475*44/12</f>
        <v>0.78131590105439885</v>
      </c>
      <c r="BS96" s="22">
        <f t="shared" si="63"/>
        <v>155.34469333225289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1.7948717948717956</v>
      </c>
      <c r="BY96" s="12">
        <f>IF('Données projet'!$A$114&gt;35,BY95+BX96-CG95,IF(A96&lt;'Données projet'!$A$114,$BV$205^A96,IF(A96='Données projet'!$A$114,'Données projet'!$B$114,BY95+BX96-CG95)))</f>
        <v>147.69230769230771</v>
      </c>
      <c r="BZ96" s="13">
        <f>BY96*VLOOKUP('Données projet'!$B$12,Paramètres!$A$1:$I$89,3,0)*VLOOKUP('Données projet'!$B$12,Paramètres!$A$1:$I$89,5,0)</f>
        <v>129.02400000000003</v>
      </c>
      <c r="CA96" s="13">
        <f t="shared" si="93"/>
        <v>33.770735569397921</v>
      </c>
      <c r="CB96" s="20">
        <f t="shared" si="64"/>
        <v>283.53416445003472</v>
      </c>
      <c r="CC96" s="59">
        <f t="shared" si="65"/>
        <v>558.86233012187063</v>
      </c>
      <c r="CD96" s="59">
        <f ca="1">AVERAGE(OFFSET($CC$3,0,0,'Données projet'!$E$12+1,1))-AVERAGE(OFFSET($H$3,0,0,'Données projet'!$E$12+1,1))</f>
        <v>251.30277097589737</v>
      </c>
      <c r="CE96" s="59">
        <f t="shared" si="94"/>
        <v>224.11983819941796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2.1070922458055779</v>
      </c>
      <c r="CL96" s="21">
        <f>EXP(-LN(2)/25)*CL95+(1-EXP(-LN(2)/25))/(LN(2)/25)*Calculateur!CG96*Calculateur!CI96*VLOOKUP('Données projet'!$B$12,Paramètres!$A$1:$I$89,3,0)*0.475*44/12</f>
        <v>13.673617791131891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15.780710036937469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2.8421709430404007E-14</v>
      </c>
      <c r="CU96" s="17">
        <f>CT96*VLOOKUP('Données projet'!$B$13,Paramètres!$A$1:$I$89,3,0)*VLOOKUP('Données projet'!$B$13,Paramètres!$A$1:$I$89,5,0)</f>
        <v>2.4829205358400945E-14</v>
      </c>
      <c r="CV96" s="13">
        <f t="shared" si="95"/>
        <v>4.3867331143352915E-13</v>
      </c>
      <c r="CW96" s="20">
        <f t="shared" si="67"/>
        <v>8.0726688341261168E-13</v>
      </c>
      <c r="CX96" s="59">
        <f t="shared" si="68"/>
        <v>275.32816567183676</v>
      </c>
      <c r="CY96" s="59">
        <f ca="1">AVERAGE(OFFSET($CX$3,0,0,'Données projet'!$E$13+1,1))-AVERAGE(OFFSET($H$3,0,0,'Données projet'!$E$13+1,1))</f>
        <v>287.28439432670405</v>
      </c>
      <c r="CZ96" s="59">
        <f t="shared" si="96"/>
        <v>276.01618888357268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25.498883300198482</v>
      </c>
      <c r="DG96" s="21">
        <f>EXP(-LN(2)/25)*DG95+(1-EXP(-LN(2)/25))/(LN(2)/25)*Calculateur!DB96*Calculateur!DD96*VLOOKUP('Données projet'!$B$13,Paramètres!$A$1:$I$89,3,0)*0.475*44/12</f>
        <v>25.45126227587928</v>
      </c>
      <c r="DH96" s="21">
        <f>EXP(-LN(2)/2)*DH95+(1-EXP(-LN(2)/2))/(LN(2)/2)*DB96*DE96*VLOOKUP('Données projet'!$B$13,Paramètres!$A$1:$I$89,3,0)*0.475*44/12</f>
        <v>0.50211698538885674</v>
      </c>
      <c r="DI96" s="22">
        <f t="shared" si="69"/>
        <v>51.452262561466618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1.7948717948717956</v>
      </c>
      <c r="DO96" s="12">
        <f>IF('Données projet'!$A$166&gt;35,DO95+DN96-DW95,IF(A96&lt;'Données projet'!$A$166,$DL$205^A96,IF(A96='Données projet'!$A$166,'Données projet'!$B$166,DO95+DN96-DW95)))</f>
        <v>101.53846153846152</v>
      </c>
      <c r="DP96" s="17">
        <f>DO96*VLOOKUP('Données projet'!$B$14,Paramètres!$A$1:$I$89,3,0)*VLOOKUP('Données projet'!$B$14,Paramètres!$A$1:$I$89,5,0)</f>
        <v>98.207999999999984</v>
      </c>
      <c r="DQ96" s="13">
        <f t="shared" si="97"/>
        <v>26.53463000881818</v>
      </c>
      <c r="DR96" s="20">
        <f t="shared" si="70"/>
        <v>217.26008059869164</v>
      </c>
      <c r="DS96" s="59">
        <f t="shared" si="71"/>
        <v>492.58824627052763</v>
      </c>
      <c r="DT96" s="59">
        <f ca="1">AVERAGE(OFFSET($DS$3,0,0,'Données projet'!$E$14+1,1))-AVERAGE(OFFSET($H$3,0,0,'Données projet'!$E$14+1,1))</f>
        <v>206.5245935130306</v>
      </c>
      <c r="DU96" s="59">
        <f t="shared" si="98"/>
        <v>130.57011290898546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4.202590478908423</v>
      </c>
      <c r="EC96" s="21">
        <f>EXP(-LN(2)/2)*EC95+(1-EXP(-LN(2)/2))/(LN(2)/2)*DW96*DZ96*VLOOKUP('Données projet'!$B$14,Paramètres!$A$1:$I$89,3,0)*0.475*44/12</f>
        <v>0.56562986808807403</v>
      </c>
      <c r="ED96" s="22">
        <f t="shared" si="72"/>
        <v>4.7682203469964968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10.192500000000001</v>
      </c>
      <c r="EJ96" s="12">
        <f>IF('Données projet'!$A$192&gt;35,EJ95+EI96-ER95,IF(A96&lt;'Données projet'!$A$192,$EG$205^A96,IF(A96='Données projet'!$A$192,'Données projet'!$B$192,EJ95+EI96-ER95)))</f>
        <v>410.9799999999999</v>
      </c>
      <c r="EK96" s="17">
        <f>EJ96*VLOOKUP('Données projet'!$B$15,Paramètres!$A$1:$I$89,3,0)*VLOOKUP('Données projet'!$B$15,Paramètres!$A$1:$I$89,5,0)</f>
        <v>192.33863999999997</v>
      </c>
      <c r="EL96" s="13">
        <f t="shared" si="99"/>
        <v>48.056624248232239</v>
      </c>
      <c r="EM96" s="20">
        <f t="shared" si="73"/>
        <v>418.68841856567104</v>
      </c>
      <c r="EN96" s="59">
        <f t="shared" si="74"/>
        <v>694.016584237507</v>
      </c>
      <c r="EO96" s="59">
        <f ca="1">AVERAGE(OFFSET($EN$3,0,0,'Données projet'!$E$15+1,1))-AVERAGE(OFFSET($H$3,0,0,'Données projet'!$E$15+1,1))</f>
        <v>374.38106339726073</v>
      </c>
      <c r="EP96" s="59">
        <f t="shared" si="100"/>
        <v>296.53283288925957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48.452436280194433</v>
      </c>
      <c r="EW96" s="21">
        <f>EXP(-LN(2)/25)*EW95+(1-EXP(-LN(2)/25))/(LN(2)/25)*Calculateur!ER96*Calculateur!ET96*VLOOKUP('Données projet'!$B$15,Paramètres!$A$1:$I$89,3,0)*0.475*44/12</f>
        <v>18.920509665436768</v>
      </c>
      <c r="EX96" s="21">
        <f>EXP(-LN(2)/2)*EX95+(1-EXP(-LN(2)/2))/(LN(2)/2)*ER96*EU96*VLOOKUP('Données projet'!$B$15,Paramètres!$A$1:$I$89,3,0)*0.475*44/12</f>
        <v>0.64487126615833512</v>
      </c>
      <c r="EY96" s="22">
        <f t="shared" si="75"/>
        <v>68.017817211789534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9">
        <f t="shared" si="55"/>
        <v>1014.5519821439257</v>
      </c>
      <c r="S97" s="59">
        <f ca="1">AVERAGE(OFFSET($R$3,0,0,'Données projet'!$E$9+1,1))-AVERAGE(OFFSET($H$3,0,0,'Données projet'!$E$9+1,1))</f>
        <v>681.47578137804555</v>
      </c>
      <c r="T97" s="59">
        <f t="shared" si="88"/>
        <v>300.88511065995885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</v>
      </c>
      <c r="AI97" s="13">
        <f>IF('Données projet'!$A$62&gt;35,AI96+AH97-AQ96,IF(A97&lt;'Données projet'!$A$62,$AF$205^A97,IF(A97='Données projet'!$A$62,'Données projet'!$B$62,AI96+AH97-AQ96)))</f>
        <v>273.99999999999983</v>
      </c>
      <c r="AJ97" s="13">
        <f>AI97*VLOOKUP('Données projet'!$B$10,Paramètres!$A$1:$I$89,3,0)*VLOOKUP('Données projet'!$B$10,Paramètres!$A$1:$I$89,5,0)</f>
        <v>260.73839999999984</v>
      </c>
      <c r="AK97" s="13">
        <f t="shared" si="89"/>
        <v>62.879749008354707</v>
      </c>
      <c r="AL97" s="20">
        <f t="shared" si="58"/>
        <v>563.63494285621744</v>
      </c>
      <c r="AM97" s="59">
        <f t="shared" si="59"/>
        <v>839.27545793345598</v>
      </c>
      <c r="AN97" s="59">
        <f ca="1">AVERAGE(OFFSET($AM$3,0,0,'Données projet'!$E$10+1,1))-AVERAGE(OFFSET($H$3,0,0,'Données projet'!$E$10+1,1))</f>
        <v>423.80243030843661</v>
      </c>
      <c r="AO97" s="59">
        <f t="shared" si="90"/>
        <v>260.29028006191834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9.0873368271047017</v>
      </c>
      <c r="AV97" s="21">
        <f>EXP(-LN(2)/25)*AV96+(1-EXP(-LN(2)/25))/(LN(2)/25)*Calculateur!AQ97*Calculateur!AS97*VLOOKUP('Données projet'!$B$10,Paramètres!$A$1:$I$89,3,0)*0.475*44/12</f>
        <v>13.790472837400891</v>
      </c>
      <c r="AW97" s="21">
        <f>EXP(-LN(2)/2)*AW96+(1-EXP(-LN(2)/2))/(LN(2)/2)*AQ97*AT97*VLOOKUP('Données projet'!$B$10,Paramètres!$A$1:$I$89,3,0)*0.475*44/12</f>
        <v>1.4314968020259466</v>
      </c>
      <c r="AX97" s="21">
        <f t="shared" si="60"/>
        <v>24.309306466531538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-1.3596945791505279E-13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373.61861223558259</v>
      </c>
      <c r="BJ97" s="59">
        <f t="shared" si="92"/>
        <v>277.62293009761049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116.15502194896187</v>
      </c>
      <c r="BQ97" s="21">
        <f>EXP(-LN(2)/25)*BQ96+(1-EXP(-LN(2)/25))/(LN(2)/25)*Calculateur!BL97*Calculateur!BN97*VLOOKUP('Données projet'!$B$11,Paramètres!$A$1:$I$89,3,0)*0.475*44/12</f>
        <v>35.098320016052227</v>
      </c>
      <c r="BR97" s="21">
        <f>EXP(-LN(2)/2)*BR96+(1-EXP(-LN(2)/2))/(LN(2)/2)*BL97*BO97*VLOOKUP('Données projet'!$B$11,Paramètres!$A$1:$I$89,3,0)*0.475*44/12</f>
        <v>0.55247377188444302</v>
      </c>
      <c r="BS97" s="22">
        <f t="shared" si="63"/>
        <v>151.80581573689855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1.7948717948717956</v>
      </c>
      <c r="BY97" s="12">
        <f>IF('Données projet'!$A$114&gt;35,BY96+BX97-CG96,IF(A97&lt;'Données projet'!$A$114,$BV$205^A97,IF(A97='Données projet'!$A$114,'Données projet'!$B$114,BY96+BX97-CG96)))</f>
        <v>149.4871794871795</v>
      </c>
      <c r="BZ97" s="13">
        <f>BY97*VLOOKUP('Données projet'!$B$12,Paramètres!$A$1:$I$89,3,0)*VLOOKUP('Données projet'!$B$12,Paramètres!$A$1:$I$89,5,0)</f>
        <v>130.59200000000004</v>
      </c>
      <c r="CA97" s="13">
        <f t="shared" si="93"/>
        <v>34.133116957101642</v>
      </c>
      <c r="CB97" s="20">
        <f t="shared" si="64"/>
        <v>286.89624536695209</v>
      </c>
      <c r="CC97" s="59">
        <f t="shared" si="65"/>
        <v>562.53676044419058</v>
      </c>
      <c r="CD97" s="59">
        <f ca="1">AVERAGE(OFFSET($CC$3,0,0,'Données projet'!$E$12+1,1))-AVERAGE(OFFSET($H$3,0,0,'Données projet'!$E$12+1,1))</f>
        <v>251.30277097589737</v>
      </c>
      <c r="CE97" s="59">
        <f t="shared" si="94"/>
        <v>224.11983819941796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2.0657734520646973</v>
      </c>
      <c r="CL97" s="21">
        <f>EXP(-LN(2)/25)*CL96+(1-EXP(-LN(2)/25))/(LN(2)/25)*Calculateur!CG97*Calculateur!CI97*VLOOKUP('Données projet'!$B$12,Paramètres!$A$1:$I$89,3,0)*0.475*44/12</f>
        <v>13.299711993569082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15.365485445633778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2.8421709430404007E-14</v>
      </c>
      <c r="CU97" s="17">
        <f>CT97*VLOOKUP('Données projet'!$B$13,Paramètres!$A$1:$I$89,3,0)*VLOOKUP('Données projet'!$B$13,Paramètres!$A$1:$I$89,5,0)</f>
        <v>2.4829205358400945E-14</v>
      </c>
      <c r="CV97" s="13">
        <f t="shared" si="95"/>
        <v>4.3867331143352915E-13</v>
      </c>
      <c r="CW97" s="20">
        <f t="shared" si="67"/>
        <v>8.0726688341261168E-13</v>
      </c>
      <c r="CX97" s="59">
        <f t="shared" si="68"/>
        <v>275.64051507723929</v>
      </c>
      <c r="CY97" s="59">
        <f ca="1">AVERAGE(OFFSET($CX$3,0,0,'Données projet'!$E$13+1,1))-AVERAGE(OFFSET($H$3,0,0,'Données projet'!$E$13+1,1))</f>
        <v>287.28439432670405</v>
      </c>
      <c r="CZ97" s="59">
        <f t="shared" si="96"/>
        <v>276.01618888357268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24.998865751464692</v>
      </c>
      <c r="DG97" s="21">
        <f>EXP(-LN(2)/25)*DG96+(1-EXP(-LN(2)/25))/(LN(2)/25)*Calculateur!DB97*Calculateur!DD97*VLOOKUP('Données projet'!$B$13,Paramètres!$A$1:$I$89,3,0)*0.475*44/12</f>
        <v>24.755296170521646</v>
      </c>
      <c r="DH97" s="21">
        <f>EXP(-LN(2)/2)*DH96+(1-EXP(-LN(2)/2))/(LN(2)/2)*DB97*DE97*VLOOKUP('Données projet'!$B$13,Paramètres!$A$1:$I$89,3,0)*0.475*44/12</f>
        <v>0.35505032531740721</v>
      </c>
      <c r="DI97" s="22">
        <f t="shared" si="69"/>
        <v>50.109212247303745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1.7948717948717956</v>
      </c>
      <c r="DO97" s="12">
        <f>IF('Données projet'!$A$166&gt;35,DO96+DN97-DW96,IF(A97&lt;'Données projet'!$A$166,$DL$205^A97,IF(A97='Données projet'!$A$166,'Données projet'!$B$166,DO96+DN97-DW96)))</f>
        <v>103.33333333333331</v>
      </c>
      <c r="DP97" s="17">
        <f>DO97*VLOOKUP('Données projet'!$B$14,Paramètres!$A$1:$I$89,3,0)*VLOOKUP('Données projet'!$B$14,Paramètres!$A$1:$I$89,5,0)</f>
        <v>99.943999999999974</v>
      </c>
      <c r="DQ97" s="13">
        <f t="shared" si="97"/>
        <v>26.948655885664159</v>
      </c>
      <c r="DR97" s="20">
        <f t="shared" si="70"/>
        <v>221.00470900086501</v>
      </c>
      <c r="DS97" s="59">
        <f t="shared" si="71"/>
        <v>496.64522407810352</v>
      </c>
      <c r="DT97" s="59">
        <f ca="1">AVERAGE(OFFSET($DS$3,0,0,'Données projet'!$E$14+1,1))-AVERAGE(OFFSET($H$3,0,0,'Données projet'!$E$14+1,1))</f>
        <v>206.5245935130306</v>
      </c>
      <c r="DU97" s="59">
        <f t="shared" si="98"/>
        <v>130.57011290898546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4.0876704212580437</v>
      </c>
      <c r="EC97" s="21">
        <f>EXP(-LN(2)/2)*EC96+(1-EXP(-LN(2)/2))/(LN(2)/2)*DW97*DZ97*VLOOKUP('Données projet'!$B$14,Paramètres!$A$1:$I$89,3,0)*0.475*44/12</f>
        <v>0.3999607153667295</v>
      </c>
      <c r="ED97" s="22">
        <f t="shared" si="72"/>
        <v>4.4876311366247732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10.192500000000001</v>
      </c>
      <c r="EJ97" s="12">
        <f>IF('Données projet'!$A$192&gt;35,EJ96+EI97-ER96,IF(A97&lt;'Données projet'!$A$192,$EG$205^A97,IF(A97='Données projet'!$A$192,'Données projet'!$B$192,EJ96+EI97-ER96)))</f>
        <v>421.1724999999999</v>
      </c>
      <c r="EK97" s="17">
        <f>EJ97*VLOOKUP('Données projet'!$B$15,Paramètres!$A$1:$I$89,3,0)*VLOOKUP('Données projet'!$B$15,Paramètres!$A$1:$I$89,5,0)</f>
        <v>197.10872999999995</v>
      </c>
      <c r="EL97" s="13">
        <f t="shared" si="99"/>
        <v>49.108216579835904</v>
      </c>
      <c r="EM97" s="20">
        <f t="shared" si="73"/>
        <v>428.82784862654739</v>
      </c>
      <c r="EN97" s="59">
        <f t="shared" si="74"/>
        <v>704.46836370378583</v>
      </c>
      <c r="EO97" s="59">
        <f ca="1">AVERAGE(OFFSET($EN$3,0,0,'Données projet'!$E$15+1,1))-AVERAGE(OFFSET($H$3,0,0,'Données projet'!$E$15+1,1))</f>
        <v>374.38106339726073</v>
      </c>
      <c r="EP97" s="59">
        <f t="shared" si="100"/>
        <v>296.53283288925957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47.502313557807831</v>
      </c>
      <c r="EW97" s="21">
        <f>EXP(-LN(2)/25)*EW96+(1-EXP(-LN(2)/25))/(LN(2)/25)*Calculateur!ER97*Calculateur!ET97*VLOOKUP('Données projet'!$B$15,Paramètres!$A$1:$I$89,3,0)*0.475*44/12</f>
        <v>18.403127333649039</v>
      </c>
      <c r="EX97" s="21">
        <f>EXP(-LN(2)/2)*EX96+(1-EXP(-LN(2)/2))/(LN(2)/2)*ER97*EU97*VLOOKUP('Données projet'!$B$15,Paramètres!$A$1:$I$89,3,0)*0.475*44/12</f>
        <v>0.45599284529291373</v>
      </c>
      <c r="EY97" s="22">
        <f t="shared" si="75"/>
        <v>66.361433736749774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9">
        <f t="shared" si="55"/>
        <v>903.64453264415488</v>
      </c>
      <c r="S98" s="59">
        <f ca="1">AVERAGE(OFFSET($R$3,0,0,'Données projet'!$E$9+1,1))-AVERAGE(OFFSET($H$3,0,0,'Données projet'!$E$9+1,1))</f>
        <v>681.47578137804555</v>
      </c>
      <c r="T98" s="59">
        <f t="shared" si="88"/>
        <v>300.88511065995885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</v>
      </c>
      <c r="AH98" s="12">
        <f t="array" ref="AH98">INDEX(AG:AG,MIN(IF(ISNUMBER(AG98:AG294),ROW(AG98:AG294),"")))</f>
        <v>5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265.49639999999982</v>
      </c>
      <c r="AK98" s="13">
        <f t="shared" si="89"/>
        <v>63.892558047989532</v>
      </c>
      <c r="AL98" s="20">
        <f t="shared" si="58"/>
        <v>573.68576860024802</v>
      </c>
      <c r="AM98" s="59">
        <f t="shared" si="59"/>
        <v>849.63321451901402</v>
      </c>
      <c r="AN98" s="59">
        <f ca="1">AVERAGE(OFFSET($AM$3,0,0,'Données projet'!$E$10+1,1))-AVERAGE(OFFSET($H$3,0,0,'Données projet'!$E$10+1,1))</f>
        <v>423.80243030843661</v>
      </c>
      <c r="AO98" s="59">
        <f t="shared" si="90"/>
        <v>260.29028006191834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0.1075</v>
      </c>
      <c r="AS98" s="16">
        <f>IF(ISNA(VLOOKUP(A98,'Données projet'!$A$61:$I$81,6,0)),0%,VLOOKUP(A98,'Données projet'!$A$61:$I$81,6,0)*VLOOKUP('Données projet'!$B$10,Paramètres!$A$1:$I$89,7,0))</f>
        <v>0.1075</v>
      </c>
      <c r="AT98" s="16">
        <f>IF(ISNA(VLOOKUP(A98,'Données projet'!$A$61:$I$81,7,0)),0%,VLOOKUP(A98,'Données projet'!$A$61:$I$81,7,0))</f>
        <v>0.25</v>
      </c>
      <c r="AU98" s="21">
        <f>EXP(-LN(2)/35)*AU97+(1-EXP(-LN(2)/35))/(LN(2)/35)*AQ98*AR98*VLOOKUP('Données projet'!$B$10,Paramètres!$A$1:$I$89,3,0)*0.475*44/12</f>
        <v>11.28395206637007</v>
      </c>
      <c r="AV98" s="21">
        <f>EXP(-LN(2)/25)*AV97+(1-EXP(-LN(2)/25))/(LN(2)/25)*Calculateur!AQ98*Calculateur!AS98*VLOOKUP('Données projet'!$B$10,Paramètres!$A$1:$I$89,3,0)*0.475*44/12</f>
        <v>15.778833462987539</v>
      </c>
      <c r="AW98" s="21">
        <f>EXP(-LN(2)/2)*AW97+(1-EXP(-LN(2)/2))/(LN(2)/2)*AQ98*AT98*VLOOKUP('Données projet'!$B$10,Paramètres!$A$1:$I$89,3,0)*0.475*44/12</f>
        <v>5.7259872086364627</v>
      </c>
      <c r="AX98" s="21">
        <f t="shared" si="60"/>
        <v>32.788772737994073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-1.3596945791505279E-13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373.61861223558259</v>
      </c>
      <c r="BJ98" s="59">
        <f t="shared" si="92"/>
        <v>277.62293009761049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113.87729281611051</v>
      </c>
      <c r="BQ98" s="21">
        <f>EXP(-LN(2)/25)*BQ97+(1-EXP(-LN(2)/25))/(LN(2)/25)*Calculateur!BL98*Calculateur!BN98*VLOOKUP('Données projet'!$B$11,Paramètres!$A$1:$I$89,3,0)*0.475*44/12</f>
        <v>34.138554609472848</v>
      </c>
      <c r="BR98" s="21">
        <f>EXP(-LN(2)/2)*BR97+(1-EXP(-LN(2)/2))/(LN(2)/2)*BL98*BO98*VLOOKUP('Données projet'!$B$11,Paramètres!$A$1:$I$89,3,0)*0.475*44/12</f>
        <v>0.39065795052719943</v>
      </c>
      <c r="BS98" s="22">
        <f t="shared" si="63"/>
        <v>148.40650537611057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151.28205128205127</v>
      </c>
      <c r="BW98" s="12">
        <f>VLOOKUP(A98,'Données projet'!$A$113:$I$133,9,0)</f>
        <v>1.7948717948717956</v>
      </c>
      <c r="BX98" s="12">
        <f t="array" ref="BX98">INDEX(BW:BW,MIN(IF(ISNUMBER(BW98:BW294),ROW(BW98:BW294),"")))</f>
        <v>1.7948717948717956</v>
      </c>
      <c r="BY98" s="12">
        <f>IF('Données projet'!$A$114&gt;35,BY97+BX98-CG97,IF(A98&lt;'Données projet'!$A$114,$BV$205^A98,IF(A98='Données projet'!$A$114,'Données projet'!$B$114,BY97+BX98-CG97)))</f>
        <v>151.2820512820513</v>
      </c>
      <c r="BZ98" s="13">
        <f>BY98*VLOOKUP('Données projet'!$B$12,Paramètres!$A$1:$I$89,3,0)*VLOOKUP('Données projet'!$B$12,Paramètres!$A$1:$I$89,5,0)</f>
        <v>132.16000000000003</v>
      </c>
      <c r="CA98" s="13">
        <f t="shared" si="93"/>
        <v>34.494992221966797</v>
      </c>
      <c r="CB98" s="20">
        <f t="shared" si="64"/>
        <v>290.25744478659226</v>
      </c>
      <c r="CC98" s="59">
        <f t="shared" si="65"/>
        <v>566.20489070535814</v>
      </c>
      <c r="CD98" s="59">
        <f ca="1">AVERAGE(OFFSET($CC$3,0,0,'Données projet'!$E$12+1,1))-AVERAGE(OFFSET($H$3,0,0,'Données projet'!$E$12+1,1))</f>
        <v>251.30277097589737</v>
      </c>
      <c r="CE98" s="59">
        <f t="shared" si="94"/>
        <v>224.11983819941796</v>
      </c>
      <c r="CF98" s="15">
        <f>IF(ISNA(VLOOKUP(A98,'Données projet'!$A$113:$I$133,3,0)),0,VLOOKUP(A98,'Données projet'!$A$113:$I$133,3,0))</f>
        <v>16</v>
      </c>
      <c r="CG98" s="15">
        <f>IF(ISNA(VLOOKUP(A98,'Données projet'!$A$113:$I$133,4,0)),0,VLOOKUP(A98,'Données projet'!$A$113:$I$133,4,0))</f>
        <v>7.0512820512820511</v>
      </c>
      <c r="CH98" s="16">
        <f>IF(ISNA(VLOOKUP(A98,'Données projet'!$A$113:$I$133,5,0)),0%,VLOOKUP(A98,'Données projet'!$A$113:$I$133,5,0)*VLOOKUP('Données projet'!$B$12,Paramètres!$A$1:$I$89,7,0))</f>
        <v>4.3000000000000003E-2</v>
      </c>
      <c r="CI98" s="16">
        <f>IF(ISNA(VLOOKUP(A98,'Données projet'!$A$113:$I$133,6,0)),0%,VLOOKUP(A98,'Données projet'!$A$113:$I$133,6,0)*VLOOKUP('Données projet'!$B$12,Paramètres!$A$1:$I$89,7,0))</f>
        <v>0.215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2.3180818887977876</v>
      </c>
      <c r="CL98" s="21">
        <f>EXP(-LN(2)/25)*CL97+(1-EXP(-LN(2)/25))/(LN(2)/25)*Calculateur!CG98*Calculateur!CI98*VLOOKUP('Données projet'!$B$12,Paramètres!$A$1:$I$89,3,0)*0.475*44/12</f>
        <v>14.394350979967344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16.712432868765131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2.8421709430404007E-14</v>
      </c>
      <c r="CU98" s="17">
        <f>CT98*VLOOKUP('Données projet'!$B$13,Paramètres!$A$1:$I$89,3,0)*VLOOKUP('Données projet'!$B$13,Paramètres!$A$1:$I$89,5,0)</f>
        <v>2.4829205358400945E-14</v>
      </c>
      <c r="CV98" s="13">
        <f t="shared" si="95"/>
        <v>4.3867331143352915E-13</v>
      </c>
      <c r="CW98" s="20">
        <f t="shared" si="67"/>
        <v>8.0726688341261168E-13</v>
      </c>
      <c r="CX98" s="59">
        <f t="shared" si="68"/>
        <v>275.94744591876673</v>
      </c>
      <c r="CY98" s="59">
        <f ca="1">AVERAGE(OFFSET($CX$3,0,0,'Données projet'!$E$13+1,1))-AVERAGE(OFFSET($H$3,0,0,'Données projet'!$E$13+1,1))</f>
        <v>287.28439432670405</v>
      </c>
      <c r="CZ98" s="59">
        <f t="shared" si="96"/>
        <v>276.01618888357268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24.508653241880982</v>
      </c>
      <c r="DG98" s="21">
        <f>EXP(-LN(2)/25)*DG97+(1-EXP(-LN(2)/25))/(LN(2)/25)*Calculateur!DB98*Calculateur!DD98*VLOOKUP('Données projet'!$B$13,Paramètres!$A$1:$I$89,3,0)*0.475*44/12</f>
        <v>24.078361294914284</v>
      </c>
      <c r="DH98" s="21">
        <f>EXP(-LN(2)/2)*DH97+(1-EXP(-LN(2)/2))/(LN(2)/2)*DB98*DE98*VLOOKUP('Données projet'!$B$13,Paramètres!$A$1:$I$89,3,0)*0.475*44/12</f>
        <v>0.25105849269442837</v>
      </c>
      <c r="DI98" s="22">
        <f t="shared" si="69"/>
        <v>48.838073029489692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105.12820512820512</v>
      </c>
      <c r="DM98" s="12">
        <f>VLOOKUP(A98,'Données projet'!$A$165:$I$185,9,0)</f>
        <v>1.7948717948717956</v>
      </c>
      <c r="DN98" s="12">
        <f t="array" ref="DN98">INDEX(DM:DM,MIN(IF(ISNUMBER(DM98:DM294),ROW(DM98:DM294),"")))</f>
        <v>1.7948717948717956</v>
      </c>
      <c r="DO98" s="12">
        <f>IF('Données projet'!$A$166&gt;35,DO97+DN98-DW97,IF(A98&lt;'Données projet'!$A$166,$DL$205^A98,IF(A98='Données projet'!$A$166,'Données projet'!$B$166,DO97+DN98-DW97)))</f>
        <v>105.12820512820511</v>
      </c>
      <c r="DP98" s="17">
        <f>DO98*VLOOKUP('Données projet'!$B$14,Paramètres!$A$1:$I$89,3,0)*VLOOKUP('Données projet'!$B$14,Paramètres!$A$1:$I$89,5,0)</f>
        <v>101.67999999999999</v>
      </c>
      <c r="DQ98" s="13">
        <f t="shared" si="97"/>
        <v>27.361845471196556</v>
      </c>
      <c r="DR98" s="20">
        <f t="shared" si="70"/>
        <v>224.747880862334</v>
      </c>
      <c r="DS98" s="59">
        <f t="shared" si="71"/>
        <v>500.69532678109994</v>
      </c>
      <c r="DT98" s="59">
        <f ca="1">AVERAGE(OFFSET($DS$3,0,0,'Données projet'!$E$14+1,1))-AVERAGE(OFFSET($H$3,0,0,'Données projet'!$E$14+1,1))</f>
        <v>206.5245935130306</v>
      </c>
      <c r="DU98" s="59">
        <f t="shared" si="98"/>
        <v>130.57011290898546</v>
      </c>
      <c r="DV98" s="15">
        <f>IF(ISNA(VLOOKUP(A98,'Données projet'!$A$165:$I$185,3,0)),0,VLOOKUP(A98,'Données projet'!$A$165:$I$185,3,0))</f>
        <v>15</v>
      </c>
      <c r="DW98" s="15">
        <f>IF(ISNA(VLOOKUP(A98,'Données projet'!$A$165:$I$185,4,0)),0,VLOOKUP(A98,'Données projet'!$A$165:$I$185,4,0))</f>
        <v>5.7692307692307692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0.1075</v>
      </c>
      <c r="DZ98" s="16">
        <f>IF(ISNA(VLOOKUP(A98,'Données projet'!$A$165:$I$185,7,0)),0%,VLOOKUP(A98,'Données projet'!$A$165:$I$185,7,0))</f>
        <v>0.25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4.6363983238281774</v>
      </c>
      <c r="EC98" s="21">
        <f>EXP(-LN(2)/2)*EC97+(1-EXP(-LN(2)/2))/(LN(2)/2)*DW98*DZ98*VLOOKUP('Données projet'!$B$14,Paramètres!$A$1:$I$89,3,0)*0.475*44/12</f>
        <v>1.5990349799185535</v>
      </c>
      <c r="ED98" s="22">
        <f t="shared" si="72"/>
        <v>6.2354333037467313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10.192500000000001</v>
      </c>
      <c r="EJ98" s="12">
        <f>IF('Données projet'!$A$192&gt;35,EJ97+EI98-ER97,IF(A98&lt;'Données projet'!$A$192,$EG$205^A98,IF(A98='Données projet'!$A$192,'Données projet'!$B$192,EJ97+EI98-ER97)))</f>
        <v>431.3649999999999</v>
      </c>
      <c r="EK98" s="17">
        <f>EJ98*VLOOKUP('Données projet'!$B$15,Paramètres!$A$1:$I$89,3,0)*VLOOKUP('Données projet'!$B$15,Paramètres!$A$1:$I$89,5,0)</f>
        <v>201.87881999999993</v>
      </c>
      <c r="EL98" s="13">
        <f t="shared" si="99"/>
        <v>50.156850528656342</v>
      </c>
      <c r="EM98" s="20">
        <f t="shared" si="73"/>
        <v>438.96212617074298</v>
      </c>
      <c r="EN98" s="59">
        <f t="shared" si="74"/>
        <v>714.90957208950886</v>
      </c>
      <c r="EO98" s="59">
        <f ca="1">AVERAGE(OFFSET($EN$3,0,0,'Données projet'!$E$15+1,1))-AVERAGE(OFFSET($H$3,0,0,'Données projet'!$E$15+1,1))</f>
        <v>374.38106339726073</v>
      </c>
      <c r="EP98" s="59">
        <f t="shared" si="100"/>
        <v>296.53283288925957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46.570822162489591</v>
      </c>
      <c r="EW98" s="21">
        <f>EXP(-LN(2)/25)*EW97+(1-EXP(-LN(2)/25))/(LN(2)/25)*Calculateur!ER98*Calculateur!ET98*VLOOKUP('Données projet'!$B$15,Paramètres!$A$1:$I$89,3,0)*0.475*44/12</f>
        <v>17.899892848932001</v>
      </c>
      <c r="EX98" s="21">
        <f>EXP(-LN(2)/2)*EX97+(1-EXP(-LN(2)/2))/(LN(2)/2)*ER98*EU98*VLOOKUP('Données projet'!$B$15,Paramètres!$A$1:$I$89,3,0)*0.475*44/12</f>
        <v>0.32243563307916756</v>
      </c>
      <c r="EY98" s="22">
        <f t="shared" si="75"/>
        <v>64.793150644500756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9">
        <f t="shared" si="55"/>
        <v>920.9971993154553</v>
      </c>
      <c r="S99" s="59">
        <f ca="1">AVERAGE(OFFSET($R$3,0,0,'Données projet'!$E$9+1,1))-AVERAGE(OFFSET($H$3,0,0,'Données projet'!$E$9+1,1))</f>
        <v>681.47578137804555</v>
      </c>
      <c r="T99" s="59">
        <f t="shared" si="88"/>
        <v>300.88511065995885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250.08047999999985</v>
      </c>
      <c r="AK99" s="13">
        <f t="shared" si="89"/>
        <v>60.603174110223023</v>
      </c>
      <c r="AL99" s="20">
        <f t="shared" si="58"/>
        <v>541.10736424197137</v>
      </c>
      <c r="AM99" s="59">
        <f t="shared" si="59"/>
        <v>817.35641643835879</v>
      </c>
      <c r="AN99" s="59">
        <f ca="1">AVERAGE(OFFSET($AM$3,0,0,'Données projet'!$E$10+1,1))-AVERAGE(OFFSET($H$3,0,0,'Données projet'!$E$10+1,1))</f>
        <v>423.80243030843661</v>
      </c>
      <c r="AO99" s="59">
        <f t="shared" si="90"/>
        <v>260.29028006191834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11.06268064887972</v>
      </c>
      <c r="AV99" s="21">
        <f>EXP(-LN(2)/25)*AV98+(1-EXP(-LN(2)/25))/(LN(2)/25)*Calculateur!AQ99*Calculateur!AS99*VLOOKUP('Données projet'!$B$10,Paramètres!$A$1:$I$89,3,0)*0.475*44/12</f>
        <v>15.347360432169356</v>
      </c>
      <c r="AW99" s="21">
        <f>EXP(-LN(2)/2)*AW98+(1-EXP(-LN(2)/2))/(LN(2)/2)*AQ99*AT99*VLOOKUP('Données projet'!$B$10,Paramètres!$A$1:$I$89,3,0)*0.475*44/12</f>
        <v>4.0488843842142739</v>
      </c>
      <c r="AX99" s="21">
        <f t="shared" si="60"/>
        <v>30.458925465263349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-1.3596945791505279E-13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373.61861223558259</v>
      </c>
      <c r="BJ99" s="59">
        <f t="shared" si="92"/>
        <v>277.62293009761049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111.64422856227677</v>
      </c>
      <c r="BQ99" s="21">
        <f>EXP(-LN(2)/25)*BQ98+(1-EXP(-LN(2)/25))/(LN(2)/25)*Calculateur!BL99*Calculateur!BN99*VLOOKUP('Données projet'!$B$11,Paramètres!$A$1:$I$89,3,0)*0.475*44/12</f>
        <v>33.20503403840825</v>
      </c>
      <c r="BR99" s="21">
        <f>EXP(-LN(2)/2)*BR98+(1-EXP(-LN(2)/2))/(LN(2)/2)*BL99*BO99*VLOOKUP('Données projet'!$B$11,Paramètres!$A$1:$I$89,3,0)*0.475*44/12</f>
        <v>0.27623688594222151</v>
      </c>
      <c r="BS99" s="22">
        <f t="shared" si="63"/>
        <v>145.12549948662723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1.9230769230769227</v>
      </c>
      <c r="BY99" s="12">
        <f>IF('Données projet'!$A$114&gt;35,BY98+BX99-CG98,IF(A99&lt;'Données projet'!$A$114,$BV$205^A99,IF(A99='Données projet'!$A$114,'Données projet'!$B$114,BY98+BX99-CG98)))</f>
        <v>146.15384615384619</v>
      </c>
      <c r="BZ99" s="13">
        <f>BY99*VLOOKUP('Données projet'!$B$12,Paramètres!$A$1:$I$89,3,0)*VLOOKUP('Données projet'!$B$12,Paramètres!$A$1:$I$89,5,0)</f>
        <v>127.68000000000004</v>
      </c>
      <c r="CA99" s="13">
        <f t="shared" si="93"/>
        <v>33.459714914652182</v>
      </c>
      <c r="CB99" s="20">
        <f t="shared" si="64"/>
        <v>280.65167014301926</v>
      </c>
      <c r="CC99" s="59">
        <f t="shared" si="65"/>
        <v>556.90072233940668</v>
      </c>
      <c r="CD99" s="59">
        <f ca="1">AVERAGE(OFFSET($CC$3,0,0,'Données projet'!$E$12+1,1))-AVERAGE(OFFSET($H$3,0,0,'Données projet'!$E$12+1,1))</f>
        <v>251.30277097589737</v>
      </c>
      <c r="CE99" s="59">
        <f t="shared" si="94"/>
        <v>224.11983819941796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2.2726257168488053</v>
      </c>
      <c r="CL99" s="21">
        <f>EXP(-LN(2)/25)*CL98+(1-EXP(-LN(2)/25))/(LN(2)/25)*Calculateur!CG99*Calculateur!CI99*VLOOKUP('Données projet'!$B$12,Paramètres!$A$1:$I$89,3,0)*0.475*44/12</f>
        <v>14.000736695454117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16.273362412302923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2.8421709430404007E-14</v>
      </c>
      <c r="CU99" s="17">
        <f>CT99*VLOOKUP('Données projet'!$B$13,Paramètres!$A$1:$I$89,3,0)*VLOOKUP('Données projet'!$B$13,Paramètres!$A$1:$I$89,5,0)</f>
        <v>2.4829205358400945E-14</v>
      </c>
      <c r="CV99" s="13">
        <f t="shared" si="95"/>
        <v>4.3867331143352915E-13</v>
      </c>
      <c r="CW99" s="20">
        <f t="shared" si="67"/>
        <v>8.0726688341261168E-13</v>
      </c>
      <c r="CX99" s="59">
        <f t="shared" si="68"/>
        <v>276.24905219638822</v>
      </c>
      <c r="CY99" s="59">
        <f ca="1">AVERAGE(OFFSET($CX$3,0,0,'Données projet'!$E$13+1,1))-AVERAGE(OFFSET($H$3,0,0,'Données projet'!$E$13+1,1))</f>
        <v>287.28439432670405</v>
      </c>
      <c r="CZ99" s="59">
        <f t="shared" si="96"/>
        <v>276.01618888357268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24.028053500610103</v>
      </c>
      <c r="DG99" s="21">
        <f>EXP(-LN(2)/25)*DG98+(1-EXP(-LN(2)/25))/(LN(2)/25)*Calculateur!DB99*Calculateur!DD99*VLOOKUP('Données projet'!$B$13,Paramètres!$A$1:$I$89,3,0)*0.475*44/12</f>
        <v>23.419937239078866</v>
      </c>
      <c r="DH99" s="21">
        <f>EXP(-LN(2)/2)*DH98+(1-EXP(-LN(2)/2))/(LN(2)/2)*DB99*DE99*VLOOKUP('Données projet'!$B$13,Paramètres!$A$1:$I$89,3,0)*0.475*44/12</f>
        <v>0.17752516265870361</v>
      </c>
      <c r="DI99" s="22">
        <f t="shared" si="69"/>
        <v>47.625515902347672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1.9230769230769256</v>
      </c>
      <c r="DO99" s="12">
        <f>IF('Données projet'!$A$166&gt;35,DO98+DN99-DW98,IF(A99&lt;'Données projet'!$A$166,$DL$205^A99,IF(A99='Données projet'!$A$166,'Données projet'!$B$166,DO98+DN99-DW98)))</f>
        <v>101.28205128205126</v>
      </c>
      <c r="DP99" s="17">
        <f>DO99*VLOOKUP('Données projet'!$B$14,Paramètres!$A$1:$I$89,3,0)*VLOOKUP('Données projet'!$B$14,Paramètres!$A$1:$I$89,5,0)</f>
        <v>97.95999999999998</v>
      </c>
      <c r="DQ99" s="13">
        <f t="shared" si="97"/>
        <v>26.475414230611928</v>
      </c>
      <c r="DR99" s="20">
        <f t="shared" si="70"/>
        <v>216.72501311831573</v>
      </c>
      <c r="DS99" s="59">
        <f t="shared" si="71"/>
        <v>492.97406531470313</v>
      </c>
      <c r="DT99" s="59">
        <f ca="1">AVERAGE(OFFSET($DS$3,0,0,'Données projet'!$E$14+1,1))-AVERAGE(OFFSET($H$3,0,0,'Données projet'!$E$14+1,1))</f>
        <v>206.5245935130306</v>
      </c>
      <c r="DU99" s="59">
        <f t="shared" si="98"/>
        <v>130.57011290898546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4.5096157678455047</v>
      </c>
      <c r="EC99" s="21">
        <f>EXP(-LN(2)/2)*EC98+(1-EXP(-LN(2)/2))/(LN(2)/2)*DW99*DZ99*VLOOKUP('Données projet'!$B$14,Paramètres!$A$1:$I$89,3,0)*0.475*44/12</f>
        <v>1.130688477654904</v>
      </c>
      <c r="ED99" s="22">
        <f t="shared" si="72"/>
        <v>5.6403042455004089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10.192500000000001</v>
      </c>
      <c r="EJ99" s="12">
        <f>IF('Données projet'!$A$192&gt;35,EJ98+EI99-ER98,IF(A99&lt;'Données projet'!$A$192,$EG$205^A99,IF(A99='Données projet'!$A$192,'Données projet'!$B$192,EJ98+EI99-ER98)))</f>
        <v>441.55749999999989</v>
      </c>
      <c r="EK99" s="17">
        <f>EJ99*VLOOKUP('Données projet'!$B$15,Paramètres!$A$1:$I$89,3,0)*VLOOKUP('Données projet'!$B$15,Paramètres!$A$1:$I$89,5,0)</f>
        <v>206.64890999999994</v>
      </c>
      <c r="EL99" s="13">
        <f t="shared" si="99"/>
        <v>51.202604040835197</v>
      </c>
      <c r="EM99" s="20">
        <f t="shared" si="73"/>
        <v>449.09138695445449</v>
      </c>
      <c r="EN99" s="59">
        <f t="shared" si="74"/>
        <v>725.34043915084192</v>
      </c>
      <c r="EO99" s="59">
        <f ca="1">AVERAGE(OFFSET($EN$3,0,0,'Données projet'!$E$15+1,1))-AVERAGE(OFFSET($H$3,0,0,'Données projet'!$E$15+1,1))</f>
        <v>374.38106339726073</v>
      </c>
      <c r="EP99" s="59">
        <f t="shared" si="100"/>
        <v>296.53283288925957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45.657596745279889</v>
      </c>
      <c r="EW99" s="21">
        <f>EXP(-LN(2)/25)*EW98+(1-EXP(-LN(2)/25))/(LN(2)/25)*Calculateur!ER99*Calculateur!ET99*VLOOKUP('Données projet'!$B$15,Paramètres!$A$1:$I$89,3,0)*0.475*44/12</f>
        <v>17.410419337663502</v>
      </c>
      <c r="EX99" s="21">
        <f>EXP(-LN(2)/2)*EX98+(1-EXP(-LN(2)/2))/(LN(2)/2)*ER99*EU99*VLOOKUP('Données projet'!$B$15,Paramètres!$A$1:$I$89,3,0)*0.475*44/12</f>
        <v>0.22799642264645686</v>
      </c>
      <c r="EY99" s="22">
        <f t="shared" si="75"/>
        <v>63.296012505589843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9">
        <f t="shared" si="55"/>
        <v>938.33533077135417</v>
      </c>
      <c r="S100" s="59">
        <f ca="1">AVERAGE(OFFSET($R$3,0,0,'Données projet'!$E$9+1,1))-AVERAGE(OFFSET($H$3,0,0,'Données projet'!$E$9+1,1))</f>
        <v>681.47578137804555</v>
      </c>
      <c r="T100" s="59">
        <f t="shared" si="88"/>
        <v>300.88511065995885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254.64815999999985</v>
      </c>
      <c r="AK100" s="13">
        <f t="shared" si="89"/>
        <v>61.580204695956148</v>
      </c>
      <c r="AL100" s="20">
        <f t="shared" si="58"/>
        <v>550.76440184545663</v>
      </c>
      <c r="AM100" s="59">
        <f t="shared" si="59"/>
        <v>827.30982812483944</v>
      </c>
      <c r="AN100" s="59">
        <f ca="1">AVERAGE(OFFSET($AM$3,0,0,'Données projet'!$E$10+1,1))-AVERAGE(OFFSET($H$3,0,0,'Données projet'!$E$10+1,1))</f>
        <v>423.80243030843661</v>
      </c>
      <c r="AO100" s="59">
        <f t="shared" si="90"/>
        <v>260.29028006191834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10.845748228924117</v>
      </c>
      <c r="AV100" s="21">
        <f>EXP(-LN(2)/25)*AV99+(1-EXP(-LN(2)/25))/(LN(2)/25)*Calculateur!AQ100*Calculateur!AS100*VLOOKUP('Données projet'!$B$10,Paramètres!$A$1:$I$89,3,0)*0.475*44/12</f>
        <v>14.927686054069078</v>
      </c>
      <c r="AW100" s="21">
        <f>EXP(-LN(2)/2)*AW99+(1-EXP(-LN(2)/2))/(LN(2)/2)*AQ100*AT100*VLOOKUP('Données projet'!$B$10,Paramètres!$A$1:$I$89,3,0)*0.475*44/12</f>
        <v>2.8629936043182318</v>
      </c>
      <c r="AX100" s="21">
        <f t="shared" si="60"/>
        <v>28.636427887311424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-1.3596945791505279E-13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373.61861223558259</v>
      </c>
      <c r="BJ100" s="59">
        <f t="shared" si="92"/>
        <v>277.62293009761049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109.454953336426</v>
      </c>
      <c r="BQ100" s="21">
        <f>EXP(-LN(2)/25)*BQ99+(1-EXP(-LN(2)/25))/(LN(2)/25)*Calculateur!BL100*Calculateur!BN100*VLOOKUP('Données projet'!$B$11,Paramètres!$A$1:$I$89,3,0)*0.475*44/12</f>
        <v>32.297040636451129</v>
      </c>
      <c r="BR100" s="21">
        <f>EXP(-LN(2)/2)*BR99+(1-EXP(-LN(2)/2))/(LN(2)/2)*BL100*BO100*VLOOKUP('Données projet'!$B$11,Paramètres!$A$1:$I$89,3,0)*0.475*44/12</f>
        <v>0.19532897526359971</v>
      </c>
      <c r="BS100" s="22">
        <f t="shared" si="63"/>
        <v>141.94732294814074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1.9230769230769227</v>
      </c>
      <c r="BY100" s="12">
        <f>IF('Données projet'!$A$114&gt;35,BY99+BX100-CG99,IF(A100&lt;'Données projet'!$A$114,$BV$205^A100,IF(A100='Données projet'!$A$114,'Données projet'!$B$114,BY99+BX100-CG99)))</f>
        <v>148.07692307692312</v>
      </c>
      <c r="BZ100" s="13">
        <f>BY100*VLOOKUP('Données projet'!$B$12,Paramètres!$A$1:$I$89,3,0)*VLOOKUP('Données projet'!$B$12,Paramètres!$A$1:$I$89,5,0)</f>
        <v>129.36000000000007</v>
      </c>
      <c r="CA100" s="13">
        <f t="shared" si="93"/>
        <v>33.848431672856037</v>
      </c>
      <c r="CB100" s="20">
        <f t="shared" si="64"/>
        <v>284.25468516355772</v>
      </c>
      <c r="CC100" s="59">
        <f t="shared" si="65"/>
        <v>560.80011144294053</v>
      </c>
      <c r="CD100" s="59">
        <f ca="1">AVERAGE(OFFSET($CC$3,0,0,'Données projet'!$E$12+1,1))-AVERAGE(OFFSET($H$3,0,0,'Données projet'!$E$12+1,1))</f>
        <v>251.30277097589737</v>
      </c>
      <c r="CE100" s="59">
        <f t="shared" si="94"/>
        <v>224.11983819941796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2.2280609127062152</v>
      </c>
      <c r="CL100" s="21">
        <f>EXP(-LN(2)/25)*CL99+(1-EXP(-LN(2)/25))/(LN(2)/25)*Calculateur!CG100*Calculateur!CI100*VLOOKUP('Données projet'!$B$12,Paramètres!$A$1:$I$89,3,0)*0.475*44/12</f>
        <v>13.617885814250181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15.845946726956397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2.8421709430404007E-14</v>
      </c>
      <c r="CU100" s="17">
        <f>CT100*VLOOKUP('Données projet'!$B$13,Paramètres!$A$1:$I$89,3,0)*VLOOKUP('Données projet'!$B$13,Paramètres!$A$1:$I$89,5,0)</f>
        <v>2.4829205358400945E-14</v>
      </c>
      <c r="CV100" s="13">
        <f t="shared" si="95"/>
        <v>4.3867331143352915E-13</v>
      </c>
      <c r="CW100" s="20">
        <f t="shared" si="67"/>
        <v>8.0726688341261168E-13</v>
      </c>
      <c r="CX100" s="59">
        <f t="shared" si="68"/>
        <v>276.54542627938361</v>
      </c>
      <c r="CY100" s="59">
        <f ca="1">AVERAGE(OFFSET($CX$3,0,0,'Données projet'!$E$13+1,1))-AVERAGE(OFFSET($H$3,0,0,'Données projet'!$E$13+1,1))</f>
        <v>287.28439432670405</v>
      </c>
      <c r="CZ100" s="59">
        <f t="shared" si="96"/>
        <v>276.01618888357268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23.556878027128647</v>
      </c>
      <c r="DG100" s="21">
        <f>EXP(-LN(2)/25)*DG99+(1-EXP(-LN(2)/25))/(LN(2)/25)*Calculateur!DB100*Calculateur!DD100*VLOOKUP('Données projet'!$B$13,Paramètres!$A$1:$I$89,3,0)*0.475*44/12</f>
        <v>22.779517823675281</v>
      </c>
      <c r="DH100" s="21">
        <f>EXP(-LN(2)/2)*DH99+(1-EXP(-LN(2)/2))/(LN(2)/2)*DB100*DE100*VLOOKUP('Données projet'!$B$13,Paramètres!$A$1:$I$89,3,0)*0.475*44/12</f>
        <v>0.12552924634721419</v>
      </c>
      <c r="DI100" s="22">
        <f t="shared" si="69"/>
        <v>46.461925097151138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1.9230769230769256</v>
      </c>
      <c r="DO100" s="12">
        <f>IF('Données projet'!$A$166&gt;35,DO99+DN100-DW99,IF(A100&lt;'Données projet'!$A$166,$DL$205^A100,IF(A100='Données projet'!$A$166,'Données projet'!$B$166,DO99+DN100-DW99)))</f>
        <v>103.20512820512818</v>
      </c>
      <c r="DP100" s="17">
        <f>DO100*VLOOKUP('Données projet'!$B$14,Paramètres!$A$1:$I$89,3,0)*VLOOKUP('Données projet'!$B$14,Paramètres!$A$1:$I$89,5,0)</f>
        <v>99.819999999999979</v>
      </c>
      <c r="DQ100" s="13">
        <f t="shared" si="97"/>
        <v>26.919110535105666</v>
      </c>
      <c r="DR100" s="20">
        <f t="shared" si="70"/>
        <v>220.73728418197564</v>
      </c>
      <c r="DS100" s="59">
        <f t="shared" si="71"/>
        <v>497.28271046135842</v>
      </c>
      <c r="DT100" s="59">
        <f ca="1">AVERAGE(OFFSET($DS$3,0,0,'Données projet'!$E$14+1,1))-AVERAGE(OFFSET($H$3,0,0,'Données projet'!$E$14+1,1))</f>
        <v>206.5245935130306</v>
      </c>
      <c r="DU100" s="59">
        <f t="shared" si="98"/>
        <v>130.57011290898546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4.3863000875233826</v>
      </c>
      <c r="EC100" s="21">
        <f>EXP(-LN(2)/2)*EC99+(1-EXP(-LN(2)/2))/(LN(2)/2)*DW100*DZ100*VLOOKUP('Données projet'!$B$14,Paramètres!$A$1:$I$89,3,0)*0.475*44/12</f>
        <v>0.79951748995927674</v>
      </c>
      <c r="ED100" s="22">
        <f t="shared" si="72"/>
        <v>5.1858175774826591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>
        <f>VLOOKUP(A100,'Données projet'!$A$191:$I$211,2,0)</f>
        <v>451.75</v>
      </c>
      <c r="EH100" s="12">
        <f>VLOOKUP(A100,'Données projet'!$A$191:$I$211,9,0)</f>
        <v>10.192500000000001</v>
      </c>
      <c r="EI100" s="12">
        <f t="array" ref="EI100">INDEX(EH:EH,MIN(IF(ISNUMBER(EH100:EH296),ROW(EH100:EH296),"")))</f>
        <v>10.192500000000001</v>
      </c>
      <c r="EJ100" s="12">
        <f>IF('Données projet'!$A$192&gt;35,EJ99+EI100-ER99,IF(A100&lt;'Données projet'!$A$192,$EG$205^A100,IF(A100='Données projet'!$A$192,'Données projet'!$B$192,EJ99+EI100-ER99)))</f>
        <v>451.74999999999989</v>
      </c>
      <c r="EK100" s="17">
        <f>EJ100*VLOOKUP('Données projet'!$B$15,Paramètres!$A$1:$I$89,3,0)*VLOOKUP('Données projet'!$B$15,Paramètres!$A$1:$I$89,5,0)</f>
        <v>211.41899999999995</v>
      </c>
      <c r="EL100" s="13">
        <f t="shared" si="99"/>
        <v>52.245551258706243</v>
      </c>
      <c r="EM100" s="20">
        <f t="shared" si="73"/>
        <v>459.21576010891323</v>
      </c>
      <c r="EN100" s="59">
        <f t="shared" si="74"/>
        <v>735.76118638829598</v>
      </c>
      <c r="EO100" s="59">
        <f ca="1">AVERAGE(OFFSET($EN$3,0,0,'Données projet'!$E$15+1,1))-AVERAGE(OFFSET($H$3,0,0,'Données projet'!$E$15+1,1))</f>
        <v>374.38106339726073</v>
      </c>
      <c r="EP100" s="59">
        <f t="shared" si="100"/>
        <v>296.53283288925957</v>
      </c>
      <c r="EQ100" s="15">
        <f>IF(ISNA(VLOOKUP(A100,'Données projet'!$A$191:$I$211,3,0)),0,VLOOKUP(A100,'Données projet'!$A$191:$I$211,3,0))</f>
        <v>5</v>
      </c>
      <c r="ER100" s="15">
        <f>IF(ISNA(VLOOKUP(A100,'Données projet'!$A$191:$I$211,4,0)),0,VLOOKUP(A100,'Données projet'!$A$191:$I$211,4,0))</f>
        <v>90.589999999999975</v>
      </c>
      <c r="ES100" s="16">
        <f>IF(ISNA(VLOOKUP(A100,'Données projet'!$A$191:$I$211,5,0)),0%,VLOOKUP(A100,'Données projet'!$A$191:$I$211,5,0)*VLOOKUP('Données projet'!$B$15,Paramètres!$A$1:$I$89,7,0))</f>
        <v>0.33</v>
      </c>
      <c r="ET100" s="16">
        <f>IF(ISNA(VLOOKUP(A100,'Données projet'!$A$191:$I$211,6,0)),0%,VLOOKUP(A100,'Données projet'!$A$191:$I$211,6,0)*VLOOKUP('Données projet'!$B$15,Paramètres!$A$1:$I$89,7,0))</f>
        <v>0.11000000000000001</v>
      </c>
      <c r="EU100" s="16">
        <f>IF(ISNA(VLOOKUP(A100,'Données projet'!$A$191:$I$211,7,0)),0%,VLOOKUP(A100,'Données projet'!$A$191:$I$211,7,0))</f>
        <v>0.2</v>
      </c>
      <c r="EV100" s="21">
        <f>EXP(-LN(2)/35)*EV99+(1-EXP(-LN(2)/35))/(LN(2)/35)*ER100*ES100*VLOOKUP('Données projet'!$B$15,Paramètres!$A$1:$I$89,3,0)*0.475*44/12</f>
        <v>63.321870448870456</v>
      </c>
      <c r="EW100" s="21">
        <f>EXP(-LN(2)/25)*EW99+(1-EXP(-LN(2)/25))/(LN(2)/25)*Calculateur!ER100*Calculateur!ET100*VLOOKUP('Données projet'!$B$15,Paramètres!$A$1:$I$89,3,0)*0.475*44/12</f>
        <v>23.096502220156491</v>
      </c>
      <c r="EX100" s="21">
        <f>EXP(-LN(2)/2)*EX99+(1-EXP(-LN(2)/2))/(LN(2)/2)*ER100*EU100*VLOOKUP('Données projet'!$B$15,Paramètres!$A$1:$I$89,3,0)*0.475*44/12</f>
        <v>9.7616690873011311</v>
      </c>
      <c r="EY100" s="22">
        <f t="shared" si="75"/>
        <v>96.18004175632808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9">
        <f t="shared" si="55"/>
        <v>955.6592908898408</v>
      </c>
      <c r="S101" s="59">
        <f ca="1">AVERAGE(OFFSET($R$3,0,0,'Données projet'!$E$9+1,1))-AVERAGE(OFFSET($H$3,0,0,'Données projet'!$E$9+1,1))</f>
        <v>681.47578137804555</v>
      </c>
      <c r="T101" s="59">
        <f t="shared" si="88"/>
        <v>300.88511065995885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259.21583999999984</v>
      </c>
      <c r="AK101" s="13">
        <f t="shared" si="89"/>
        <v>62.555197359548238</v>
      </c>
      <c r="AL101" s="20">
        <f t="shared" si="58"/>
        <v>560.41789006787951</v>
      </c>
      <c r="AM101" s="59">
        <f t="shared" si="59"/>
        <v>837.25454900251088</v>
      </c>
      <c r="AN101" s="59">
        <f ca="1">AVERAGE(OFFSET($AM$3,0,0,'Données projet'!$E$10+1,1))-AVERAGE(OFFSET($H$3,0,0,'Données projet'!$E$10+1,1))</f>
        <v>423.80243030843661</v>
      </c>
      <c r="AO101" s="59">
        <f t="shared" si="90"/>
        <v>260.29028006191834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10.633069721408132</v>
      </c>
      <c r="AV101" s="21">
        <f>EXP(-LN(2)/25)*AV100+(1-EXP(-LN(2)/25))/(LN(2)/25)*Calculateur!AQ101*Calculateur!AS101*VLOOKUP('Données projet'!$B$10,Paramètres!$A$1:$I$89,3,0)*0.475*44/12</f>
        <v>14.519487693907667</v>
      </c>
      <c r="AW101" s="21">
        <f>EXP(-LN(2)/2)*AW100+(1-EXP(-LN(2)/2))/(LN(2)/2)*AQ101*AT101*VLOOKUP('Données projet'!$B$10,Paramètres!$A$1:$I$89,3,0)*0.475*44/12</f>
        <v>2.0244421921071369</v>
      </c>
      <c r="AX101" s="21">
        <f t="shared" si="60"/>
        <v>27.176999607422935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-1.3596945791505279E-13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373.61861223558259</v>
      </c>
      <c r="BJ101" s="59">
        <f t="shared" si="92"/>
        <v>277.62293009761049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107.30860846242813</v>
      </c>
      <c r="BQ101" s="21">
        <f>EXP(-LN(2)/25)*BQ100+(1-EXP(-LN(2)/25))/(LN(2)/25)*Calculateur!BL101*Calculateur!BN101*VLOOKUP('Données projet'!$B$11,Paramètres!$A$1:$I$89,3,0)*0.475*44/12</f>
        <v>31.41387636181982</v>
      </c>
      <c r="BR101" s="21">
        <f>EXP(-LN(2)/2)*BR100+(1-EXP(-LN(2)/2))/(LN(2)/2)*BL101*BO101*VLOOKUP('Données projet'!$B$11,Paramètres!$A$1:$I$89,3,0)*0.475*44/12</f>
        <v>0.13811844297111076</v>
      </c>
      <c r="BS101" s="22">
        <f t="shared" si="63"/>
        <v>138.86060326721906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1.9230769230769227</v>
      </c>
      <c r="BY101" s="12">
        <f>IF('Données projet'!$A$114&gt;35,BY100+BX101-CG100,IF(A101&lt;'Données projet'!$A$114,$BV$205^A101,IF(A101='Données projet'!$A$114,'Données projet'!$B$114,BY100+BX101-CG100)))</f>
        <v>150.00000000000006</v>
      </c>
      <c r="BZ101" s="13">
        <f>BY101*VLOOKUP('Données projet'!$B$12,Paramètres!$A$1:$I$89,3,0)*VLOOKUP('Données projet'!$B$12,Paramètres!$A$1:$I$89,5,0)</f>
        <v>131.04000000000008</v>
      </c>
      <c r="CA101" s="13">
        <f t="shared" si="93"/>
        <v>34.236561238949918</v>
      </c>
      <c r="CB101" s="20">
        <f t="shared" si="64"/>
        <v>287.85667749117118</v>
      </c>
      <c r="CC101" s="59">
        <f t="shared" si="65"/>
        <v>564.6933364258025</v>
      </c>
      <c r="CD101" s="59">
        <f ca="1">AVERAGE(OFFSET($CC$3,0,0,'Données projet'!$E$12+1,1))-AVERAGE(OFFSET($H$3,0,0,'Données projet'!$E$12+1,1))</f>
        <v>251.30277097589737</v>
      </c>
      <c r="CE101" s="59">
        <f t="shared" si="94"/>
        <v>224.11983819941796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2.1843699971910144</v>
      </c>
      <c r="CL101" s="21">
        <f>EXP(-LN(2)/25)*CL100+(1-EXP(-LN(2)/25))/(LN(2)/25)*Calculateur!CG101*Calculateur!CI101*VLOOKUP('Données projet'!$B$12,Paramètres!$A$1:$I$89,3,0)*0.475*44/12</f>
        <v>13.24550401052602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15.429874007717034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2.8421709430404007E-14</v>
      </c>
      <c r="CU101" s="17">
        <f>CT101*VLOOKUP('Données projet'!$B$13,Paramètres!$A$1:$I$89,3,0)*VLOOKUP('Données projet'!$B$13,Paramètres!$A$1:$I$89,5,0)</f>
        <v>2.4829205358400945E-14</v>
      </c>
      <c r="CV101" s="13">
        <f t="shared" si="95"/>
        <v>4.3867331143352915E-13</v>
      </c>
      <c r="CW101" s="20">
        <f t="shared" si="67"/>
        <v>8.0726688341261168E-13</v>
      </c>
      <c r="CX101" s="59">
        <f t="shared" si="68"/>
        <v>276.83665893463217</v>
      </c>
      <c r="CY101" s="59">
        <f ca="1">AVERAGE(OFFSET($CX$3,0,0,'Données projet'!$E$13+1,1))-AVERAGE(OFFSET($H$3,0,0,'Données projet'!$E$13+1,1))</f>
        <v>287.28439432670405</v>
      </c>
      <c r="CZ101" s="59">
        <f t="shared" si="96"/>
        <v>276.01618888357268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23.094942017293501</v>
      </c>
      <c r="DG101" s="21">
        <f>EXP(-LN(2)/25)*DG100+(1-EXP(-LN(2)/25))/(LN(2)/25)*Calculateur!DB101*Calculateur!DD101*VLOOKUP('Données projet'!$B$13,Paramètres!$A$1:$I$89,3,0)*0.475*44/12</f>
        <v>22.156610710864101</v>
      </c>
      <c r="DH101" s="21">
        <f>EXP(-LN(2)/2)*DH100+(1-EXP(-LN(2)/2))/(LN(2)/2)*DB101*DE101*VLOOKUP('Données projet'!$B$13,Paramètres!$A$1:$I$89,3,0)*0.475*44/12</f>
        <v>8.8762581329351803E-2</v>
      </c>
      <c r="DI101" s="22">
        <f t="shared" si="69"/>
        <v>45.340315309486961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1.9230769230769256</v>
      </c>
      <c r="DO101" s="12">
        <f>IF('Données projet'!$A$166&gt;35,DO100+DN101-DW100,IF(A101&lt;'Données projet'!$A$166,$DL$205^A101,IF(A101='Données projet'!$A$166,'Données projet'!$B$166,DO100+DN101-DW100)))</f>
        <v>105.1282051282051</v>
      </c>
      <c r="DP101" s="17">
        <f>DO101*VLOOKUP('Données projet'!$B$14,Paramètres!$A$1:$I$89,3,0)*VLOOKUP('Données projet'!$B$14,Paramètres!$A$1:$I$89,5,0)</f>
        <v>101.67999999999996</v>
      </c>
      <c r="DQ101" s="13">
        <f t="shared" si="97"/>
        <v>27.361845471196556</v>
      </c>
      <c r="DR101" s="20">
        <f t="shared" si="70"/>
        <v>224.74788086233397</v>
      </c>
      <c r="DS101" s="59">
        <f t="shared" si="71"/>
        <v>501.58453979696537</v>
      </c>
      <c r="DT101" s="59">
        <f ca="1">AVERAGE(OFFSET($DS$3,0,0,'Données projet'!$E$14+1,1))-AVERAGE(OFFSET($H$3,0,0,'Données projet'!$E$14+1,1))</f>
        <v>206.5245935130306</v>
      </c>
      <c r="DU101" s="59">
        <f t="shared" si="98"/>
        <v>130.57011290898546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4.2663564809645589</v>
      </c>
      <c r="EC101" s="21">
        <f>EXP(-LN(2)/2)*EC100+(1-EXP(-LN(2)/2))/(LN(2)/2)*DW101*DZ101*VLOOKUP('Données projet'!$B$14,Paramètres!$A$1:$I$89,3,0)*0.475*44/12</f>
        <v>0.56534423882745199</v>
      </c>
      <c r="ED101" s="22">
        <f t="shared" si="72"/>
        <v>4.8317007197920105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9.1833333333333318</v>
      </c>
      <c r="EJ101" s="12">
        <f>IF('Données projet'!$A$192&gt;35,EJ100+EI101-ER100,IF(A101&lt;'Données projet'!$A$192,$EG$205^A101,IF(A101='Données projet'!$A$192,'Données projet'!$B$192,EJ100+EI101-ER100)))</f>
        <v>370.34333333333325</v>
      </c>
      <c r="EK101" s="17">
        <f>EJ101*VLOOKUP('Données projet'!$B$15,Paramètres!$A$1:$I$89,3,0)*VLOOKUP('Données projet'!$B$15,Paramètres!$A$1:$I$89,5,0)</f>
        <v>173.32067999999998</v>
      </c>
      <c r="EL101" s="13">
        <f t="shared" si="99"/>
        <v>43.832906027777845</v>
      </c>
      <c r="EM101" s="20">
        <f t="shared" si="73"/>
        <v>378.209162331713</v>
      </c>
      <c r="EN101" s="59">
        <f t="shared" si="74"/>
        <v>655.04582126634432</v>
      </c>
      <c r="EO101" s="59">
        <f ca="1">AVERAGE(OFFSET($EN$3,0,0,'Données projet'!$E$15+1,1))-AVERAGE(OFFSET($H$3,0,0,'Données projet'!$E$15+1,1))</f>
        <v>374.38106339726073</v>
      </c>
      <c r="EP101" s="59">
        <f t="shared" si="100"/>
        <v>296.53283288925957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62.08016719189542</v>
      </c>
      <c r="EW101" s="21">
        <f>EXP(-LN(2)/25)*EW100+(1-EXP(-LN(2)/25))/(LN(2)/25)*Calculateur!ER101*Calculateur!ET101*VLOOKUP('Données projet'!$B$15,Paramètres!$A$1:$I$89,3,0)*0.475*44/12</f>
        <v>22.464927152354047</v>
      </c>
      <c r="EX101" s="21">
        <f>EXP(-LN(2)/2)*EX100+(1-EXP(-LN(2)/2))/(LN(2)/2)*ER101*EU101*VLOOKUP('Données projet'!$B$15,Paramètres!$A$1:$I$89,3,0)*0.475*44/12</f>
        <v>6.9025424073297268</v>
      </c>
      <c r="EY101" s="22">
        <f t="shared" si="75"/>
        <v>91.447636751579196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9">
        <f t="shared" si="55"/>
        <v>972.96942716261128</v>
      </c>
      <c r="S102" s="59">
        <f ca="1">AVERAGE(OFFSET($R$3,0,0,'Données projet'!$E$9+1,1))-AVERAGE(OFFSET($H$3,0,0,'Données projet'!$E$9+1,1))</f>
        <v>681.47578137804555</v>
      </c>
      <c r="T102" s="59">
        <f t="shared" si="88"/>
        <v>300.88511065995885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263.7835199999999</v>
      </c>
      <c r="AK102" s="13">
        <f t="shared" si="89"/>
        <v>63.5281921545985</v>
      </c>
      <c r="AL102" s="20">
        <f t="shared" si="58"/>
        <v>570.06789866925885</v>
      </c>
      <c r="AM102" s="59">
        <f t="shared" si="59"/>
        <v>847.19073802366893</v>
      </c>
      <c r="AN102" s="59">
        <f ca="1">AVERAGE(OFFSET($AM$3,0,0,'Données projet'!$E$10+1,1))-AVERAGE(OFFSET($H$3,0,0,'Données projet'!$E$10+1,1))</f>
        <v>423.80243030843661</v>
      </c>
      <c r="AO102" s="59">
        <f t="shared" si="90"/>
        <v>260.29028006191834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10.424561709703456</v>
      </c>
      <c r="AV102" s="21">
        <f>EXP(-LN(2)/25)*AV101+(1-EXP(-LN(2)/25))/(LN(2)/25)*Calculateur!AQ102*Calculateur!AS102*VLOOKUP('Données projet'!$B$10,Paramètres!$A$1:$I$89,3,0)*0.475*44/12</f>
        <v>14.122451539371088</v>
      </c>
      <c r="AW102" s="21">
        <f>EXP(-LN(2)/2)*AW101+(1-EXP(-LN(2)/2))/(LN(2)/2)*AQ102*AT102*VLOOKUP('Données projet'!$B$10,Paramètres!$A$1:$I$89,3,0)*0.475*44/12</f>
        <v>1.4314968021591159</v>
      </c>
      <c r="AX102" s="21">
        <f t="shared" si="60"/>
        <v>25.978510051233663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-1.3596945791505279E-13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373.61861223558259</v>
      </c>
      <c r="BJ102" s="59">
        <f t="shared" si="92"/>
        <v>277.62293009761049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105.20435210226825</v>
      </c>
      <c r="BQ102" s="21">
        <f>EXP(-LN(2)/25)*BQ101+(1-EXP(-LN(2)/25))/(LN(2)/25)*Calculateur!BL102*Calculateur!BN102*VLOOKUP('Données projet'!$B$11,Paramètres!$A$1:$I$89,3,0)*0.475*44/12</f>
        <v>30.554862260721897</v>
      </c>
      <c r="BR102" s="21">
        <f>EXP(-LN(2)/2)*BR101+(1-EXP(-LN(2)/2))/(LN(2)/2)*BL102*BO102*VLOOKUP('Données projet'!$B$11,Paramètres!$A$1:$I$89,3,0)*0.475*44/12</f>
        <v>9.7664487631799857E-2</v>
      </c>
      <c r="BS102" s="22">
        <f t="shared" si="63"/>
        <v>135.85687885062194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1.9230769230769227</v>
      </c>
      <c r="BY102" s="12">
        <f>IF('Données projet'!$A$114&gt;35,BY101+BX102-CG101,IF(A102&lt;'Données projet'!$A$114,$BV$205^A102,IF(A102='Données projet'!$A$114,'Données projet'!$B$114,BY101+BX102-CG101)))</f>
        <v>151.92307692307699</v>
      </c>
      <c r="BZ102" s="13">
        <f>BY102*VLOOKUP('Données projet'!$B$12,Paramètres!$A$1:$I$89,3,0)*VLOOKUP('Données projet'!$B$12,Paramètres!$A$1:$I$89,5,0)</f>
        <v>132.72000000000008</v>
      </c>
      <c r="CA102" s="13">
        <f t="shared" si="93"/>
        <v>34.624112011504067</v>
      </c>
      <c r="CB102" s="20">
        <f t="shared" si="64"/>
        <v>291.45766175336968</v>
      </c>
      <c r="CC102" s="59">
        <f t="shared" si="65"/>
        <v>568.58050110777981</v>
      </c>
      <c r="CD102" s="59">
        <f ca="1">AVERAGE(OFFSET($CC$3,0,0,'Données projet'!$E$12+1,1))-AVERAGE(OFFSET($H$3,0,0,'Données projet'!$E$12+1,1))</f>
        <v>251.30277097589737</v>
      </c>
      <c r="CE102" s="59">
        <f t="shared" si="94"/>
        <v>224.11983819941796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2.1415358338802397</v>
      </c>
      <c r="CL102" s="21">
        <f>EXP(-LN(2)/25)*CL101+(1-EXP(-LN(2)/25))/(LN(2)/25)*Calculateur!CG102*Calculateur!CI102*VLOOKUP('Données projet'!$B$12,Paramètres!$A$1:$I$89,3,0)*0.475*44/12</f>
        <v>12.883305006807403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15.024840840687641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2.8421709430404007E-14</v>
      </c>
      <c r="CU102" s="17">
        <f>CT102*VLOOKUP('Données projet'!$B$13,Paramètres!$A$1:$I$89,3,0)*VLOOKUP('Données projet'!$B$13,Paramètres!$A$1:$I$89,5,0)</f>
        <v>2.4829205358400945E-14</v>
      </c>
      <c r="CV102" s="13">
        <f t="shared" si="95"/>
        <v>4.3867331143352915E-13</v>
      </c>
      <c r="CW102" s="20">
        <f t="shared" si="67"/>
        <v>8.0726688341261168E-13</v>
      </c>
      <c r="CX102" s="59">
        <f t="shared" si="68"/>
        <v>277.12283935441093</v>
      </c>
      <c r="CY102" s="59">
        <f ca="1">AVERAGE(OFFSET($CX$3,0,0,'Données projet'!$E$13+1,1))-AVERAGE(OFFSET($H$3,0,0,'Données projet'!$E$13+1,1))</f>
        <v>287.28439432670405</v>
      </c>
      <c r="CZ102" s="59">
        <f t="shared" si="96"/>
        <v>276.01618888357268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22.642064290858077</v>
      </c>
      <c r="DG102" s="21">
        <f>EXP(-LN(2)/25)*DG101+(1-EXP(-LN(2)/25))/(LN(2)/25)*Calculateur!DB102*Calculateur!DD102*VLOOKUP('Données projet'!$B$13,Paramètres!$A$1:$I$89,3,0)*0.475*44/12</f>
        <v>21.550737025810005</v>
      </c>
      <c r="DH102" s="21">
        <f>EXP(-LN(2)/2)*DH101+(1-EXP(-LN(2)/2))/(LN(2)/2)*DB102*DE102*VLOOKUP('Données projet'!$B$13,Paramètres!$A$1:$I$89,3,0)*0.475*44/12</f>
        <v>6.2764623173607093E-2</v>
      </c>
      <c r="DI102" s="22">
        <f t="shared" si="69"/>
        <v>44.255565939841688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1.9230769230769256</v>
      </c>
      <c r="DO102" s="12">
        <f>IF('Données projet'!$A$166&gt;35,DO101+DN102-DW101,IF(A102&lt;'Données projet'!$A$166,$DL$205^A102,IF(A102='Données projet'!$A$166,'Données projet'!$B$166,DO101+DN102-DW101)))</f>
        <v>107.05128205128202</v>
      </c>
      <c r="DP102" s="17">
        <f>DO102*VLOOKUP('Données projet'!$B$14,Paramètres!$A$1:$I$89,3,0)*VLOOKUP('Données projet'!$B$14,Paramètres!$A$1:$I$89,5,0)</f>
        <v>103.53999999999996</v>
      </c>
      <c r="DQ102" s="13">
        <f t="shared" si="97"/>
        <v>27.80363865322208</v>
      </c>
      <c r="DR102" s="20">
        <f t="shared" si="70"/>
        <v>228.75683732102837</v>
      </c>
      <c r="DS102" s="59">
        <f t="shared" si="71"/>
        <v>505.87967667543853</v>
      </c>
      <c r="DT102" s="59">
        <f ca="1">AVERAGE(OFFSET($DS$3,0,0,'Données projet'!$E$14+1,1))-AVERAGE(OFFSET($H$3,0,0,'Données projet'!$E$14+1,1))</f>
        <v>206.5245935130306</v>
      </c>
      <c r="DU102" s="59">
        <f t="shared" si="98"/>
        <v>130.57011290898546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4.1496927386346467</v>
      </c>
      <c r="EC102" s="21">
        <f>EXP(-LN(2)/2)*EC101+(1-EXP(-LN(2)/2))/(LN(2)/2)*DW102*DZ102*VLOOKUP('Données projet'!$B$14,Paramètres!$A$1:$I$89,3,0)*0.475*44/12</f>
        <v>0.39975874497963837</v>
      </c>
      <c r="ED102" s="22">
        <f t="shared" si="72"/>
        <v>4.549451483614285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9.1833333333333318</v>
      </c>
      <c r="EJ102" s="12">
        <f>IF('Données projet'!$A$192&gt;35,EJ101+EI102-ER101,IF(A102&lt;'Données projet'!$A$192,$EG$205^A102,IF(A102='Données projet'!$A$192,'Données projet'!$B$192,EJ101+EI102-ER101)))</f>
        <v>379.52666666666659</v>
      </c>
      <c r="EK102" s="17">
        <f>EJ102*VLOOKUP('Données projet'!$B$15,Paramètres!$A$1:$I$89,3,0)*VLOOKUP('Données projet'!$B$15,Paramètres!$A$1:$I$89,5,0)</f>
        <v>177.61847999999995</v>
      </c>
      <c r="EL102" s="13">
        <f t="shared" si="99"/>
        <v>44.791931827234123</v>
      </c>
      <c r="EM102" s="20">
        <f t="shared" si="73"/>
        <v>387.36480059909928</v>
      </c>
      <c r="EN102" s="59">
        <f t="shared" si="74"/>
        <v>664.48763995350942</v>
      </c>
      <c r="EO102" s="59">
        <f ca="1">AVERAGE(OFFSET($EN$3,0,0,'Données projet'!$E$15+1,1))-AVERAGE(OFFSET($H$3,0,0,'Données projet'!$E$15+1,1))</f>
        <v>374.38106339726073</v>
      </c>
      <c r="EP102" s="59">
        <f t="shared" si="100"/>
        <v>296.53283288925957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60.862812978425467</v>
      </c>
      <c r="EW102" s="21">
        <f>EXP(-LN(2)/25)*EW101+(1-EXP(-LN(2)/25))/(LN(2)/25)*Calculateur!ER102*Calculateur!ET102*VLOOKUP('Données projet'!$B$15,Paramètres!$A$1:$I$89,3,0)*0.475*44/12</f>
        <v>21.85062253799375</v>
      </c>
      <c r="EX102" s="21">
        <f>EXP(-LN(2)/2)*EX101+(1-EXP(-LN(2)/2))/(LN(2)/2)*ER102*EU102*VLOOKUP('Données projet'!$B$15,Paramètres!$A$1:$I$89,3,0)*0.475*44/12</f>
        <v>4.8808345436505665</v>
      </c>
      <c r="EY102" s="22">
        <f t="shared" si="75"/>
        <v>87.594270060069789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9">
        <f t="shared" si="55"/>
        <v>990.26607187578247</v>
      </c>
      <c r="S103" s="59">
        <f ca="1">AVERAGE(OFFSET($R$3,0,0,'Données projet'!$E$9+1,1))-AVERAGE(OFFSET($H$3,0,0,'Données projet'!$E$9+1,1))</f>
        <v>681.47578137804555</v>
      </c>
      <c r="T103" s="59">
        <f t="shared" si="88"/>
        <v>300.88511065995885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268.35119999999989</v>
      </c>
      <c r="AK103" s="13">
        <f t="shared" si="89"/>
        <v>64.499227668096069</v>
      </c>
      <c r="AL103" s="20">
        <f t="shared" si="58"/>
        <v>579.71449485526716</v>
      </c>
      <c r="AM103" s="59">
        <f t="shared" si="59"/>
        <v>857.11855003897631</v>
      </c>
      <c r="AN103" s="59">
        <f ca="1">AVERAGE(OFFSET($AM$3,0,0,'Données projet'!$E$10+1,1))-AVERAGE(OFFSET($H$3,0,0,'Données projet'!$E$10+1,1))</f>
        <v>423.80243030843661</v>
      </c>
      <c r="AO103" s="59">
        <f t="shared" si="90"/>
        <v>260.29028006191834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0.1075</v>
      </c>
      <c r="AS103" s="16">
        <f>IF(ISNA(VLOOKUP(A103,'Données projet'!$A$61:$I$81,6,0)),0%,VLOOKUP(A103,'Données projet'!$A$61:$I$81,6,0)*VLOOKUP('Données projet'!$B$10,Paramètres!$A$1:$I$89,7,0))</f>
        <v>0.1075</v>
      </c>
      <c r="AT103" s="16">
        <f>IF(ISNA(VLOOKUP(A103,'Données projet'!$A$61:$I$81,7,0)),0%,VLOOKUP(A103,'Données projet'!$A$61:$I$81,7,0))</f>
        <v>0.25</v>
      </c>
      <c r="AU103" s="21">
        <f>EXP(-LN(2)/35)*AU102+(1-EXP(-LN(2)/35))/(LN(2)/35)*AQ103*AR103*VLOOKUP('Données projet'!$B$10,Paramètres!$A$1:$I$89,3,0)*0.475*44/12</f>
        <v>12.594954784647705</v>
      </c>
      <c r="AV103" s="21">
        <f>EXP(-LN(2)/25)*AV102+(1-EXP(-LN(2)/25))/(LN(2)/25)*Calculateur!AQ103*Calculateur!AS103*VLOOKUP('Données projet'!$B$10,Paramètres!$A$1:$I$89,3,0)*0.475*44/12</f>
        <v>16.101734189894358</v>
      </c>
      <c r="AW103" s="21">
        <f>EXP(-LN(2)/2)*AW102+(1-EXP(-LN(2)/2))/(LN(2)/2)*AQ103*AT103*VLOOKUP('Données projet'!$B$10,Paramètres!$A$1:$I$89,3,0)*0.475*44/12</f>
        <v>5.7259872087306274</v>
      </c>
      <c r="AX103" s="21">
        <f t="shared" si="60"/>
        <v>34.422676183272692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-1.3596945791505279E-13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373.61861223558259</v>
      </c>
      <c r="BJ103" s="59">
        <f t="shared" si="92"/>
        <v>277.62293009761049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103.14135892586145</v>
      </c>
      <c r="BQ103" s="21">
        <f>EXP(-LN(2)/25)*BQ102+(1-EXP(-LN(2)/25))/(LN(2)/25)*Calculateur!BL103*Calculateur!BN103*VLOOKUP('Données projet'!$B$11,Paramètres!$A$1:$I$89,3,0)*0.475*44/12</f>
        <v>29.719337945392084</v>
      </c>
      <c r="BR103" s="21">
        <f>EXP(-LN(2)/2)*BR102+(1-EXP(-LN(2)/2))/(LN(2)/2)*BL103*BO103*VLOOKUP('Données projet'!$B$11,Paramètres!$A$1:$I$89,3,0)*0.475*44/12</f>
        <v>6.9059221485555378E-2</v>
      </c>
      <c r="BS103" s="22">
        <f t="shared" si="63"/>
        <v>132.9297560927391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153.84615384615384</v>
      </c>
      <c r="BW103" s="12">
        <f>VLOOKUP(A103,'Données projet'!$A$113:$I$133,9,0)</f>
        <v>1.9230769230769227</v>
      </c>
      <c r="BX103" s="12">
        <f t="array" ref="BX103">INDEX(BW:BW,MIN(IF(ISNUMBER(BW103:BW299),ROW(BW103:BW299),"")))</f>
        <v>1.9230769230769227</v>
      </c>
      <c r="BY103" s="12">
        <f>IF('Données projet'!$A$114&gt;35,BY102+BX103-CG102,IF(A103&lt;'Données projet'!$A$114,$BV$205^A103,IF(A103='Données projet'!$A$114,'Données projet'!$B$114,BY102+BX103-CG102)))</f>
        <v>153.84615384615392</v>
      </c>
      <c r="BZ103" s="13">
        <f>BY103*VLOOKUP('Données projet'!$B$12,Paramètres!$A$1:$I$89,3,0)*VLOOKUP('Données projet'!$B$12,Paramètres!$A$1:$I$89,5,0)</f>
        <v>134.40000000000009</v>
      </c>
      <c r="CA103" s="13">
        <f t="shared" si="93"/>
        <v>35.011092164239898</v>
      </c>
      <c r="CB103" s="20">
        <f t="shared" si="64"/>
        <v>295.05765218605126</v>
      </c>
      <c r="CC103" s="59">
        <f t="shared" si="65"/>
        <v>572.46170736976046</v>
      </c>
      <c r="CD103" s="59">
        <f ca="1">AVERAGE(OFFSET($CC$3,0,0,'Données projet'!$E$12+1,1))-AVERAGE(OFFSET($H$3,0,0,'Données projet'!$E$12+1,1))</f>
        <v>251.30277097589737</v>
      </c>
      <c r="CE103" s="59">
        <f t="shared" si="94"/>
        <v>224.11983819941796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153.84615384615384</v>
      </c>
      <c r="CH103" s="16">
        <f>IF(ISNA(VLOOKUP(A103,'Données projet'!$A$113:$I$133,5,0)),0%,VLOOKUP(A103,'Données projet'!$A$113:$I$133,5,0)*VLOOKUP('Données projet'!$B$12,Paramètres!$A$1:$I$89,7,0))</f>
        <v>8.6000000000000007E-2</v>
      </c>
      <c r="CI103" s="16">
        <f>IF(ISNA(VLOOKUP(A103,'Données projet'!$A$113:$I$133,6,0)),0%,VLOOKUP(A103,'Données projet'!$A$113:$I$133,6,0)*VLOOKUP('Données projet'!$B$12,Paramètres!$A$1:$I$89,7,0))</f>
        <v>0.17200000000000001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14.877010457179383</v>
      </c>
      <c r="CL103" s="21">
        <f>EXP(-LN(2)/25)*CL102+(1-EXP(-LN(2)/25))/(LN(2)/25)*Calculateur!CG103*Calculateur!CI103*VLOOKUP('Données projet'!$B$12,Paramètres!$A$1:$I$89,3,0)*0.475*44/12</f>
        <v>37.985328496680197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52.862338953859577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2.8421709430404007E-14</v>
      </c>
      <c r="CU103" s="17">
        <f>CT103*VLOOKUP('Données projet'!$B$13,Paramètres!$A$1:$I$89,3,0)*VLOOKUP('Données projet'!$B$13,Paramètres!$A$1:$I$89,5,0)</f>
        <v>2.4829205358400945E-14</v>
      </c>
      <c r="CV103" s="13">
        <f t="shared" si="95"/>
        <v>4.3867331143352915E-13</v>
      </c>
      <c r="CW103" s="20">
        <f t="shared" si="67"/>
        <v>8.0726688341261168E-13</v>
      </c>
      <c r="CX103" s="59">
        <f t="shared" si="68"/>
        <v>277.40405518371</v>
      </c>
      <c r="CY103" s="59">
        <f ca="1">AVERAGE(OFFSET($CX$3,0,0,'Données projet'!$E$13+1,1))-AVERAGE(OFFSET($H$3,0,0,'Données projet'!$E$13+1,1))</f>
        <v>287.28439432670405</v>
      </c>
      <c r="CZ103" s="59">
        <f t="shared" si="96"/>
        <v>276.01618888357268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22.198067220409914</v>
      </c>
      <c r="DG103" s="21">
        <f>EXP(-LN(2)/25)*DG102+(1-EXP(-LN(2)/25))/(LN(2)/25)*Calculateur!DB103*Calculateur!DD103*VLOOKUP('Données projet'!$B$13,Paramètres!$A$1:$I$89,3,0)*0.475*44/12</f>
        <v>20.961430988535223</v>
      </c>
      <c r="DH103" s="21">
        <f>EXP(-LN(2)/2)*DH102+(1-EXP(-LN(2)/2))/(LN(2)/2)*DB103*DE103*VLOOKUP('Données projet'!$B$13,Paramètres!$A$1:$I$89,3,0)*0.475*44/12</f>
        <v>4.4381290664675901E-2</v>
      </c>
      <c r="DI103" s="22">
        <f t="shared" si="69"/>
        <v>43.203879499609812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108.97435897435898</v>
      </c>
      <c r="DM103" s="12">
        <f>VLOOKUP(A103,'Données projet'!$A$165:$I$185,9,0)</f>
        <v>1.9230769230769256</v>
      </c>
      <c r="DN103" s="12">
        <f t="array" ref="DN103">INDEX(DM:DM,MIN(IF(ISNUMBER(DM103:DM299),ROW(DM103:DM299),"")))</f>
        <v>1.9230769230769256</v>
      </c>
      <c r="DO103" s="12">
        <f>IF('Données projet'!$A$166&gt;35,DO102+DN103-DW102,IF(A103&lt;'Données projet'!$A$166,$DL$205^A103,IF(A103='Données projet'!$A$166,'Données projet'!$B$166,DO102+DN103-DW102)))</f>
        <v>108.97435897435894</v>
      </c>
      <c r="DP103" s="17">
        <f>DO103*VLOOKUP('Données projet'!$B$14,Paramètres!$A$1:$I$89,3,0)*VLOOKUP('Données projet'!$B$14,Paramètres!$A$1:$I$89,5,0)</f>
        <v>105.39999999999996</v>
      </c>
      <c r="DQ103" s="13">
        <f t="shared" si="97"/>
        <v>28.244508950458165</v>
      </c>
      <c r="DR103" s="20">
        <f t="shared" si="70"/>
        <v>232.76418642204786</v>
      </c>
      <c r="DS103" s="59">
        <f t="shared" si="71"/>
        <v>510.16824160575709</v>
      </c>
      <c r="DT103" s="59">
        <f ca="1">AVERAGE(OFFSET($DS$3,0,0,'Données projet'!$E$14+1,1))-AVERAGE(OFFSET($H$3,0,0,'Données projet'!$E$14+1,1))</f>
        <v>206.5245935130306</v>
      </c>
      <c r="DU103" s="59">
        <f t="shared" si="98"/>
        <v>130.57011290898546</v>
      </c>
      <c r="DV103" s="15">
        <f>IF(ISNA(VLOOKUP(A103,'Données projet'!$A$165:$I$185,3,0)),0,VLOOKUP(A103,'Données projet'!$A$165:$I$185,3,0))</f>
        <v>16</v>
      </c>
      <c r="DW103" s="15">
        <f>IF(ISNA(VLOOKUP(A103,'Données projet'!$A$165:$I$185,4,0)),0,VLOOKUP(A103,'Données projet'!$A$165:$I$185,4,0))</f>
        <v>5.7692307692307692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0.1075</v>
      </c>
      <c r="DZ103" s="16">
        <f>IF(ISNA(VLOOKUP(A103,'Données projet'!$A$165:$I$185,7,0)),0%,VLOOKUP(A103,'Données projet'!$A$165:$I$185,7,0))</f>
        <v>0.25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4.6967246376745058</v>
      </c>
      <c r="EC103" s="21">
        <f>EXP(-LN(2)/2)*EC102+(1-EXP(-LN(2)/2))/(LN(2)/2)*DW103*DZ103*VLOOKUP('Données projet'!$B$14,Paramètres!$A$1:$I$89,3,0)*0.475*44/12</f>
        <v>1.5988921652882424</v>
      </c>
      <c r="ED103" s="22">
        <f t="shared" si="72"/>
        <v>6.2956168029627477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9.1833333333333318</v>
      </c>
      <c r="EJ103" s="12">
        <f>IF('Données projet'!$A$192&gt;35,EJ102+EI103-ER102,IF(A103&lt;'Données projet'!$A$192,$EG$205^A103,IF(A103='Données projet'!$A$192,'Données projet'!$B$192,EJ102+EI103-ER102)))</f>
        <v>388.70999999999992</v>
      </c>
      <c r="EK103" s="17">
        <f>EJ103*VLOOKUP('Données projet'!$B$15,Paramètres!$A$1:$I$89,3,0)*VLOOKUP('Données projet'!$B$15,Paramètres!$A$1:$I$89,5,0)</f>
        <v>181.91627999999997</v>
      </c>
      <c r="EL103" s="13">
        <f t="shared" si="99"/>
        <v>45.748260044655694</v>
      </c>
      <c r="EM103" s="20">
        <f t="shared" si="73"/>
        <v>396.51574057777526</v>
      </c>
      <c r="EN103" s="59">
        <f t="shared" si="74"/>
        <v>673.91979576148447</v>
      </c>
      <c r="EO103" s="59">
        <f ca="1">AVERAGE(OFFSET($EN$3,0,0,'Données projet'!$E$15+1,1))-AVERAGE(OFFSET($H$3,0,0,'Données projet'!$E$15+1,1))</f>
        <v>374.38106339726073</v>
      </c>
      <c r="EP103" s="59">
        <f t="shared" si="100"/>
        <v>296.53283288925957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59.669330338568905</v>
      </c>
      <c r="EW103" s="21">
        <f>EXP(-LN(2)/25)*EW102+(1-EXP(-LN(2)/25))/(LN(2)/25)*Calculateur!ER103*Calculateur!ET103*VLOOKUP('Données projet'!$B$15,Paramètres!$A$1:$I$89,3,0)*0.475*44/12</f>
        <v>21.253116115618013</v>
      </c>
      <c r="EX103" s="21">
        <f>EXP(-LN(2)/2)*EX102+(1-EXP(-LN(2)/2))/(LN(2)/2)*ER103*EU103*VLOOKUP('Données projet'!$B$15,Paramètres!$A$1:$I$89,3,0)*0.475*44/12</f>
        <v>3.4512712036648638</v>
      </c>
      <c r="EY103" s="22">
        <f t="shared" si="75"/>
        <v>84.37371765785177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9">
        <f t="shared" si="55"/>
        <v>1007.5495431743766</v>
      </c>
      <c r="S104" s="59">
        <f ca="1">AVERAGE(OFFSET($R$3,0,0,'Données projet'!$E$9+1,1))-AVERAGE(OFFSET($H$3,0,0,'Données projet'!$E$9+1,1))</f>
        <v>681.47578137804555</v>
      </c>
      <c r="T104" s="59">
        <f t="shared" si="88"/>
        <v>300.88511065995885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265.59999999999991</v>
      </c>
      <c r="AJ104" s="13">
        <f>AI104*VLOOKUP('Données projet'!$B$10,Paramètres!$A$1:$I$89,3,0)*VLOOKUP('Données projet'!$B$10,Paramètres!$A$1:$I$89,5,0)</f>
        <v>252.74495999999991</v>
      </c>
      <c r="AK104" s="13">
        <f t="shared" si="89"/>
        <v>61.173358634109022</v>
      </c>
      <c r="AL104" s="20">
        <f t="shared" si="58"/>
        <v>546.74107162107293</v>
      </c>
      <c r="AM104" s="59">
        <f t="shared" si="59"/>
        <v>824.42146416814739</v>
      </c>
      <c r="AN104" s="59">
        <f ca="1">AVERAGE(OFFSET($AM$3,0,0,'Données projet'!$E$10+1,1))-AVERAGE(OFFSET($H$3,0,0,'Données projet'!$E$10+1,1))</f>
        <v>423.80243030843661</v>
      </c>
      <c r="AO104" s="59">
        <f t="shared" si="90"/>
        <v>260.29028006191834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12.347975403484631</v>
      </c>
      <c r="AV104" s="21">
        <f>EXP(-LN(2)/25)*AV103+(1-EXP(-LN(2)/25))/(LN(2)/25)*Calculateur!AQ104*Calculateur!AS104*VLOOKUP('Données projet'!$B$10,Paramètres!$A$1:$I$89,3,0)*0.475*44/12</f>
        <v>15.661431421718298</v>
      </c>
      <c r="AW104" s="21">
        <f>EXP(-LN(2)/2)*AW103+(1-EXP(-LN(2)/2))/(LN(2)/2)*AQ104*AT104*VLOOKUP('Données projet'!$B$10,Paramètres!$A$1:$I$89,3,0)*0.475*44/12</f>
        <v>4.048884384280858</v>
      </c>
      <c r="AX104" s="21">
        <f t="shared" si="60"/>
        <v>32.058291209483791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-1.3596945791505279E-13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373.61861223558259</v>
      </c>
      <c r="BJ104" s="59">
        <f t="shared" si="92"/>
        <v>277.62293009761049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101.1188197873424</v>
      </c>
      <c r="BQ104" s="21">
        <f>EXP(-LN(2)/25)*BQ103+(1-EXP(-LN(2)/25))/(LN(2)/25)*Calculateur!BL104*Calculateur!BN104*VLOOKUP('Données projet'!$B$11,Paramètres!$A$1:$I$89,3,0)*0.475*44/12</f>
        <v>28.906661086403279</v>
      </c>
      <c r="BR104" s="21">
        <f>EXP(-LN(2)/2)*BR103+(1-EXP(-LN(2)/2))/(LN(2)/2)*BL104*BO104*VLOOKUP('Données projet'!$B$11,Paramètres!$A$1:$I$89,3,0)*0.475*44/12</f>
        <v>4.8832243815899928E-2</v>
      </c>
      <c r="BS104" s="22">
        <f t="shared" si="63"/>
        <v>130.07431311756159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8.5265128291212022E-14</v>
      </c>
      <c r="BZ104" s="13">
        <f>BY104*VLOOKUP('Données projet'!$B$12,Paramètres!$A$1:$I$89,3,0)*VLOOKUP('Données projet'!$B$12,Paramètres!$A$1:$I$89,5,0)</f>
        <v>7.4487616075202836E-14</v>
      </c>
      <c r="CA104" s="13">
        <f t="shared" si="93"/>
        <v>1.1580453144473142E-12</v>
      </c>
      <c r="CB104" s="20">
        <f t="shared" si="64"/>
        <v>2.1466615206600508E-12</v>
      </c>
      <c r="CC104" s="59">
        <f t="shared" si="65"/>
        <v>277.68039254707656</v>
      </c>
      <c r="CD104" s="59">
        <f ca="1">AVERAGE(OFFSET($CC$3,0,0,'Données projet'!$E$12+1,1))-AVERAGE(OFFSET($H$3,0,0,'Données projet'!$E$12+1,1))</f>
        <v>251.30277097589737</v>
      </c>
      <c r="CE104" s="59">
        <f t="shared" si="94"/>
        <v>224.11983819941796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14.585281356194482</v>
      </c>
      <c r="CL104" s="21">
        <f>EXP(-LN(2)/25)*CL103+(1-EXP(-LN(2)/25))/(LN(2)/25)*Calculateur!CG104*Calculateur!CI104*VLOOKUP('Données projet'!$B$12,Paramètres!$A$1:$I$89,3,0)*0.475*44/12</f>
        <v>36.946617691376865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51.531899047571343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2.8421709430404007E-14</v>
      </c>
      <c r="CU104" s="17">
        <f>CT104*VLOOKUP('Données projet'!$B$13,Paramètres!$A$1:$I$89,3,0)*VLOOKUP('Données projet'!$B$13,Paramètres!$A$1:$I$89,5,0)</f>
        <v>2.4829205358400945E-14</v>
      </c>
      <c r="CV104" s="13">
        <f t="shared" si="95"/>
        <v>4.3867331143352915E-13</v>
      </c>
      <c r="CW104" s="20">
        <f t="shared" si="67"/>
        <v>8.0726688341261168E-13</v>
      </c>
      <c r="CX104" s="59">
        <f t="shared" si="68"/>
        <v>277.6803925470752</v>
      </c>
      <c r="CY104" s="59">
        <f ca="1">AVERAGE(OFFSET($CX$3,0,0,'Données projet'!$E$13+1,1))-AVERAGE(OFFSET($H$3,0,0,'Données projet'!$E$13+1,1))</f>
        <v>287.28439432670405</v>
      </c>
      <c r="CZ104" s="59">
        <f t="shared" si="96"/>
        <v>276.01618888357268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21.762776661701768</v>
      </c>
      <c r="DG104" s="21">
        <f>EXP(-LN(2)/25)*DG103+(1-EXP(-LN(2)/25))/(LN(2)/25)*Calculateur!DB104*Calculateur!DD104*VLOOKUP('Données projet'!$B$13,Paramètres!$A$1:$I$89,3,0)*0.475*44/12</f>
        <v>20.388239555839981</v>
      </c>
      <c r="DH104" s="21">
        <f>EXP(-LN(2)/2)*DH103+(1-EXP(-LN(2)/2))/(LN(2)/2)*DB104*DE104*VLOOKUP('Données projet'!$B$13,Paramètres!$A$1:$I$89,3,0)*0.475*44/12</f>
        <v>3.1382311586803546E-2</v>
      </c>
      <c r="DI104" s="22">
        <f t="shared" si="69"/>
        <v>42.182398529128555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1.9230769230769227</v>
      </c>
      <c r="DO104" s="12">
        <f>IF('Données projet'!$A$166&gt;35,DO103+DN104-DW103,IF(A104&lt;'Données projet'!$A$166,$DL$205^A104,IF(A104='Données projet'!$A$166,'Données projet'!$B$166,DO103+DN104-DW103)))</f>
        <v>105.12820512820508</v>
      </c>
      <c r="DP104" s="17">
        <f>DO104*VLOOKUP('Données projet'!$B$14,Paramètres!$A$1:$I$89,3,0)*VLOOKUP('Données projet'!$B$14,Paramètres!$A$1:$I$89,5,0)</f>
        <v>101.67999999999996</v>
      </c>
      <c r="DQ104" s="13">
        <f t="shared" si="97"/>
        <v>27.361845471196556</v>
      </c>
      <c r="DR104" s="20">
        <f t="shared" si="70"/>
        <v>224.74788086233397</v>
      </c>
      <c r="DS104" s="59">
        <f t="shared" si="71"/>
        <v>502.42827340940835</v>
      </c>
      <c r="DT104" s="59">
        <f ca="1">AVERAGE(OFFSET($DS$3,0,0,'Données projet'!$E$14+1,1))-AVERAGE(OFFSET($H$3,0,0,'Données projet'!$E$14+1,1))</f>
        <v>206.5245935130306</v>
      </c>
      <c r="DU104" s="59">
        <f t="shared" si="98"/>
        <v>130.57011290898546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4.5682924554672821</v>
      </c>
      <c r="EC104" s="21">
        <f>EXP(-LN(2)/2)*EC103+(1-EXP(-LN(2)/2))/(LN(2)/2)*DW104*DZ104*VLOOKUP('Données projet'!$B$14,Paramètres!$A$1:$I$89,3,0)*0.475*44/12</f>
        <v>1.1305874924613584</v>
      </c>
      <c r="ED104" s="22">
        <f t="shared" si="72"/>
        <v>5.6988799479286403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9.1833333333333318</v>
      </c>
      <c r="EJ104" s="12">
        <f>IF('Données projet'!$A$192&gt;35,EJ103+EI104-ER103,IF(A104&lt;'Données projet'!$A$192,$EG$205^A104,IF(A104='Données projet'!$A$192,'Données projet'!$B$192,EJ103+EI104-ER103)))</f>
        <v>397.89333333333326</v>
      </c>
      <c r="EK104" s="17">
        <f>EJ104*VLOOKUP('Données projet'!$B$15,Paramètres!$A$1:$I$89,3,0)*VLOOKUP('Données projet'!$B$15,Paramètres!$A$1:$I$89,5,0)</f>
        <v>186.21407999999997</v>
      </c>
      <c r="EL104" s="13">
        <f t="shared" si="99"/>
        <v>46.70196174472121</v>
      </c>
      <c r="EM104" s="20">
        <f t="shared" si="73"/>
        <v>405.6621060387227</v>
      </c>
      <c r="EN104" s="59">
        <f t="shared" si="74"/>
        <v>683.3424985857971</v>
      </c>
      <c r="EO104" s="59">
        <f ca="1">AVERAGE(OFFSET($EN$3,0,0,'Données projet'!$E$15+1,1))-AVERAGE(OFFSET($H$3,0,0,'Données projet'!$E$15+1,1))</f>
        <v>374.38106339726073</v>
      </c>
      <c r="EP104" s="59">
        <f t="shared" si="100"/>
        <v>296.53283288925957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58.499251165327401</v>
      </c>
      <c r="EW104" s="21">
        <f>EXP(-LN(2)/25)*EW103+(1-EXP(-LN(2)/25))/(LN(2)/25)*Calculateur!ER104*Calculateur!ET104*VLOOKUP('Données projet'!$B$15,Paramètres!$A$1:$I$89,3,0)*0.475*44/12</f>
        <v>20.671948537783638</v>
      </c>
      <c r="EX104" s="21">
        <f>EXP(-LN(2)/2)*EX103+(1-EXP(-LN(2)/2))/(LN(2)/2)*ER104*EU104*VLOOKUP('Données projet'!$B$15,Paramètres!$A$1:$I$89,3,0)*0.475*44/12</f>
        <v>2.4404172718252837</v>
      </c>
      <c r="EY104" s="22">
        <f t="shared" si="75"/>
        <v>81.611616974936325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9">
        <f t="shared" si="55"/>
        <v>1024.8201460246814</v>
      </c>
      <c r="S105" s="59">
        <f ca="1">AVERAGE(OFFSET($R$3,0,0,'Données projet'!$E$9+1,1))-AVERAGE(OFFSET($H$3,0,0,'Données projet'!$E$9+1,1))</f>
        <v>681.47578137804555</v>
      </c>
      <c r="T105" s="59">
        <f t="shared" si="88"/>
        <v>300.88511065995885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270.19999999999993</v>
      </c>
      <c r="AJ105" s="13">
        <f>AI105*VLOOKUP('Données projet'!$B$10,Paramètres!$A$1:$I$89,3,0)*VLOOKUP('Données projet'!$B$10,Paramètres!$A$1:$I$89,5,0)</f>
        <v>257.12231999999995</v>
      </c>
      <c r="AK105" s="13">
        <f t="shared" si="89"/>
        <v>62.108576103251544</v>
      </c>
      <c r="AL105" s="20">
        <f t="shared" si="58"/>
        <v>555.99381071316304</v>
      </c>
      <c r="AM105" s="59">
        <f t="shared" si="59"/>
        <v>833.94574678814593</v>
      </c>
      <c r="AN105" s="59">
        <f ca="1">AVERAGE(OFFSET($AM$3,0,0,'Données projet'!$E$10+1,1))-AVERAGE(OFFSET($H$3,0,0,'Données projet'!$E$10+1,1))</f>
        <v>423.80243030843661</v>
      </c>
      <c r="AO105" s="59">
        <f t="shared" si="90"/>
        <v>260.29028006191834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12.105839137343617</v>
      </c>
      <c r="AV105" s="21">
        <f>EXP(-LN(2)/25)*AV104+(1-EXP(-LN(2)/25))/(LN(2)/25)*Calculateur!AQ105*Calculateur!AS105*VLOOKUP('Données projet'!$B$10,Paramètres!$A$1:$I$89,3,0)*0.475*44/12</f>
        <v>15.233168755892528</v>
      </c>
      <c r="AW105" s="21">
        <f>EXP(-LN(2)/2)*AW104+(1-EXP(-LN(2)/2))/(LN(2)/2)*AQ105*AT105*VLOOKUP('Données projet'!$B$10,Paramètres!$A$1:$I$89,3,0)*0.475*44/12</f>
        <v>2.8629936043653141</v>
      </c>
      <c r="AX105" s="21">
        <f t="shared" si="60"/>
        <v>30.202001497601458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-1.3596945791505279E-13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373.61861223558259</v>
      </c>
      <c r="BJ105" s="59">
        <f t="shared" si="92"/>
        <v>277.62293009761049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99.135941407702646</v>
      </c>
      <c r="BQ105" s="21">
        <f>EXP(-LN(2)/25)*BQ104+(1-EXP(-LN(2)/25))/(LN(2)/25)*Calculateur!BL105*Calculateur!BN105*VLOOKUP('Données projet'!$B$11,Paramètres!$A$1:$I$89,3,0)*0.475*44/12</f>
        <v>28.116206918860343</v>
      </c>
      <c r="BR105" s="21">
        <f>EXP(-LN(2)/2)*BR104+(1-EXP(-LN(2)/2))/(LN(2)/2)*BL105*BO105*VLOOKUP('Données projet'!$B$11,Paramètres!$A$1:$I$89,3,0)*0.475*44/12</f>
        <v>3.4529610742777689E-2</v>
      </c>
      <c r="BS105" s="22">
        <f t="shared" si="63"/>
        <v>127.28667793730577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8.5265128291212022E-14</v>
      </c>
      <c r="BZ105" s="13">
        <f>BY105*VLOOKUP('Données projet'!$B$12,Paramètres!$A$1:$I$89,3,0)*VLOOKUP('Données projet'!$B$12,Paramètres!$A$1:$I$89,5,0)</f>
        <v>7.4487616075202836E-14</v>
      </c>
      <c r="CA105" s="13">
        <f t="shared" si="93"/>
        <v>1.1580453144473142E-12</v>
      </c>
      <c r="CB105" s="20">
        <f t="shared" si="64"/>
        <v>2.1466615206600508E-12</v>
      </c>
      <c r="CC105" s="59">
        <f t="shared" si="65"/>
        <v>277.9519360749851</v>
      </c>
      <c r="CD105" s="59">
        <f ca="1">AVERAGE(OFFSET($CC$3,0,0,'Données projet'!$E$12+1,1))-AVERAGE(OFFSET($H$3,0,0,'Données projet'!$E$12+1,1))</f>
        <v>251.30277097589737</v>
      </c>
      <c r="CE105" s="59">
        <f t="shared" si="94"/>
        <v>224.11983819941796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14.299272884942715</v>
      </c>
      <c r="CL105" s="21">
        <f>EXP(-LN(2)/25)*CL104+(1-EXP(-LN(2)/25))/(LN(2)/25)*Calculateur!CG105*Calculateur!CI105*VLOOKUP('Données projet'!$B$12,Paramètres!$A$1:$I$89,3,0)*0.475*44/12</f>
        <v>35.936310487667981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50.235583372610698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2.8421709430404007E-14</v>
      </c>
      <c r="CU105" s="17">
        <f>CT105*VLOOKUP('Données projet'!$B$13,Paramètres!$A$1:$I$89,3,0)*VLOOKUP('Données projet'!$B$13,Paramètres!$A$1:$I$89,5,0)</f>
        <v>2.4829205358400945E-14</v>
      </c>
      <c r="CV105" s="13">
        <f t="shared" si="95"/>
        <v>4.3867331143352915E-13</v>
      </c>
      <c r="CW105" s="20">
        <f t="shared" si="67"/>
        <v>8.0726688341261168E-13</v>
      </c>
      <c r="CX105" s="59">
        <f t="shared" si="68"/>
        <v>277.95193607498373</v>
      </c>
      <c r="CY105" s="59">
        <f ca="1">AVERAGE(OFFSET($CX$3,0,0,'Données projet'!$E$13+1,1))-AVERAGE(OFFSET($H$3,0,0,'Données projet'!$E$13+1,1))</f>
        <v>287.28439432670405</v>
      </c>
      <c r="CZ105" s="59">
        <f t="shared" si="96"/>
        <v>276.01618888357268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21.336021885348863</v>
      </c>
      <c r="DG105" s="21">
        <f>EXP(-LN(2)/25)*DG104+(1-EXP(-LN(2)/25))/(LN(2)/25)*Calculateur!DB105*Calculateur!DD105*VLOOKUP('Données projet'!$B$13,Paramètres!$A$1:$I$89,3,0)*0.475*44/12</f>
        <v>19.830722073014616</v>
      </c>
      <c r="DH105" s="21">
        <f>EXP(-LN(2)/2)*DH104+(1-EXP(-LN(2)/2))/(LN(2)/2)*DB105*DE105*VLOOKUP('Données projet'!$B$13,Paramètres!$A$1:$I$89,3,0)*0.475*44/12</f>
        <v>2.2190645332337951E-2</v>
      </c>
      <c r="DI105" s="22">
        <f t="shared" si="69"/>
        <v>41.18893460369582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1.9230769230769227</v>
      </c>
      <c r="DO105" s="12">
        <f>IF('Données projet'!$A$166&gt;35,DO104+DN105-DW104,IF(A105&lt;'Données projet'!$A$166,$DL$205^A105,IF(A105='Données projet'!$A$166,'Données projet'!$B$166,DO104+DN105-DW104)))</f>
        <v>107.051282051282</v>
      </c>
      <c r="DP105" s="17">
        <f>DO105*VLOOKUP('Données projet'!$B$14,Paramètres!$A$1:$I$89,3,0)*VLOOKUP('Données projet'!$B$14,Paramètres!$A$1:$I$89,5,0)</f>
        <v>103.53999999999996</v>
      </c>
      <c r="DQ105" s="13">
        <f t="shared" si="97"/>
        <v>27.80363865322208</v>
      </c>
      <c r="DR105" s="20">
        <f t="shared" si="70"/>
        <v>228.75683732102837</v>
      </c>
      <c r="DS105" s="59">
        <f t="shared" si="71"/>
        <v>506.70877339601134</v>
      </c>
      <c r="DT105" s="59">
        <f ca="1">AVERAGE(OFFSET($DS$3,0,0,'Données projet'!$E$14+1,1))-AVERAGE(OFFSET($H$3,0,0,'Données projet'!$E$14+1,1))</f>
        <v>206.5245935130306</v>
      </c>
      <c r="DU105" s="59">
        <f t="shared" si="98"/>
        <v>130.57011290898546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4.4433722580364696</v>
      </c>
      <c r="EC105" s="21">
        <f>EXP(-LN(2)/2)*EC104+(1-EXP(-LN(2)/2))/(LN(2)/2)*DW105*DZ105*VLOOKUP('Données projet'!$B$14,Paramètres!$A$1:$I$89,3,0)*0.475*44/12</f>
        <v>0.7994460826441212</v>
      </c>
      <c r="ED105" s="22">
        <f t="shared" si="72"/>
        <v>5.242818340680591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9.1833333333333318</v>
      </c>
      <c r="EJ105" s="12">
        <f>IF('Données projet'!$A$192&gt;35,EJ104+EI105-ER104,IF(A105&lt;'Données projet'!$A$192,$EG$205^A105,IF(A105='Données projet'!$A$192,'Données projet'!$B$192,EJ104+EI105-ER104)))</f>
        <v>407.0766666666666</v>
      </c>
      <c r="EK105" s="17">
        <f>EJ105*VLOOKUP('Données projet'!$B$15,Paramètres!$A$1:$I$89,3,0)*VLOOKUP('Données projet'!$B$15,Paramètres!$A$1:$I$89,5,0)</f>
        <v>190.51187999999996</v>
      </c>
      <c r="EL105" s="13">
        <f t="shared" si="99"/>
        <v>47.653104524596984</v>
      </c>
      <c r="EM105" s="20">
        <f t="shared" si="73"/>
        <v>414.80401471367298</v>
      </c>
      <c r="EN105" s="59">
        <f t="shared" si="74"/>
        <v>692.75595078865592</v>
      </c>
      <c r="EO105" s="59">
        <f ca="1">AVERAGE(OFFSET($EN$3,0,0,'Données projet'!$E$15+1,1))-AVERAGE(OFFSET($H$3,0,0,'Données projet'!$E$15+1,1))</f>
        <v>374.38106339726073</v>
      </c>
      <c r="EP105" s="59">
        <f t="shared" si="100"/>
        <v>296.53283288925957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57.352116530995332</v>
      </c>
      <c r="EW105" s="21">
        <f>EXP(-LN(2)/25)*EW104+(1-EXP(-LN(2)/25))/(LN(2)/25)*Calculateur!ER105*Calculateur!ET105*VLOOKUP('Données projet'!$B$15,Paramètres!$A$1:$I$89,3,0)*0.475*44/12</f>
        <v>20.106673017927417</v>
      </c>
      <c r="EX105" s="21">
        <f>EXP(-LN(2)/2)*EX104+(1-EXP(-LN(2)/2))/(LN(2)/2)*ER105*EU105*VLOOKUP('Données projet'!$B$15,Paramètres!$A$1:$I$89,3,0)*0.475*44/12</f>
        <v>1.7256356018324321</v>
      </c>
      <c r="EY105" s="22">
        <f t="shared" si="75"/>
        <v>79.184425150755189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9">
        <f t="shared" si="55"/>
        <v>1042.0781730865915</v>
      </c>
      <c r="S106" s="59">
        <f ca="1">AVERAGE(OFFSET($R$3,0,0,'Données projet'!$E$9+1,1))-AVERAGE(OFFSET($H$3,0,0,'Données projet'!$E$9+1,1))</f>
        <v>681.47578137804555</v>
      </c>
      <c r="T106" s="59">
        <f t="shared" si="88"/>
        <v>300.88511065995885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274.79999999999995</v>
      </c>
      <c r="AJ106" s="13">
        <f>AI106*VLOOKUP('Données projet'!$B$10,Paramètres!$A$1:$I$89,3,0)*VLOOKUP('Données projet'!$B$10,Paramètres!$A$1:$I$89,5,0)</f>
        <v>261.49967999999996</v>
      </c>
      <c r="AK106" s="13">
        <f t="shared" si="89"/>
        <v>63.041942045518894</v>
      </c>
      <c r="AL106" s="20">
        <f t="shared" si="58"/>
        <v>565.24332506261192</v>
      </c>
      <c r="AM106" s="59">
        <f t="shared" si="59"/>
        <v>843.46209399237455</v>
      </c>
      <c r="AN106" s="59">
        <f ca="1">AVERAGE(OFFSET($AM$3,0,0,'Données projet'!$E$10+1,1))-AVERAGE(OFFSET($H$3,0,0,'Données projet'!$E$10+1,1))</f>
        <v>423.80243030843661</v>
      </c>
      <c r="AO106" s="59">
        <f t="shared" si="90"/>
        <v>260.29028006191834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11.86845101569309</v>
      </c>
      <c r="AV106" s="21">
        <f>EXP(-LN(2)/25)*AV105+(1-EXP(-LN(2)/25))/(LN(2)/25)*Calculateur!AQ106*Calculateur!AS106*VLOOKUP('Données projet'!$B$10,Paramètres!$A$1:$I$89,3,0)*0.475*44/12</f>
        <v>14.816616955185118</v>
      </c>
      <c r="AW106" s="21">
        <f>EXP(-LN(2)/2)*AW105+(1-EXP(-LN(2)/2))/(LN(2)/2)*AQ106*AT106*VLOOKUP('Données projet'!$B$10,Paramètres!$A$1:$I$89,3,0)*0.475*44/12</f>
        <v>2.0244421921404294</v>
      </c>
      <c r="AX106" s="21">
        <f t="shared" si="60"/>
        <v>28.709510163018638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-1.3596945791505279E-13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373.61861223558259</v>
      </c>
      <c r="BJ106" s="59">
        <f t="shared" si="92"/>
        <v>277.62293009761049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97.191946063651244</v>
      </c>
      <c r="BQ106" s="21">
        <f>EXP(-LN(2)/25)*BQ105+(1-EXP(-LN(2)/25))/(LN(2)/25)*Calculateur!BL106*Calculateur!BN106*VLOOKUP('Données projet'!$B$11,Paramètres!$A$1:$I$89,3,0)*0.475*44/12</f>
        <v>27.347367762097043</v>
      </c>
      <c r="BR106" s="21">
        <f>EXP(-LN(2)/2)*BR105+(1-EXP(-LN(2)/2))/(LN(2)/2)*BL106*BO106*VLOOKUP('Données projet'!$B$11,Paramètres!$A$1:$I$89,3,0)*0.475*44/12</f>
        <v>2.4416121907949964E-2</v>
      </c>
      <c r="BS106" s="22">
        <f t="shared" si="63"/>
        <v>124.56372994765623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8.5265128291212022E-14</v>
      </c>
      <c r="BZ106" s="13">
        <f>BY106*VLOOKUP('Données projet'!$B$12,Paramètres!$A$1:$I$89,3,0)*VLOOKUP('Données projet'!$B$12,Paramètres!$A$1:$I$89,5,0)</f>
        <v>7.4487616075202836E-14</v>
      </c>
      <c r="CA106" s="13">
        <f t="shared" si="93"/>
        <v>1.1580453144473142E-12</v>
      </c>
      <c r="CB106" s="20">
        <f t="shared" si="64"/>
        <v>2.1466615206600508E-12</v>
      </c>
      <c r="CC106" s="59">
        <f t="shared" si="65"/>
        <v>278.21876892976485</v>
      </c>
      <c r="CD106" s="59">
        <f ca="1">AVERAGE(OFFSET($CC$3,0,0,'Données projet'!$E$12+1,1))-AVERAGE(OFFSET($H$3,0,0,'Données projet'!$E$12+1,1))</f>
        <v>251.30277097589737</v>
      </c>
      <c r="CE106" s="59">
        <f t="shared" si="94"/>
        <v>224.11983819941796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14.018872865364251</v>
      </c>
      <c r="CL106" s="21">
        <f>EXP(-LN(2)/25)*CL105+(1-EXP(-LN(2)/25))/(LN(2)/25)*Calculateur!CG106*Calculateur!CI106*VLOOKUP('Données projet'!$B$12,Paramètres!$A$1:$I$89,3,0)*0.475*44/12</f>
        <v>34.953630187574262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48.972503052938514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2.8421709430404007E-14</v>
      </c>
      <c r="CU106" s="17">
        <f>CT106*VLOOKUP('Données projet'!$B$13,Paramètres!$A$1:$I$89,3,0)*VLOOKUP('Données projet'!$B$13,Paramètres!$A$1:$I$89,5,0)</f>
        <v>2.4829205358400945E-14</v>
      </c>
      <c r="CV106" s="13">
        <f t="shared" si="95"/>
        <v>4.3867331143352915E-13</v>
      </c>
      <c r="CW106" s="20">
        <f t="shared" si="67"/>
        <v>8.0726688341261168E-13</v>
      </c>
      <c r="CX106" s="59">
        <f t="shared" si="68"/>
        <v>278.21876892976348</v>
      </c>
      <c r="CY106" s="59">
        <f ca="1">AVERAGE(OFFSET($CX$3,0,0,'Données projet'!$E$13+1,1))-AVERAGE(OFFSET($H$3,0,0,'Données projet'!$E$13+1,1))</f>
        <v>287.28439432670405</v>
      </c>
      <c r="CZ106" s="59">
        <f t="shared" si="96"/>
        <v>276.01618888357268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20.917635509865526</v>
      </c>
      <c r="DG106" s="21">
        <f>EXP(-LN(2)/25)*DG105+(1-EXP(-LN(2)/25))/(LN(2)/25)*Calculateur!DB106*Calculateur!DD106*VLOOKUP('Données projet'!$B$13,Paramètres!$A$1:$I$89,3,0)*0.475*44/12</f>
        <v>19.288449935075683</v>
      </c>
      <c r="DH106" s="21">
        <f>EXP(-LN(2)/2)*DH105+(1-EXP(-LN(2)/2))/(LN(2)/2)*DB106*DE106*VLOOKUP('Données projet'!$B$13,Paramètres!$A$1:$I$89,3,0)*0.475*44/12</f>
        <v>1.5691155793401773E-2</v>
      </c>
      <c r="DI106" s="22">
        <f t="shared" si="69"/>
        <v>40.221776600734614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1.9230769230769227</v>
      </c>
      <c r="DO106" s="12">
        <f>IF('Données projet'!$A$166&gt;35,DO105+DN106-DW105,IF(A106&lt;'Données projet'!$A$166,$DL$205^A106,IF(A106='Données projet'!$A$166,'Données projet'!$B$166,DO105+DN106-DW105)))</f>
        <v>108.97435897435892</v>
      </c>
      <c r="DP106" s="17">
        <f>DO106*VLOOKUP('Données projet'!$B$14,Paramètres!$A$1:$I$89,3,0)*VLOOKUP('Données projet'!$B$14,Paramètres!$A$1:$I$89,5,0)</f>
        <v>105.39999999999995</v>
      </c>
      <c r="DQ106" s="13">
        <f t="shared" si="97"/>
        <v>28.24450895045814</v>
      </c>
      <c r="DR106" s="20">
        <f t="shared" si="70"/>
        <v>232.76418642204783</v>
      </c>
      <c r="DS106" s="59">
        <f t="shared" si="71"/>
        <v>510.98295535181052</v>
      </c>
      <c r="DT106" s="59">
        <f ca="1">AVERAGE(OFFSET($DS$3,0,0,'Données projet'!$E$14+1,1))-AVERAGE(OFFSET($H$3,0,0,'Données projet'!$E$14+1,1))</f>
        <v>206.5245935130306</v>
      </c>
      <c r="DU106" s="59">
        <f t="shared" si="98"/>
        <v>130.57011290898546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4.321868009973671</v>
      </c>
      <c r="EC106" s="21">
        <f>EXP(-LN(2)/2)*EC105+(1-EXP(-LN(2)/2))/(LN(2)/2)*DW106*DZ106*VLOOKUP('Données projet'!$B$14,Paramètres!$A$1:$I$89,3,0)*0.475*44/12</f>
        <v>0.56529374623067918</v>
      </c>
      <c r="ED106" s="22">
        <f t="shared" si="72"/>
        <v>4.8871617562043506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9.1833333333333318</v>
      </c>
      <c r="EJ106" s="12">
        <f>IF('Données projet'!$A$192&gt;35,EJ105+EI106-ER105,IF(A106&lt;'Données projet'!$A$192,$EG$205^A106,IF(A106='Données projet'!$A$192,'Données projet'!$B$192,EJ105+EI106-ER105)))</f>
        <v>416.25999999999993</v>
      </c>
      <c r="EK106" s="17">
        <f>EJ106*VLOOKUP('Données projet'!$B$15,Paramètres!$A$1:$I$89,3,0)*VLOOKUP('Données projet'!$B$15,Paramètres!$A$1:$I$89,5,0)</f>
        <v>194.80967999999996</v>
      </c>
      <c r="EL106" s="13">
        <f t="shared" si="99"/>
        <v>48.601752757478572</v>
      </c>
      <c r="EM106" s="20">
        <f t="shared" si="73"/>
        <v>423.94157871927513</v>
      </c>
      <c r="EN106" s="59">
        <f t="shared" si="74"/>
        <v>702.16034764903782</v>
      </c>
      <c r="EO106" s="59">
        <f ca="1">AVERAGE(OFFSET($EN$3,0,0,'Données projet'!$E$15+1,1))-AVERAGE(OFFSET($H$3,0,0,'Données projet'!$E$15+1,1))</f>
        <v>374.38106339726073</v>
      </c>
      <c r="EP106" s="59">
        <f t="shared" si="100"/>
        <v>296.53283288925957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56.22747650715948</v>
      </c>
      <c r="EW106" s="21">
        <f>EXP(-LN(2)/25)*EW105+(1-EXP(-LN(2)/25))/(LN(2)/25)*Calculateur!ER106*Calculateur!ET106*VLOOKUP('Données projet'!$B$15,Paramètres!$A$1:$I$89,3,0)*0.475*44/12</f>
        <v>19.556854986888212</v>
      </c>
      <c r="EX106" s="21">
        <f>EXP(-LN(2)/2)*EX105+(1-EXP(-LN(2)/2))/(LN(2)/2)*ER106*EU106*VLOOKUP('Données projet'!$B$15,Paramètres!$A$1:$I$89,3,0)*0.475*44/12</f>
        <v>1.2202086359126418</v>
      </c>
      <c r="EY106" s="22">
        <f t="shared" si="75"/>
        <v>77.004540129960333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9">
        <f t="shared" si="55"/>
        <v>1059.3239055063366</v>
      </c>
      <c r="S107" s="59">
        <f ca="1">AVERAGE(OFFSET($R$3,0,0,'Données projet'!$E$9+1,1))-AVERAGE(OFFSET($H$3,0,0,'Données projet'!$E$9+1,1))</f>
        <v>681.47578137804555</v>
      </c>
      <c r="T107" s="59">
        <f t="shared" si="88"/>
        <v>300.88511065995885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279.39999999999998</v>
      </c>
      <c r="AJ107" s="13">
        <f>AI107*VLOOKUP('Données projet'!$B$10,Paramètres!$A$1:$I$89,3,0)*VLOOKUP('Données projet'!$B$10,Paramètres!$A$1:$I$89,5,0)</f>
        <v>265.87703999999997</v>
      </c>
      <c r="AK107" s="13">
        <f t="shared" si="89"/>
        <v>63.973491031659954</v>
      </c>
      <c r="AL107" s="20">
        <f t="shared" si="58"/>
        <v>574.48967488014102</v>
      </c>
      <c r="AM107" s="59">
        <f t="shared" si="59"/>
        <v>852.97064771120199</v>
      </c>
      <c r="AN107" s="59">
        <f ca="1">AVERAGE(OFFSET($AM$3,0,0,'Données projet'!$E$10+1,1))-AVERAGE(OFFSET($H$3,0,0,'Données projet'!$E$10+1,1))</f>
        <v>423.80243030843661</v>
      </c>
      <c r="AO107" s="59">
        <f t="shared" si="90"/>
        <v>260.29028006191834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11.635717930315671</v>
      </c>
      <c r="AV107" s="21">
        <f>EXP(-LN(2)/25)*AV106+(1-EXP(-LN(2)/25))/(LN(2)/25)*Calculateur!AQ107*Calculateur!AS107*VLOOKUP('Données projet'!$B$10,Paramètres!$A$1:$I$89,3,0)*0.475*44/12</f>
        <v>14.41145578537356</v>
      </c>
      <c r="AW107" s="21">
        <f>EXP(-LN(2)/2)*AW106+(1-EXP(-LN(2)/2))/(LN(2)/2)*AQ107*AT107*VLOOKUP('Données projet'!$B$10,Paramètres!$A$1:$I$89,3,0)*0.475*44/12</f>
        <v>1.4314968021826573</v>
      </c>
      <c r="AX107" s="21">
        <f t="shared" si="60"/>
        <v>27.47867051787189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-1.3596945791505279E-13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373.61861223558259</v>
      </c>
      <c r="BJ107" s="59">
        <f t="shared" si="92"/>
        <v>277.62293009761049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95.2860712825766</v>
      </c>
      <c r="BQ107" s="21">
        <f>EXP(-LN(2)/25)*BQ106+(1-EXP(-LN(2)/25))/(LN(2)/25)*Calculateur!BL107*Calculateur!BN107*VLOOKUP('Données projet'!$B$11,Paramètres!$A$1:$I$89,3,0)*0.475*44/12</f>
        <v>26.599552552506932</v>
      </c>
      <c r="BR107" s="21">
        <f>EXP(-LN(2)/2)*BR106+(1-EXP(-LN(2)/2))/(LN(2)/2)*BL107*BO107*VLOOKUP('Données projet'!$B$11,Paramètres!$A$1:$I$89,3,0)*0.475*44/12</f>
        <v>1.7264805371388844E-2</v>
      </c>
      <c r="BS107" s="22">
        <f t="shared" si="63"/>
        <v>121.90288864045492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8.5265128291212022E-14</v>
      </c>
      <c r="BZ107" s="13">
        <f>BY107*VLOOKUP('Données projet'!$B$12,Paramètres!$A$1:$I$89,3,0)*VLOOKUP('Données projet'!$B$12,Paramètres!$A$1:$I$89,5,0)</f>
        <v>7.4487616075202836E-14</v>
      </c>
      <c r="CA107" s="13">
        <f t="shared" si="93"/>
        <v>1.1580453144473142E-12</v>
      </c>
      <c r="CB107" s="20">
        <f t="shared" si="64"/>
        <v>2.1466615206600508E-12</v>
      </c>
      <c r="CC107" s="59">
        <f t="shared" si="65"/>
        <v>278.48097283106307</v>
      </c>
      <c r="CD107" s="59">
        <f ca="1">AVERAGE(OFFSET($CC$3,0,0,'Données projet'!$E$12+1,1))-AVERAGE(OFFSET($H$3,0,0,'Données projet'!$E$12+1,1))</f>
        <v>251.30277097589737</v>
      </c>
      <c r="CE107" s="59">
        <f t="shared" si="94"/>
        <v>224.11983819941796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13.743971319142599</v>
      </c>
      <c r="CL107" s="21">
        <f>EXP(-LN(2)/25)*CL106+(1-EXP(-LN(2)/25))/(LN(2)/25)*Calculateur!CG107*Calculateur!CI107*VLOOKUP('Données projet'!$B$12,Paramètres!$A$1:$I$89,3,0)*0.475*44/12</f>
        <v>33.997821331963522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47.741792651106124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2.8421709430404007E-14</v>
      </c>
      <c r="CU107" s="17">
        <f>CT107*VLOOKUP('Données projet'!$B$13,Paramètres!$A$1:$I$89,3,0)*VLOOKUP('Données projet'!$B$13,Paramètres!$A$1:$I$89,5,0)</f>
        <v>2.4829205358400945E-14</v>
      </c>
      <c r="CV107" s="13">
        <f t="shared" si="95"/>
        <v>4.3867331143352915E-13</v>
      </c>
      <c r="CW107" s="20">
        <f t="shared" si="67"/>
        <v>8.0726688341261168E-13</v>
      </c>
      <c r="CX107" s="59">
        <f t="shared" si="68"/>
        <v>278.48097283106171</v>
      </c>
      <c r="CY107" s="59">
        <f ca="1">AVERAGE(OFFSET($CX$3,0,0,'Données projet'!$E$13+1,1))-AVERAGE(OFFSET($H$3,0,0,'Données projet'!$E$13+1,1))</f>
        <v>287.28439432670405</v>
      </c>
      <c r="CZ107" s="59">
        <f t="shared" si="96"/>
        <v>276.01618888357268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20.507453436014927</v>
      </c>
      <c r="DG107" s="21">
        <f>EXP(-LN(2)/25)*DG106+(1-EXP(-LN(2)/25))/(LN(2)/25)*Calculateur!DB107*Calculateur!DD107*VLOOKUP('Données projet'!$B$13,Paramètres!$A$1:$I$89,3,0)*0.475*44/12</f>
        <v>18.761006257265539</v>
      </c>
      <c r="DH107" s="21">
        <f>EXP(-LN(2)/2)*DH106+(1-EXP(-LN(2)/2))/(LN(2)/2)*DB107*DE107*VLOOKUP('Données projet'!$B$13,Paramètres!$A$1:$I$89,3,0)*0.475*44/12</f>
        <v>1.1095322666168975E-2</v>
      </c>
      <c r="DI107" s="22">
        <f t="shared" si="69"/>
        <v>39.279555015946634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1.9230769230769227</v>
      </c>
      <c r="DO107" s="12">
        <f>IF('Données projet'!$A$166&gt;35,DO106+DN107-DW106,IF(A107&lt;'Données projet'!$A$166,$DL$205^A107,IF(A107='Données projet'!$A$166,'Données projet'!$B$166,DO106+DN107-DW106)))</f>
        <v>110.89743589743584</v>
      </c>
      <c r="DP107" s="17">
        <f>DO107*VLOOKUP('Données projet'!$B$14,Paramètres!$A$1:$I$89,3,0)*VLOOKUP('Données projet'!$B$14,Paramètres!$A$1:$I$89,5,0)</f>
        <v>107.25999999999995</v>
      </c>
      <c r="DQ107" s="13">
        <f t="shared" si="97"/>
        <v>28.68447452806058</v>
      </c>
      <c r="DR107" s="20">
        <f t="shared" si="70"/>
        <v>236.76995980303874</v>
      </c>
      <c r="DS107" s="59">
        <f t="shared" si="71"/>
        <v>515.25093263409963</v>
      </c>
      <c r="DT107" s="59">
        <f ca="1">AVERAGE(OFFSET($DS$3,0,0,'Données projet'!$E$14+1,1))-AVERAGE(OFFSET($H$3,0,0,'Données projet'!$E$14+1,1))</f>
        <v>206.5245935130306</v>
      </c>
      <c r="DU107" s="59">
        <f t="shared" si="98"/>
        <v>130.57011290898546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4.2036863019637805</v>
      </c>
      <c r="EC107" s="21">
        <f>EXP(-LN(2)/2)*EC106+(1-EXP(-LN(2)/2))/(LN(2)/2)*DW107*DZ107*VLOOKUP('Données projet'!$B$14,Paramètres!$A$1:$I$89,3,0)*0.475*44/12</f>
        <v>0.3997230413220606</v>
      </c>
      <c r="ED107" s="22">
        <f t="shared" si="72"/>
        <v>4.6034093432858407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9.1833333333333318</v>
      </c>
      <c r="EJ107" s="12">
        <f>IF('Données projet'!$A$192&gt;35,EJ106+EI107-ER106,IF(A107&lt;'Données projet'!$A$192,$EG$205^A107,IF(A107='Données projet'!$A$192,'Données projet'!$B$192,EJ106+EI107-ER106)))</f>
        <v>425.44333333333327</v>
      </c>
      <c r="EK107" s="17">
        <f>EJ107*VLOOKUP('Données projet'!$B$15,Paramètres!$A$1:$I$89,3,0)*VLOOKUP('Données projet'!$B$15,Paramètres!$A$1:$I$89,5,0)</f>
        <v>199.10747999999998</v>
      </c>
      <c r="EL107" s="13">
        <f t="shared" si="99"/>
        <v>49.547967814034735</v>
      </c>
      <c r="EM107" s="20">
        <f t="shared" si="73"/>
        <v>433.0749049427771</v>
      </c>
      <c r="EN107" s="59">
        <f t="shared" si="74"/>
        <v>711.55587777383801</v>
      </c>
      <c r="EO107" s="59">
        <f ca="1">AVERAGE(OFFSET($EN$3,0,0,'Données projet'!$E$15+1,1))-AVERAGE(OFFSET($H$3,0,0,'Données projet'!$E$15+1,1))</f>
        <v>374.38106339726073</v>
      </c>
      <c r="EP107" s="59">
        <f t="shared" si="100"/>
        <v>296.53283288925957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55.124889988228368</v>
      </c>
      <c r="EW107" s="21">
        <f>EXP(-LN(2)/25)*EW106+(1-EXP(-LN(2)/25))/(LN(2)/25)*Calculateur!ER107*Calculateur!ET107*VLOOKUP('Données projet'!$B$15,Paramètres!$A$1:$I$89,3,0)*0.475*44/12</f>
        <v>19.022071758821447</v>
      </c>
      <c r="EX107" s="21">
        <f>EXP(-LN(2)/2)*EX106+(1-EXP(-LN(2)/2))/(LN(2)/2)*ER107*EU107*VLOOKUP('Données projet'!$B$15,Paramètres!$A$1:$I$89,3,0)*0.475*44/12</f>
        <v>0.86281780091621607</v>
      </c>
      <c r="EY107" s="22">
        <f t="shared" si="75"/>
        <v>75.009779547966033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9">
        <f t="shared" si="55"/>
        <v>950.7183796349741</v>
      </c>
      <c r="S108" s="59">
        <f ca="1">AVERAGE(OFFSET($R$3,0,0,'Données projet'!$E$9+1,1))-AVERAGE(OFFSET($H$3,0,0,'Données projet'!$E$9+1,1))</f>
        <v>681.47578137804555</v>
      </c>
      <c r="T108" s="59">
        <f t="shared" si="88"/>
        <v>300.88511065995885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284</v>
      </c>
      <c r="AG108" s="12">
        <f>VLOOKUP(A108,'Données projet'!$A$61:$I$81,9,0)</f>
        <v>4.5999999999999996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284</v>
      </c>
      <c r="AJ108" s="13">
        <f>AI108*VLOOKUP('Données projet'!$B$10,Paramètres!$A$1:$I$89,3,0)*VLOOKUP('Données projet'!$B$10,Paramètres!$A$1:$I$89,5,0)</f>
        <v>270.25440000000003</v>
      </c>
      <c r="AK108" s="13">
        <f t="shared" si="89"/>
        <v>64.903256428828314</v>
      </c>
      <c r="AL108" s="20">
        <f t="shared" si="58"/>
        <v>583.73291828020922</v>
      </c>
      <c r="AM108" s="59">
        <f t="shared" si="59"/>
        <v>862.47154636108098</v>
      </c>
      <c r="AN108" s="59">
        <f ca="1">AVERAGE(OFFSET($AM$3,0,0,'Données projet'!$E$10+1,1))-AVERAGE(OFFSET($H$3,0,0,'Données projet'!$E$10+1,1))</f>
        <v>423.80243030843661</v>
      </c>
      <c r="AO108" s="59">
        <f t="shared" si="90"/>
        <v>260.29028006191834</v>
      </c>
      <c r="AP108" s="15">
        <f>IF(ISNA(VLOOKUP(A108,'Données projet'!$A$61:$I$81,3,0)),0,VLOOKUP(A108,'Données projet'!$A$61:$I$81,3,0))</f>
        <v>17</v>
      </c>
      <c r="AQ108" s="15">
        <f>IF(ISNA(VLOOKUP(A108,'Données projet'!$A$61:$I$81,4,0)),0,VLOOKUP(A108,'Données projet'!$A$61:$I$81,4,0))</f>
        <v>20</v>
      </c>
      <c r="AR108" s="16">
        <f>IF(ISNA(VLOOKUP(A108,'Données projet'!$A$61:$I$81,5,0)),0%,VLOOKUP(A108,'Données projet'!$A$61:$I$81,5,0)*VLOOKUP('Données projet'!$B$10,Paramètres!$A$1:$I$89,7,0))</f>
        <v>0.1075</v>
      </c>
      <c r="AS108" s="16">
        <f>IF(ISNA(VLOOKUP(A108,'Données projet'!$A$61:$I$81,6,0)),0%,VLOOKUP(A108,'Données projet'!$A$61:$I$81,6,0)*VLOOKUP('Données projet'!$B$10,Paramètres!$A$1:$I$89,7,0))</f>
        <v>0.1075</v>
      </c>
      <c r="AT108" s="16">
        <f>IF(ISNA(VLOOKUP(A108,'Données projet'!$A$61:$I$81,7,0)),0%,VLOOKUP(A108,'Données projet'!$A$61:$I$81,7,0))</f>
        <v>0.25</v>
      </c>
      <c r="AU108" s="21">
        <f>EXP(-LN(2)/35)*AU107+(1-EXP(-LN(2)/35))/(LN(2)/35)*AQ108*AR108*VLOOKUP('Données projet'!$B$10,Paramètres!$A$1:$I$89,3,0)*0.475*44/12</f>
        <v>13.669274667090983</v>
      </c>
      <c r="AV108" s="21">
        <f>EXP(-LN(2)/25)*AV107+(1-EXP(-LN(2)/25))/(LN(2)/25)*Calculateur!AQ108*Calculateur!AS108*VLOOKUP('Données projet'!$B$10,Paramètres!$A$1:$I$89,3,0)*0.475*44/12</f>
        <v>16.270194560042544</v>
      </c>
      <c r="AW108" s="21">
        <f>EXP(-LN(2)/2)*AW107+(1-EXP(-LN(2)/2))/(LN(2)/2)*AQ108*AT108*VLOOKUP('Données projet'!$B$10,Paramètres!$A$1:$I$89,3,0)*0.475*44/12</f>
        <v>5.5015221557626521</v>
      </c>
      <c r="AX108" s="21">
        <f t="shared" si="60"/>
        <v>35.440991382896179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-1.3596945791505279E-13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373.61861223558259</v>
      </c>
      <c r="BJ108" s="59">
        <f t="shared" si="92"/>
        <v>277.62293009761049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93.417569543490004</v>
      </c>
      <c r="BQ108" s="21">
        <f>EXP(-LN(2)/25)*BQ107+(1-EXP(-LN(2)/25))/(LN(2)/25)*Calculateur!BL108*Calculateur!BN108*VLOOKUP('Données projet'!$B$11,Paramètres!$A$1:$I$89,3,0)*0.475*44/12</f>
        <v>25.872186389148954</v>
      </c>
      <c r="BR108" s="21">
        <f>EXP(-LN(2)/2)*BR107+(1-EXP(-LN(2)/2))/(LN(2)/2)*BL108*BO108*VLOOKUP('Données projet'!$B$11,Paramètres!$A$1:$I$89,3,0)*0.475*44/12</f>
        <v>1.2208060953974982E-2</v>
      </c>
      <c r="BS108" s="22">
        <f t="shared" si="63"/>
        <v>119.30196399359293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8.5265128291212022E-14</v>
      </c>
      <c r="BZ108" s="13">
        <f>BY108*VLOOKUP('Données projet'!$B$12,Paramètres!$A$1:$I$89,3,0)*VLOOKUP('Données projet'!$B$12,Paramètres!$A$1:$I$89,5,0)</f>
        <v>7.4487616075202836E-14</v>
      </c>
      <c r="CA108" s="13">
        <f t="shared" si="93"/>
        <v>1.1580453144473142E-12</v>
      </c>
      <c r="CB108" s="20">
        <f t="shared" si="64"/>
        <v>2.1466615206600508E-12</v>
      </c>
      <c r="CC108" s="59">
        <f t="shared" si="65"/>
        <v>278.73862808087392</v>
      </c>
      <c r="CD108" s="59">
        <f ca="1">AVERAGE(OFFSET($CC$3,0,0,'Données projet'!$E$12+1,1))-AVERAGE(OFFSET($H$3,0,0,'Données projet'!$E$12+1,1))</f>
        <v>251.30277097589737</v>
      </c>
      <c r="CE108" s="59">
        <f t="shared" si="94"/>
        <v>224.11983819941796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13.474460424568965</v>
      </c>
      <c r="CL108" s="21">
        <f>EXP(-LN(2)/25)*CL107+(1-EXP(-LN(2)/25))/(LN(2)/25)*Calculateur!CG108*Calculateur!CI108*VLOOKUP('Données projet'!$B$12,Paramètres!$A$1:$I$89,3,0)*0.475*44/12</f>
        <v>33.06814911977326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46.542609544342227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2.8421709430404007E-14</v>
      </c>
      <c r="CU108" s="17">
        <f>CT108*VLOOKUP('Données projet'!$B$13,Paramètres!$A$1:$I$89,3,0)*VLOOKUP('Données projet'!$B$13,Paramètres!$A$1:$I$89,5,0)</f>
        <v>2.4829205358400945E-14</v>
      </c>
      <c r="CV108" s="13">
        <f t="shared" si="95"/>
        <v>4.3867331143352915E-13</v>
      </c>
      <c r="CW108" s="20">
        <f t="shared" si="67"/>
        <v>8.0726688341261168E-13</v>
      </c>
      <c r="CX108" s="59">
        <f t="shared" si="68"/>
        <v>278.73862808087256</v>
      </c>
      <c r="CY108" s="59">
        <f ca="1">AVERAGE(OFFSET($CX$3,0,0,'Données projet'!$E$13+1,1))-AVERAGE(OFFSET($H$3,0,0,'Données projet'!$E$13+1,1))</f>
        <v>287.28439432670405</v>
      </c>
      <c r="CZ108" s="59">
        <f t="shared" si="96"/>
        <v>276.01618888357268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20.105314782446179</v>
      </c>
      <c r="DG108" s="21">
        <f>EXP(-LN(2)/25)*DG107+(1-EXP(-LN(2)/25))/(LN(2)/25)*Calculateur!DB108*Calculateur!DD108*VLOOKUP('Données projet'!$B$13,Paramètres!$A$1:$I$89,3,0)*0.475*44/12</f>
        <v>18.247985554562174</v>
      </c>
      <c r="DH108" s="21">
        <f>EXP(-LN(2)/2)*DH107+(1-EXP(-LN(2)/2))/(LN(2)/2)*DB108*DE108*VLOOKUP('Données projet'!$B$13,Paramètres!$A$1:$I$89,3,0)*0.475*44/12</f>
        <v>7.8455778967008866E-3</v>
      </c>
      <c r="DI108" s="22">
        <f t="shared" si="69"/>
        <v>38.361145914905052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112.82051282051282</v>
      </c>
      <c r="DM108" s="12">
        <f>VLOOKUP(A108,'Données projet'!$A$165:$I$185,9,0)</f>
        <v>1.9230769230769227</v>
      </c>
      <c r="DN108" s="12">
        <f t="array" ref="DN108">INDEX(DM:DM,MIN(IF(ISNUMBER(DM108:DM304),ROW(DM108:DM304),"")))</f>
        <v>1.9230769230769227</v>
      </c>
      <c r="DO108" s="12">
        <f>IF('Données projet'!$A$166&gt;35,DO107+DN108-DW107,IF(A108&lt;'Données projet'!$A$166,$DL$205^A108,IF(A108='Données projet'!$A$166,'Données projet'!$B$166,DO107+DN108-DW107)))</f>
        <v>112.82051282051276</v>
      </c>
      <c r="DP108" s="17">
        <f>DO108*VLOOKUP('Données projet'!$B$14,Paramètres!$A$1:$I$89,3,0)*VLOOKUP('Données projet'!$B$14,Paramètres!$A$1:$I$89,5,0)</f>
        <v>109.11999999999995</v>
      </c>
      <c r="DQ108" s="13">
        <f t="shared" si="97"/>
        <v>29.123552885085918</v>
      </c>
      <c r="DR108" s="20">
        <f t="shared" si="70"/>
        <v>240.7741879415245</v>
      </c>
      <c r="DS108" s="59">
        <f t="shared" si="71"/>
        <v>519.51281602239624</v>
      </c>
      <c r="DT108" s="59">
        <f ca="1">AVERAGE(OFFSET($DS$3,0,0,'Données projet'!$E$14+1,1))-AVERAGE(OFFSET($H$3,0,0,'Données projet'!$E$14+1,1))</f>
        <v>206.5245935130306</v>
      </c>
      <c r="DU108" s="59">
        <f t="shared" si="98"/>
        <v>130.57011290898546</v>
      </c>
      <c r="DV108" s="15">
        <f>IF(ISNA(VLOOKUP(A108,'Données projet'!$A$165:$I$185,3,0)),0,VLOOKUP(A108,'Données projet'!$A$165:$I$185,3,0))</f>
        <v>17</v>
      </c>
      <c r="DW108" s="15">
        <f>IF(ISNA(VLOOKUP(A108,'Données projet'!$A$165:$I$185,4,0)),0,VLOOKUP(A108,'Données projet'!$A$165:$I$185,4,0))</f>
        <v>6.4102564102564097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0.1075</v>
      </c>
      <c r="DZ108" s="16">
        <f>IF(ISNA(VLOOKUP(A108,'Données projet'!$A$165:$I$185,7,0)),0%,VLOOKUP(A108,'Données projet'!$A$165:$I$185,7,0))</f>
        <v>0.25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4.8226312403084153</v>
      </c>
      <c r="EC108" s="21">
        <f>EXP(-LN(2)/2)*EC107+(1-EXP(-LN(2)/2))/(LN(2)/2)*DW108*DZ108*VLOOKUP('Données projet'!$B$14,Paramètres!$A$1:$I$89,3,0)*0.475*44/12</f>
        <v>1.745113590753691</v>
      </c>
      <c r="ED108" s="22">
        <f t="shared" si="72"/>
        <v>6.5677448310621065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9.1833333333333318</v>
      </c>
      <c r="EJ108" s="12">
        <f>IF('Données projet'!$A$192&gt;35,EJ107+EI108-ER107,IF(A108&lt;'Données projet'!$A$192,$EG$205^A108,IF(A108='Données projet'!$A$192,'Données projet'!$B$192,EJ107+EI108-ER107)))</f>
        <v>434.62666666666661</v>
      </c>
      <c r="EK108" s="17">
        <f>EJ108*VLOOKUP('Données projet'!$B$15,Paramètres!$A$1:$I$89,3,0)*VLOOKUP('Données projet'!$B$15,Paramètres!$A$1:$I$89,5,0)</f>
        <v>203.40527999999998</v>
      </c>
      <c r="EL108" s="13">
        <f t="shared" si="99"/>
        <v>50.491808264192287</v>
      </c>
      <c r="EM108" s="20">
        <f t="shared" si="73"/>
        <v>442.20409539346821</v>
      </c>
      <c r="EN108" s="59">
        <f t="shared" si="74"/>
        <v>720.94272347434003</v>
      </c>
      <c r="EO108" s="59">
        <f ca="1">AVERAGE(OFFSET($EN$3,0,0,'Données projet'!$E$15+1,1))-AVERAGE(OFFSET($H$3,0,0,'Données projet'!$E$15+1,1))</f>
        <v>374.38106339726073</v>
      </c>
      <c r="EP108" s="59">
        <f t="shared" si="100"/>
        <v>296.53283288925957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54.043924518422124</v>
      </c>
      <c r="EW108" s="21">
        <f>EXP(-LN(2)/25)*EW107+(1-EXP(-LN(2)/25))/(LN(2)/25)*Calculateur!ER108*Calculateur!ET108*VLOOKUP('Données projet'!$B$15,Paramètres!$A$1:$I$89,3,0)*0.475*44/12</f>
        <v>18.501912206249195</v>
      </c>
      <c r="EX108" s="21">
        <f>EXP(-LN(2)/2)*EX107+(1-EXP(-LN(2)/2))/(LN(2)/2)*ER108*EU108*VLOOKUP('Données projet'!$B$15,Paramètres!$A$1:$I$89,3,0)*0.475*44/12</f>
        <v>0.61010431795632092</v>
      </c>
      <c r="EY108" s="22">
        <f t="shared" si="75"/>
        <v>73.155941042627646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9">
        <f t="shared" si="55"/>
        <v>967.81435367527001</v>
      </c>
      <c r="S109" s="59">
        <f ca="1">AVERAGE(OFFSET($R$3,0,0,'Données projet'!$E$9+1,1))-AVERAGE(OFFSET($H$3,0,0,'Données projet'!$E$9+1,1))</f>
        <v>681.47578137804555</v>
      </c>
      <c r="T109" s="59">
        <f t="shared" si="88"/>
        <v>300.88511065995885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4.2</v>
      </c>
      <c r="AI109" s="13">
        <f>IF('Données projet'!$A$62&gt;35,AI108+AH109-AQ108,IF(A109&lt;'Données projet'!$A$62,$AF$205^A109,IF(A109='Données projet'!$A$62,'Données projet'!$B$62,AI108+AH109-AQ108)))</f>
        <v>268.2</v>
      </c>
      <c r="AJ109" s="13">
        <f>AI109*VLOOKUP('Données projet'!$B$10,Paramètres!$A$1:$I$89,3,0)*VLOOKUP('Données projet'!$B$10,Paramètres!$A$1:$I$89,5,0)</f>
        <v>255.21911999999998</v>
      </c>
      <c r="AK109" s="13">
        <f t="shared" si="89"/>
        <v>61.702189391811984</v>
      </c>
      <c r="AL109" s="20">
        <f t="shared" si="58"/>
        <v>551.97128052407254</v>
      </c>
      <c r="AM109" s="59">
        <f t="shared" si="59"/>
        <v>830.96309411220159</v>
      </c>
      <c r="AN109" s="59">
        <f ca="1">AVERAGE(OFFSET($AM$3,0,0,'Données projet'!$E$10+1,1))-AVERAGE(OFFSET($H$3,0,0,'Données projet'!$E$10+1,1))</f>
        <v>423.80243030843661</v>
      </c>
      <c r="AO109" s="59">
        <f t="shared" si="90"/>
        <v>260.29028006191834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13.401228528303623</v>
      </c>
      <c r="AV109" s="21">
        <f>EXP(-LN(2)/25)*AV108+(1-EXP(-LN(2)/25))/(LN(2)/25)*Calculateur!AQ109*Calculateur!AS109*VLOOKUP('Données projet'!$B$10,Paramètres!$A$1:$I$89,3,0)*0.475*44/12</f>
        <v>15.825285234185834</v>
      </c>
      <c r="AW109" s="21">
        <f>EXP(-LN(2)/2)*AW108+(1-EXP(-LN(2)/2))/(LN(2)/2)*AQ109*AT109*VLOOKUP('Données projet'!$B$10,Paramètres!$A$1:$I$89,3,0)*0.475*44/12</f>
        <v>3.8901636231878052</v>
      </c>
      <c r="AX109" s="21">
        <f t="shared" si="60"/>
        <v>33.116677385677264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-1.3596945791505279E-13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373.61861223558259</v>
      </c>
      <c r="BJ109" s="59">
        <f t="shared" si="92"/>
        <v>277.62293009761049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91.585707983833373</v>
      </c>
      <c r="BQ109" s="21">
        <f>EXP(-LN(2)/25)*BQ108+(1-EXP(-LN(2)/25))/(LN(2)/25)*Calculateur!BL109*Calculateur!BN109*VLOOKUP('Données projet'!$B$11,Paramètres!$A$1:$I$89,3,0)*0.475*44/12</f>
        <v>25.164710091778524</v>
      </c>
      <c r="BR109" s="21">
        <f>EXP(-LN(2)/2)*BR108+(1-EXP(-LN(2)/2))/(LN(2)/2)*BL109*BO109*VLOOKUP('Données projet'!$B$11,Paramètres!$A$1:$I$89,3,0)*0.475*44/12</f>
        <v>8.6324026856944222E-3</v>
      </c>
      <c r="BS109" s="22">
        <f t="shared" si="63"/>
        <v>116.75905047829758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8.5265128291212022E-14</v>
      </c>
      <c r="BZ109" s="13">
        <f>BY109*VLOOKUP('Données projet'!$B$12,Paramètres!$A$1:$I$89,3,0)*VLOOKUP('Données projet'!$B$12,Paramètres!$A$1:$I$89,5,0)</f>
        <v>7.4487616075202836E-14</v>
      </c>
      <c r="CA109" s="13">
        <f t="shared" si="93"/>
        <v>1.1580453144473142E-12</v>
      </c>
      <c r="CB109" s="20">
        <f t="shared" si="64"/>
        <v>2.1466615206600508E-12</v>
      </c>
      <c r="CC109" s="59">
        <f t="shared" si="65"/>
        <v>278.99181358813127</v>
      </c>
      <c r="CD109" s="59">
        <f ca="1">AVERAGE(OFFSET($CC$3,0,0,'Données projet'!$E$12+1,1))-AVERAGE(OFFSET($H$3,0,0,'Données projet'!$E$12+1,1))</f>
        <v>251.30277097589737</v>
      </c>
      <c r="CE109" s="59">
        <f t="shared" si="94"/>
        <v>224.11983819941796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13.210234474252507</v>
      </c>
      <c r="CL109" s="21">
        <f>EXP(-LN(2)/25)*CL108+(1-EXP(-LN(2)/25))/(LN(2)/25)*Calculateur!CG109*Calculateur!CI109*VLOOKUP('Données projet'!$B$12,Paramètres!$A$1:$I$89,3,0)*0.475*44/12</f>
        <v>32.163898843114673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45.374133317367182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2.8421709430404007E-14</v>
      </c>
      <c r="CU109" s="17">
        <f>CT109*VLOOKUP('Données projet'!$B$13,Paramètres!$A$1:$I$89,3,0)*VLOOKUP('Données projet'!$B$13,Paramètres!$A$1:$I$89,5,0)</f>
        <v>2.4829205358400945E-14</v>
      </c>
      <c r="CV109" s="13">
        <f t="shared" si="95"/>
        <v>4.3867331143352915E-13</v>
      </c>
      <c r="CW109" s="20">
        <f t="shared" si="67"/>
        <v>8.0726688341261168E-13</v>
      </c>
      <c r="CX109" s="59">
        <f t="shared" si="68"/>
        <v>278.9918135881299</v>
      </c>
      <c r="CY109" s="59">
        <f ca="1">AVERAGE(OFFSET($CX$3,0,0,'Données projet'!$E$13+1,1))-AVERAGE(OFFSET($H$3,0,0,'Données projet'!$E$13+1,1))</f>
        <v>287.28439432670405</v>
      </c>
      <c r="CZ109" s="59">
        <f t="shared" si="96"/>
        <v>276.01618888357268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19.711061822593553</v>
      </c>
      <c r="DG109" s="21">
        <f>EXP(-LN(2)/25)*DG108+(1-EXP(-LN(2)/25))/(LN(2)/25)*Calculateur!DB109*Calculateur!DD109*VLOOKUP('Données projet'!$B$13,Paramètres!$A$1:$I$89,3,0)*0.475*44/12</f>
        <v>17.748993429952819</v>
      </c>
      <c r="DH109" s="21">
        <f>EXP(-LN(2)/2)*DH108+(1-EXP(-LN(2)/2))/(LN(2)/2)*DB109*DE109*VLOOKUP('Données projet'!$B$13,Paramètres!$A$1:$I$89,3,0)*0.475*44/12</f>
        <v>5.5476613330844877E-3</v>
      </c>
      <c r="DI109" s="22">
        <f t="shared" si="69"/>
        <v>37.465602913879451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1.9230769230769227</v>
      </c>
      <c r="DO109" s="12">
        <f>IF('Données projet'!$A$166&gt;35,DO108+DN109-DW108,IF(A109&lt;'Données projet'!$A$166,$DL$205^A109,IF(A109='Données projet'!$A$166,'Données projet'!$B$166,DO108+DN109-DW108)))</f>
        <v>108.33333333333327</v>
      </c>
      <c r="DP109" s="17">
        <f>DO109*VLOOKUP('Données projet'!$B$14,Paramètres!$A$1:$I$89,3,0)*VLOOKUP('Données projet'!$B$14,Paramètres!$A$1:$I$89,5,0)</f>
        <v>104.77999999999994</v>
      </c>
      <c r="DQ109" s="13">
        <f t="shared" si="97"/>
        <v>28.097653592102308</v>
      </c>
      <c r="DR109" s="20">
        <f t="shared" si="70"/>
        <v>231.4285800062448</v>
      </c>
      <c r="DS109" s="59">
        <f t="shared" si="71"/>
        <v>510.42039359437388</v>
      </c>
      <c r="DT109" s="59">
        <f ca="1">AVERAGE(OFFSET($DS$3,0,0,'Données projet'!$E$14+1,1))-AVERAGE(OFFSET($H$3,0,0,'Données projet'!$E$14+1,1))</f>
        <v>206.5245935130306</v>
      </c>
      <c r="DU109" s="59">
        <f t="shared" si="98"/>
        <v>130.57011290898546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4.6907561354310268</v>
      </c>
      <c r="EC109" s="21">
        <f>EXP(-LN(2)/2)*EC108+(1-EXP(-LN(2)/2))/(LN(2)/2)*DW109*DZ109*VLOOKUP('Données projet'!$B$14,Paramètres!$A$1:$I$89,3,0)*0.475*44/12</f>
        <v>1.2339816539627404</v>
      </c>
      <c r="ED109" s="22">
        <f t="shared" si="72"/>
        <v>5.9247377893937667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9.1833333333333318</v>
      </c>
      <c r="EJ109" s="12">
        <f>IF('Données projet'!$A$192&gt;35,EJ108+EI109-ER108,IF(A109&lt;'Données projet'!$A$192,$EG$205^A109,IF(A109='Données projet'!$A$192,'Données projet'!$B$192,EJ108+EI109-ER108)))</f>
        <v>443.80999999999995</v>
      </c>
      <c r="EK109" s="17">
        <f>EJ109*VLOOKUP('Données projet'!$B$15,Paramètres!$A$1:$I$89,3,0)*VLOOKUP('Données projet'!$B$15,Paramètres!$A$1:$I$89,5,0)</f>
        <v>207.70307999999997</v>
      </c>
      <c r="EL109" s="13">
        <f t="shared" si="99"/>
        <v>51.433330061385618</v>
      </c>
      <c r="EM109" s="20">
        <f t="shared" si="73"/>
        <v>451.32924752357991</v>
      </c>
      <c r="EN109" s="59">
        <f t="shared" si="74"/>
        <v>730.32106111170901</v>
      </c>
      <c r="EO109" s="59">
        <f ca="1">AVERAGE(OFFSET($EN$3,0,0,'Données projet'!$E$15+1,1))-AVERAGE(OFFSET($H$3,0,0,'Données projet'!$E$15+1,1))</f>
        <v>374.38106339726073</v>
      </c>
      <c r="EP109" s="59">
        <f t="shared" si="100"/>
        <v>296.53283288925957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52.984156122154943</v>
      </c>
      <c r="EW109" s="21">
        <f>EXP(-LN(2)/25)*EW108+(1-EXP(-LN(2)/25))/(LN(2)/25)*Calculateur!ER109*Calculateur!ET109*VLOOKUP('Données projet'!$B$15,Paramètres!$A$1:$I$89,3,0)*0.475*44/12</f>
        <v>17.995976443996035</v>
      </c>
      <c r="EX109" s="21">
        <f>EXP(-LN(2)/2)*EX108+(1-EXP(-LN(2)/2))/(LN(2)/2)*ER109*EU109*VLOOKUP('Données projet'!$B$15,Paramètres!$A$1:$I$89,3,0)*0.475*44/12</f>
        <v>0.43140890045810804</v>
      </c>
      <c r="EY109" s="22">
        <f t="shared" si="75"/>
        <v>71.411541466609094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9">
        <f t="shared" si="55"/>
        <v>984.89749533608847</v>
      </c>
      <c r="S110" s="59">
        <f ca="1">AVERAGE(OFFSET($R$3,0,0,'Données projet'!$E$9+1,1))-AVERAGE(OFFSET($H$3,0,0,'Données projet'!$E$9+1,1))</f>
        <v>681.47578137804555</v>
      </c>
      <c r="T110" s="59">
        <f t="shared" si="88"/>
        <v>300.88511065995885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4.2</v>
      </c>
      <c r="AI110" s="13">
        <f>IF('Données projet'!$A$62&gt;35,AI109+AH110-AQ109,IF(A110&lt;'Données projet'!$A$62,$AF$205^A110,IF(A110='Données projet'!$A$62,'Données projet'!$B$62,AI109+AH110-AQ109)))</f>
        <v>272.39999999999998</v>
      </c>
      <c r="AJ110" s="13">
        <f>AI110*VLOOKUP('Données projet'!$B$10,Paramètres!$A$1:$I$89,3,0)*VLOOKUP('Données projet'!$B$10,Paramètres!$A$1:$I$89,5,0)</f>
        <v>259.21584000000001</v>
      </c>
      <c r="AK110" s="13">
        <f t="shared" si="89"/>
        <v>62.555197359548238</v>
      </c>
      <c r="AL110" s="20">
        <f t="shared" si="58"/>
        <v>560.41789006787985</v>
      </c>
      <c r="AM110" s="59">
        <f t="shared" si="59"/>
        <v>839.6584969607535</v>
      </c>
      <c r="AN110" s="59">
        <f ca="1">AVERAGE(OFFSET($AM$3,0,0,'Données projet'!$E$10+1,1))-AVERAGE(OFFSET($H$3,0,0,'Données projet'!$E$10+1,1))</f>
        <v>423.80243030843661</v>
      </c>
      <c r="AO110" s="59">
        <f t="shared" si="90"/>
        <v>260.29028006191834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13.138438610805881</v>
      </c>
      <c r="AV110" s="21">
        <f>EXP(-LN(2)/25)*AV109+(1-EXP(-LN(2)/25))/(LN(2)/25)*Calculateur!AQ110*Calculateur!AS110*VLOOKUP('Données projet'!$B$10,Paramètres!$A$1:$I$89,3,0)*0.475*44/12</f>
        <v>15.392541977241441</v>
      </c>
      <c r="AW110" s="21">
        <f>EXP(-LN(2)/2)*AW109+(1-EXP(-LN(2)/2))/(LN(2)/2)*AQ110*AT110*VLOOKUP('Données projet'!$B$10,Paramètres!$A$1:$I$89,3,0)*0.475*44/12</f>
        <v>2.7507610778813265</v>
      </c>
      <c r="AX110" s="21">
        <f t="shared" si="60"/>
        <v>31.281741665928646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-1.3596945791505279E-13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373.61861223558259</v>
      </c>
      <c r="BJ110" s="59">
        <f t="shared" si="92"/>
        <v>277.62293009761049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89.789768112036384</v>
      </c>
      <c r="BQ110" s="21">
        <f>EXP(-LN(2)/25)*BQ109+(1-EXP(-LN(2)/25))/(LN(2)/25)*Calculateur!BL110*Calculateur!BN110*VLOOKUP('Données projet'!$B$11,Paramètres!$A$1:$I$89,3,0)*0.475*44/12</f>
        <v>24.47657977096425</v>
      </c>
      <c r="BR110" s="21">
        <f>EXP(-LN(2)/2)*BR109+(1-EXP(-LN(2)/2))/(LN(2)/2)*BL110*BO110*VLOOKUP('Données projet'!$B$11,Paramètres!$A$1:$I$89,3,0)*0.475*44/12</f>
        <v>6.104030476987491E-3</v>
      </c>
      <c r="BS110" s="22">
        <f t="shared" si="63"/>
        <v>114.27245191347762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8.5265128291212022E-14</v>
      </c>
      <c r="BZ110" s="13">
        <f>BY110*VLOOKUP('Données projet'!$B$12,Paramètres!$A$1:$I$89,3,0)*VLOOKUP('Données projet'!$B$12,Paramètres!$A$1:$I$89,5,0)</f>
        <v>7.4487616075202836E-14</v>
      </c>
      <c r="CA110" s="13">
        <f t="shared" si="93"/>
        <v>1.1580453144473142E-12</v>
      </c>
      <c r="CB110" s="20">
        <f t="shared" si="64"/>
        <v>2.1466615206600508E-12</v>
      </c>
      <c r="CC110" s="59">
        <f t="shared" si="65"/>
        <v>279.2406068928758</v>
      </c>
      <c r="CD110" s="59">
        <f ca="1">AVERAGE(OFFSET($CC$3,0,0,'Données projet'!$E$12+1,1))-AVERAGE(OFFSET($H$3,0,0,'Données projet'!$E$12+1,1))</f>
        <v>251.30277097589737</v>
      </c>
      <c r="CE110" s="59">
        <f t="shared" si="94"/>
        <v>224.11983819941796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12.951189833659837</v>
      </c>
      <c r="CL110" s="21">
        <f>EXP(-LN(2)/25)*CL109+(1-EXP(-LN(2)/25))/(LN(2)/25)*Calculateur!CG110*Calculateur!CI110*VLOOKUP('Données projet'!$B$12,Paramètres!$A$1:$I$89,3,0)*0.475*44/12</f>
        <v>31.284375337823775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44.235565171483614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2.8421709430404007E-14</v>
      </c>
      <c r="CU110" s="17">
        <f>CT110*VLOOKUP('Données projet'!$B$13,Paramètres!$A$1:$I$89,3,0)*VLOOKUP('Données projet'!$B$13,Paramètres!$A$1:$I$89,5,0)</f>
        <v>2.4829205358400945E-14</v>
      </c>
      <c r="CV110" s="13">
        <f t="shared" si="95"/>
        <v>4.3867331143352915E-13</v>
      </c>
      <c r="CW110" s="20">
        <f t="shared" si="67"/>
        <v>8.0726688341261168E-13</v>
      </c>
      <c r="CX110" s="59">
        <f t="shared" si="68"/>
        <v>279.24060689287444</v>
      </c>
      <c r="CY110" s="59">
        <f ca="1">AVERAGE(OFFSET($CX$3,0,0,'Données projet'!$E$13+1,1))-AVERAGE(OFFSET($H$3,0,0,'Données projet'!$E$13+1,1))</f>
        <v>287.28439432670405</v>
      </c>
      <c r="CZ110" s="59">
        <f t="shared" si="96"/>
        <v>276.01618888357268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19.324539922813077</v>
      </c>
      <c r="DG110" s="21">
        <f>EXP(-LN(2)/25)*DG109+(1-EXP(-LN(2)/25))/(LN(2)/25)*Calculateur!DB110*Calculateur!DD110*VLOOKUP('Données projet'!$B$13,Paramètres!$A$1:$I$89,3,0)*0.475*44/12</f>
        <v>17.26364627123176</v>
      </c>
      <c r="DH110" s="21">
        <f>EXP(-LN(2)/2)*DH109+(1-EXP(-LN(2)/2))/(LN(2)/2)*DB110*DE110*VLOOKUP('Données projet'!$B$13,Paramètres!$A$1:$I$89,3,0)*0.475*44/12</f>
        <v>3.9227889483504433E-3</v>
      </c>
      <c r="DI110" s="22">
        <f t="shared" si="69"/>
        <v>36.592108982993189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1.9230769230769227</v>
      </c>
      <c r="DO110" s="12">
        <f>IF('Données projet'!$A$166&gt;35,DO109+DN110-DW109,IF(A110&lt;'Données projet'!$A$166,$DL$205^A110,IF(A110='Données projet'!$A$166,'Données projet'!$B$166,DO109+DN110-DW109)))</f>
        <v>110.25641025641019</v>
      </c>
      <c r="DP110" s="17">
        <f>DO110*VLOOKUP('Données projet'!$B$14,Paramètres!$A$1:$I$89,3,0)*VLOOKUP('Données projet'!$B$14,Paramètres!$A$1:$I$89,5,0)</f>
        <v>106.63999999999994</v>
      </c>
      <c r="DQ110" s="13">
        <f t="shared" si="97"/>
        <v>28.537918766434593</v>
      </c>
      <c r="DR110" s="20">
        <f t="shared" si="70"/>
        <v>235.4348751848735</v>
      </c>
      <c r="DS110" s="59">
        <f t="shared" si="71"/>
        <v>514.67548207774712</v>
      </c>
      <c r="DT110" s="59">
        <f ca="1">AVERAGE(OFFSET($DS$3,0,0,'Données projet'!$E$14+1,1))-AVERAGE(OFFSET($H$3,0,0,'Données projet'!$E$14+1,1))</f>
        <v>206.5245935130306</v>
      </c>
      <c r="DU110" s="59">
        <f t="shared" si="98"/>
        <v>130.57011290898546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4.5624871622315206</v>
      </c>
      <c r="EC110" s="21">
        <f>EXP(-LN(2)/2)*EC109+(1-EXP(-LN(2)/2))/(LN(2)/2)*DW110*DZ110*VLOOKUP('Données projet'!$B$14,Paramètres!$A$1:$I$89,3,0)*0.475*44/12</f>
        <v>0.8725567953768455</v>
      </c>
      <c r="ED110" s="22">
        <f t="shared" si="72"/>
        <v>5.4350439576083662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9.1833333333333318</v>
      </c>
      <c r="EJ110" s="12">
        <f>IF('Données projet'!$A$192&gt;35,EJ109+EI110-ER109,IF(A110&lt;'Données projet'!$A$192,$EG$205^A110,IF(A110='Données projet'!$A$192,'Données projet'!$B$192,EJ109+EI110-ER109)))</f>
        <v>452.99333333333328</v>
      </c>
      <c r="EK110" s="17">
        <f>EJ110*VLOOKUP('Données projet'!$B$15,Paramètres!$A$1:$I$89,3,0)*VLOOKUP('Données projet'!$B$15,Paramètres!$A$1:$I$89,5,0)</f>
        <v>212.00088</v>
      </c>
      <c r="EL110" s="13">
        <f t="shared" si="99"/>
        <v>52.372586711125109</v>
      </c>
      <c r="EM110" s="20">
        <f t="shared" si="73"/>
        <v>460.45045452187622</v>
      </c>
      <c r="EN110" s="59">
        <f t="shared" si="74"/>
        <v>739.69106141474981</v>
      </c>
      <c r="EO110" s="59">
        <f ca="1">AVERAGE(OFFSET($EN$3,0,0,'Données projet'!$E$15+1,1))-AVERAGE(OFFSET($H$3,0,0,'Données projet'!$E$15+1,1))</f>
        <v>374.38106339726073</v>
      </c>
      <c r="EP110" s="59">
        <f t="shared" si="100"/>
        <v>296.53283288925957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51.945169137743669</v>
      </c>
      <c r="EW110" s="21">
        <f>EXP(-LN(2)/25)*EW109+(1-EXP(-LN(2)/25))/(LN(2)/25)*Calculateur!ER110*Calculateur!ET110*VLOOKUP('Données projet'!$B$15,Paramètres!$A$1:$I$89,3,0)*0.475*44/12</f>
        <v>17.503875521767693</v>
      </c>
      <c r="EX110" s="21">
        <f>EXP(-LN(2)/2)*EX109+(1-EXP(-LN(2)/2))/(LN(2)/2)*ER110*EU110*VLOOKUP('Données projet'!$B$15,Paramètres!$A$1:$I$89,3,0)*0.475*44/12</f>
        <v>0.30505215897816046</v>
      </c>
      <c r="EY110" s="22">
        <f t="shared" si="75"/>
        <v>69.754096818489515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9">
        <f t="shared" si="55"/>
        <v>1001.9681103522703</v>
      </c>
      <c r="S111" s="59">
        <f ca="1">AVERAGE(OFFSET($R$3,0,0,'Données projet'!$E$9+1,1))-AVERAGE(OFFSET($H$3,0,0,'Données projet'!$E$9+1,1))</f>
        <v>681.47578137804555</v>
      </c>
      <c r="T111" s="59">
        <f t="shared" si="88"/>
        <v>300.88511065995885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4.2</v>
      </c>
      <c r="AI111" s="13">
        <f>IF('Données projet'!$A$62&gt;35,AI110+AH111-AQ110,IF(A111&lt;'Données projet'!$A$62,$AF$205^A111,IF(A111='Données projet'!$A$62,'Données projet'!$B$62,AI110+AH111-AQ110)))</f>
        <v>276.59999999999997</v>
      </c>
      <c r="AJ111" s="13">
        <f>AI111*VLOOKUP('Données projet'!$B$10,Paramètres!$A$1:$I$89,3,0)*VLOOKUP('Données projet'!$B$10,Paramètres!$A$1:$I$89,5,0)</f>
        <v>263.21255999999994</v>
      </c>
      <c r="AK111" s="13">
        <f t="shared" si="89"/>
        <v>63.406675731103839</v>
      </c>
      <c r="AL111" s="20">
        <f t="shared" si="58"/>
        <v>568.86183556500578</v>
      </c>
      <c r="AM111" s="59">
        <f t="shared" si="59"/>
        <v>848.34691975500505</v>
      </c>
      <c r="AN111" s="59">
        <f ca="1">AVERAGE(OFFSET($AM$3,0,0,'Données projet'!$E$10+1,1))-AVERAGE(OFFSET($H$3,0,0,'Données projet'!$E$10+1,1))</f>
        <v>423.80243030843661</v>
      </c>
      <c r="AO111" s="59">
        <f t="shared" si="90"/>
        <v>260.29028006191834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12.880801843304248</v>
      </c>
      <c r="AV111" s="21">
        <f>EXP(-LN(2)/25)*AV110+(1-EXP(-LN(2)/25))/(LN(2)/25)*Calculateur!AQ111*Calculateur!AS111*VLOOKUP('Données projet'!$B$10,Paramètres!$A$1:$I$89,3,0)*0.475*44/12</f>
        <v>14.971632107415171</v>
      </c>
      <c r="AW111" s="21">
        <f>EXP(-LN(2)/2)*AW110+(1-EXP(-LN(2)/2))/(LN(2)/2)*AQ111*AT111*VLOOKUP('Données projet'!$B$10,Paramètres!$A$1:$I$89,3,0)*0.475*44/12</f>
        <v>1.9450818115939028</v>
      </c>
      <c r="AX111" s="21">
        <f t="shared" si="60"/>
        <v>29.797515762313321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-1.3596945791505279E-13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373.61861223558259</v>
      </c>
      <c r="BJ111" s="59">
        <f t="shared" si="92"/>
        <v>277.62293009761049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88.029045525710174</v>
      </c>
      <c r="BQ111" s="21">
        <f>EXP(-LN(2)/25)*BQ110+(1-EXP(-LN(2)/25))/(LN(2)/25)*Calculateur!BL111*Calculateur!BN111*VLOOKUP('Données projet'!$B$11,Paramètres!$A$1:$I$89,3,0)*0.475*44/12</f>
        <v>23.807266409959844</v>
      </c>
      <c r="BR111" s="21">
        <f>EXP(-LN(2)/2)*BR110+(1-EXP(-LN(2)/2))/(LN(2)/2)*BL111*BO111*VLOOKUP('Données projet'!$B$11,Paramètres!$A$1:$I$89,3,0)*0.475*44/12</f>
        <v>4.3162013428472111E-3</v>
      </c>
      <c r="BS111" s="22">
        <f t="shared" si="63"/>
        <v>111.84062813701286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8.5265128291212022E-14</v>
      </c>
      <c r="BZ111" s="13">
        <f>BY111*VLOOKUP('Données projet'!$B$12,Paramètres!$A$1:$I$89,3,0)*VLOOKUP('Données projet'!$B$12,Paramètres!$A$1:$I$89,5,0)</f>
        <v>7.4487616075202836E-14</v>
      </c>
      <c r="CA111" s="13">
        <f t="shared" si="93"/>
        <v>1.1580453144473142E-12</v>
      </c>
      <c r="CB111" s="20">
        <f t="shared" si="64"/>
        <v>2.1466615206600508E-12</v>
      </c>
      <c r="CC111" s="59">
        <f t="shared" si="65"/>
        <v>279.48508419000149</v>
      </c>
      <c r="CD111" s="59">
        <f ca="1">AVERAGE(OFFSET($CC$3,0,0,'Données projet'!$E$12+1,1))-AVERAGE(OFFSET($H$3,0,0,'Données projet'!$E$12+1,1))</f>
        <v>251.30277097589737</v>
      </c>
      <c r="CE111" s="59">
        <f t="shared" si="94"/>
        <v>224.11983819941796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12.69722490046756</v>
      </c>
      <c r="CL111" s="21">
        <f>EXP(-LN(2)/25)*CL110+(1-EXP(-LN(2)/25))/(LN(2)/25)*Calculateur!CG111*Calculateur!CI111*VLOOKUP('Données projet'!$B$12,Paramètres!$A$1:$I$89,3,0)*0.475*44/12</f>
        <v>30.428902449037185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43.126127349504742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2.8421709430404007E-14</v>
      </c>
      <c r="CU111" s="17">
        <f>CT111*VLOOKUP('Données projet'!$B$13,Paramètres!$A$1:$I$89,3,0)*VLOOKUP('Données projet'!$B$13,Paramètres!$A$1:$I$89,5,0)</f>
        <v>2.4829205358400945E-14</v>
      </c>
      <c r="CV111" s="13">
        <f t="shared" si="95"/>
        <v>4.3867331143352915E-13</v>
      </c>
      <c r="CW111" s="20">
        <f t="shared" si="67"/>
        <v>8.0726688341261168E-13</v>
      </c>
      <c r="CX111" s="59">
        <f t="shared" si="68"/>
        <v>279.48508419000012</v>
      </c>
      <c r="CY111" s="59">
        <f ca="1">AVERAGE(OFFSET($CX$3,0,0,'Données projet'!$E$13+1,1))-AVERAGE(OFFSET($H$3,0,0,'Données projet'!$E$13+1,1))</f>
        <v>287.28439432670405</v>
      </c>
      <c r="CZ111" s="59">
        <f t="shared" si="96"/>
        <v>276.01618888357268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18.945597481732214</v>
      </c>
      <c r="DG111" s="21">
        <f>EXP(-LN(2)/25)*DG110+(1-EXP(-LN(2)/25))/(LN(2)/25)*Calculateur!DB111*Calculateur!DD111*VLOOKUP('Données projet'!$B$13,Paramètres!$A$1:$I$89,3,0)*0.475*44/12</f>
        <v>16.791570956089227</v>
      </c>
      <c r="DH111" s="21">
        <f>EXP(-LN(2)/2)*DH110+(1-EXP(-LN(2)/2))/(LN(2)/2)*DB111*DE111*VLOOKUP('Données projet'!$B$13,Paramètres!$A$1:$I$89,3,0)*0.475*44/12</f>
        <v>2.7738306665422438E-3</v>
      </c>
      <c r="DI111" s="22">
        <f t="shared" si="69"/>
        <v>35.73994226848798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1.9230769230769227</v>
      </c>
      <c r="DO111" s="12">
        <f>IF('Données projet'!$A$166&gt;35,DO110+DN111-DW110,IF(A111&lt;'Données projet'!$A$166,$DL$205^A111,IF(A111='Données projet'!$A$166,'Données projet'!$B$166,DO110+DN111-DW110)))</f>
        <v>112.17948717948711</v>
      </c>
      <c r="DP111" s="17">
        <f>DO111*VLOOKUP('Données projet'!$B$14,Paramètres!$A$1:$I$89,3,0)*VLOOKUP('Données projet'!$B$14,Paramètres!$A$1:$I$89,5,0)</f>
        <v>108.49999999999994</v>
      </c>
      <c r="DQ111" s="13">
        <f t="shared" si="97"/>
        <v>28.977290958947286</v>
      </c>
      <c r="DR111" s="20">
        <f t="shared" si="70"/>
        <v>239.4396150868331</v>
      </c>
      <c r="DS111" s="59">
        <f t="shared" si="71"/>
        <v>518.92469927683237</v>
      </c>
      <c r="DT111" s="59">
        <f ca="1">AVERAGE(OFFSET($DS$3,0,0,'Données projet'!$E$14+1,1))-AVERAGE(OFFSET($H$3,0,0,'Données projet'!$E$14+1,1))</f>
        <v>206.5245935130306</v>
      </c>
      <c r="DU111" s="59">
        <f t="shared" si="98"/>
        <v>130.57011290898546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4.4377257108495272</v>
      </c>
      <c r="EC111" s="21">
        <f>EXP(-LN(2)/2)*EC110+(1-EXP(-LN(2)/2))/(LN(2)/2)*DW111*DZ111*VLOOKUP('Données projet'!$B$14,Paramètres!$A$1:$I$89,3,0)*0.475*44/12</f>
        <v>0.6169908269813702</v>
      </c>
      <c r="ED111" s="22">
        <f t="shared" si="72"/>
        <v>5.0547165378308971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9.1833333333333318</v>
      </c>
      <c r="EJ111" s="12">
        <f>IF('Données projet'!$A$192&gt;35,EJ110+EI111-ER110,IF(A111&lt;'Données projet'!$A$192,$EG$205^A111,IF(A111='Données projet'!$A$192,'Données projet'!$B$192,EJ110+EI111-ER110)))</f>
        <v>462.17666666666662</v>
      </c>
      <c r="EK111" s="17">
        <f>EJ111*VLOOKUP('Données projet'!$B$15,Paramètres!$A$1:$I$89,3,0)*VLOOKUP('Données projet'!$B$15,Paramètres!$A$1:$I$89,5,0)</f>
        <v>216.29867999999996</v>
      </c>
      <c r="EL111" s="13">
        <f t="shared" si="99"/>
        <v>53.309629425511069</v>
      </c>
      <c r="EM111" s="20">
        <f t="shared" si="73"/>
        <v>469.567805582765</v>
      </c>
      <c r="EN111" s="59">
        <f t="shared" si="74"/>
        <v>749.05288977276427</v>
      </c>
      <c r="EO111" s="59">
        <f ca="1">AVERAGE(OFFSET($EN$3,0,0,'Données projet'!$E$15+1,1))-AVERAGE(OFFSET($H$3,0,0,'Données projet'!$E$15+1,1))</f>
        <v>374.38106339726073</v>
      </c>
      <c r="EP111" s="59">
        <f t="shared" si="100"/>
        <v>296.53283288925957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50.926556054377208</v>
      </c>
      <c r="EW111" s="21">
        <f>EXP(-LN(2)/25)*EW110+(1-EXP(-LN(2)/25))/(LN(2)/25)*Calculateur!ER111*Calculateur!ET111*VLOOKUP('Données projet'!$B$15,Paramètres!$A$1:$I$89,3,0)*0.475*44/12</f>
        <v>17.025231125136148</v>
      </c>
      <c r="EX111" s="21">
        <f>EXP(-LN(2)/2)*EX110+(1-EXP(-LN(2)/2))/(LN(2)/2)*ER111*EU111*VLOOKUP('Données projet'!$B$15,Paramètres!$A$1:$I$89,3,0)*0.475*44/12</f>
        <v>0.21570445022905402</v>
      </c>
      <c r="EY111" s="22">
        <f t="shared" si="75"/>
        <v>68.167491629742415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9">
        <f t="shared" si="55"/>
        <v>1019.0264915829434</v>
      </c>
      <c r="S112" s="59">
        <f ca="1">AVERAGE(OFFSET($R$3,0,0,'Données projet'!$E$9+1,1))-AVERAGE(OFFSET($H$3,0,0,'Données projet'!$E$9+1,1))</f>
        <v>681.47578137804555</v>
      </c>
      <c r="T112" s="59">
        <f t="shared" si="88"/>
        <v>300.88511065995885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4.2</v>
      </c>
      <c r="AI112" s="13">
        <f>IF('Données projet'!$A$62&gt;35,AI111+AH112-AQ111,IF(A112&lt;'Données projet'!$A$62,$AF$205^A112,IF(A112='Données projet'!$A$62,'Données projet'!$B$62,AI111+AH112-AQ111)))</f>
        <v>280.79999999999995</v>
      </c>
      <c r="AJ112" s="13">
        <f>AI112*VLOOKUP('Données projet'!$B$10,Paramètres!$A$1:$I$89,3,0)*VLOOKUP('Données projet'!$B$10,Paramètres!$A$1:$I$89,5,0)</f>
        <v>267.20927999999998</v>
      </c>
      <c r="AK112" s="13">
        <f t="shared" si="89"/>
        <v>64.256650415058076</v>
      </c>
      <c r="AL112" s="20">
        <f t="shared" si="58"/>
        <v>577.30316213955939</v>
      </c>
      <c r="AM112" s="59">
        <f t="shared" si="59"/>
        <v>857.02848249214867</v>
      </c>
      <c r="AN112" s="59">
        <f ca="1">AVERAGE(OFFSET($AM$3,0,0,'Données projet'!$E$10+1,1))-AVERAGE(OFFSET($H$3,0,0,'Données projet'!$E$10+1,1))</f>
        <v>423.80243030843661</v>
      </c>
      <c r="AO112" s="59">
        <f t="shared" si="90"/>
        <v>260.29028006191834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12.628217175670409</v>
      </c>
      <c r="AV112" s="21">
        <f>EXP(-LN(2)/25)*AV111+(1-EXP(-LN(2)/25))/(LN(2)/25)*Calculateur!AQ112*Calculateur!AS112*VLOOKUP('Données projet'!$B$10,Paramètres!$A$1:$I$89,3,0)*0.475*44/12</f>
        <v>14.562232040113988</v>
      </c>
      <c r="AW112" s="21">
        <f>EXP(-LN(2)/2)*AW111+(1-EXP(-LN(2)/2))/(LN(2)/2)*AQ112*AT112*VLOOKUP('Données projet'!$B$10,Paramètres!$A$1:$I$89,3,0)*0.475*44/12</f>
        <v>1.3753805389406635</v>
      </c>
      <c r="AX112" s="21">
        <f t="shared" si="60"/>
        <v>28.565829754725062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-1.3596945791505279E-13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373.61861223558259</v>
      </c>
      <c r="BJ112" s="59">
        <f t="shared" si="92"/>
        <v>277.62293009761049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86.302849635367082</v>
      </c>
      <c r="BQ112" s="21">
        <f>EXP(-LN(2)/25)*BQ111+(1-EXP(-LN(2)/25))/(LN(2)/25)*Calculateur!BL112*Calculateur!BN112*VLOOKUP('Données projet'!$B$11,Paramètres!$A$1:$I$89,3,0)*0.475*44/12</f>
        <v>23.156255458009763</v>
      </c>
      <c r="BR112" s="21">
        <f>EXP(-LN(2)/2)*BR111+(1-EXP(-LN(2)/2))/(LN(2)/2)*BL112*BO112*VLOOKUP('Données projet'!$B$11,Paramètres!$A$1:$I$89,3,0)*0.475*44/12</f>
        <v>3.0520152384937455E-3</v>
      </c>
      <c r="BS112" s="22">
        <f t="shared" si="63"/>
        <v>109.46215710861534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8.5265128291212022E-14</v>
      </c>
      <c r="BZ112" s="13">
        <f>BY112*VLOOKUP('Données projet'!$B$12,Paramètres!$A$1:$I$89,3,0)*VLOOKUP('Données projet'!$B$12,Paramètres!$A$1:$I$89,5,0)</f>
        <v>7.4487616075202836E-14</v>
      </c>
      <c r="CA112" s="13">
        <f t="shared" si="93"/>
        <v>1.1580453144473142E-12</v>
      </c>
      <c r="CB112" s="20">
        <f t="shared" si="64"/>
        <v>2.1466615206600508E-12</v>
      </c>
      <c r="CC112" s="59">
        <f t="shared" si="65"/>
        <v>279.72532035259144</v>
      </c>
      <c r="CD112" s="59">
        <f ca="1">AVERAGE(OFFSET($CC$3,0,0,'Données projet'!$E$12+1,1))-AVERAGE(OFFSET($H$3,0,0,'Données projet'!$E$12+1,1))</f>
        <v>251.30277097589737</v>
      </c>
      <c r="CE112" s="59">
        <f t="shared" si="94"/>
        <v>224.11983819941796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12.448240064711872</v>
      </c>
      <c r="CL112" s="21">
        <f>EXP(-LN(2)/25)*CL111+(1-EXP(-LN(2)/25))/(LN(2)/25)*Calculateur!CG112*Calculateur!CI112*VLOOKUP('Données projet'!$B$12,Paramètres!$A$1:$I$89,3,0)*0.475*44/12</f>
        <v>29.596822511381831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42.045062576093699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2.8421709430404007E-14</v>
      </c>
      <c r="CU112" s="17">
        <f>CT112*VLOOKUP('Données projet'!$B$13,Paramètres!$A$1:$I$89,3,0)*VLOOKUP('Données projet'!$B$13,Paramètres!$A$1:$I$89,5,0)</f>
        <v>2.4829205358400945E-14</v>
      </c>
      <c r="CV112" s="13">
        <f t="shared" si="95"/>
        <v>4.3867331143352915E-13</v>
      </c>
      <c r="CW112" s="20">
        <f t="shared" si="67"/>
        <v>8.0726688341261168E-13</v>
      </c>
      <c r="CX112" s="59">
        <f t="shared" si="68"/>
        <v>279.72532035259007</v>
      </c>
      <c r="CY112" s="59">
        <f ca="1">AVERAGE(OFFSET($CX$3,0,0,'Données projet'!$E$13+1,1))-AVERAGE(OFFSET($H$3,0,0,'Données projet'!$E$13+1,1))</f>
        <v>287.28439432670405</v>
      </c>
      <c r="CZ112" s="59">
        <f t="shared" si="96"/>
        <v>276.01618888357268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18.574085870788881</v>
      </c>
      <c r="DG112" s="21">
        <f>EXP(-LN(2)/25)*DG111+(1-EXP(-LN(2)/25))/(LN(2)/25)*Calculateur!DB112*Calculateur!DD112*VLOOKUP('Données projet'!$B$13,Paramètres!$A$1:$I$89,3,0)*0.475*44/12</f>
        <v>16.332404565264628</v>
      </c>
      <c r="DH112" s="21">
        <f>EXP(-LN(2)/2)*DH111+(1-EXP(-LN(2)/2))/(LN(2)/2)*DB112*DE112*VLOOKUP('Données projet'!$B$13,Paramètres!$A$1:$I$89,3,0)*0.475*44/12</f>
        <v>1.9613944741752216E-3</v>
      </c>
      <c r="DI112" s="22">
        <f t="shared" si="69"/>
        <v>34.908451830527682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1.9230769230769227</v>
      </c>
      <c r="DO112" s="12">
        <f>IF('Données projet'!$A$166&gt;35,DO111+DN112-DW111,IF(A112&lt;'Données projet'!$A$166,$DL$205^A112,IF(A112='Données projet'!$A$166,'Données projet'!$B$166,DO111+DN112-DW111)))</f>
        <v>114.10256410256403</v>
      </c>
      <c r="DP112" s="17">
        <f>DO112*VLOOKUP('Données projet'!$B$14,Paramètres!$A$1:$I$89,3,0)*VLOOKUP('Données projet'!$B$14,Paramètres!$A$1:$I$89,5,0)</f>
        <v>110.35999999999993</v>
      </c>
      <c r="DQ112" s="13">
        <f t="shared" si="97"/>
        <v>29.415787244427506</v>
      </c>
      <c r="DR112" s="20">
        <f t="shared" si="70"/>
        <v>243.44282945071109</v>
      </c>
      <c r="DS112" s="59">
        <f t="shared" si="71"/>
        <v>523.16814980330037</v>
      </c>
      <c r="DT112" s="59">
        <f ca="1">AVERAGE(OFFSET($DS$3,0,0,'Données projet'!$E$14+1,1))-AVERAGE(OFFSET($H$3,0,0,'Données projet'!$E$14+1,1))</f>
        <v>206.5245935130306</v>
      </c>
      <c r="DU112" s="59">
        <f t="shared" si="98"/>
        <v>130.57011290898546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4.3163758679164941</v>
      </c>
      <c r="EC112" s="21">
        <f>EXP(-LN(2)/2)*EC111+(1-EXP(-LN(2)/2))/(LN(2)/2)*DW112*DZ112*VLOOKUP('Données projet'!$B$14,Paramètres!$A$1:$I$89,3,0)*0.475*44/12</f>
        <v>0.43627839768842275</v>
      </c>
      <c r="ED112" s="22">
        <f t="shared" si="72"/>
        <v>4.7526542656049164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>
        <f>VLOOKUP(A112,'Données projet'!$A$191:$I$211,2,0)</f>
        <v>471.36</v>
      </c>
      <c r="EH112" s="12">
        <f>VLOOKUP(A112,'Données projet'!$A$191:$I$211,9,0)</f>
        <v>9.1833333333333318</v>
      </c>
      <c r="EI112" s="12">
        <f t="array" ref="EI112">INDEX(EH:EH,MIN(IF(ISNUMBER(EH112:EH308),ROW(EH112:EH308),"")))</f>
        <v>9.1833333333333318</v>
      </c>
      <c r="EJ112" s="12">
        <f>IF('Données projet'!$A$192&gt;35,EJ111+EI112-ER111,IF(A112&lt;'Données projet'!$A$192,$EG$205^A112,IF(A112='Données projet'!$A$192,'Données projet'!$B$192,EJ111+EI112-ER111)))</f>
        <v>471.35999999999996</v>
      </c>
      <c r="EK112" s="17">
        <f>EJ112*VLOOKUP('Données projet'!$B$15,Paramètres!$A$1:$I$89,3,0)*VLOOKUP('Données projet'!$B$15,Paramètres!$A$1:$I$89,5,0)</f>
        <v>220.59647999999999</v>
      </c>
      <c r="EL112" s="13">
        <f t="shared" si="99"/>
        <v>54.244507265119324</v>
      </c>
      <c r="EM112" s="20">
        <f t="shared" si="73"/>
        <v>478.6813861534161</v>
      </c>
      <c r="EN112" s="59">
        <f t="shared" si="74"/>
        <v>758.40670650600532</v>
      </c>
      <c r="EO112" s="59">
        <f ca="1">AVERAGE(OFFSET($EN$3,0,0,'Données projet'!$E$15+1,1))-AVERAGE(OFFSET($H$3,0,0,'Données projet'!$E$15+1,1))</f>
        <v>374.38106339726073</v>
      </c>
      <c r="EP112" s="59">
        <f t="shared" si="100"/>
        <v>296.53283288925957</v>
      </c>
      <c r="EQ112" s="15">
        <f>IF(ISNA(VLOOKUP(A112,'Données projet'!$A$191:$I$211,3,0)),0,VLOOKUP(A112,'Données projet'!$A$191:$I$211,3,0))</f>
        <v>6</v>
      </c>
      <c r="ER112" s="15">
        <f>IF(ISNA(VLOOKUP(A112,'Données projet'!$A$191:$I$211,4,0)),0,VLOOKUP(A112,'Données projet'!$A$191:$I$211,4,0))</f>
        <v>92.199999999999989</v>
      </c>
      <c r="ES112" s="16">
        <f>IF(ISNA(VLOOKUP(A112,'Données projet'!$A$191:$I$211,5,0)),0%,VLOOKUP(A112,'Données projet'!$A$191:$I$211,5,0)*VLOOKUP('Données projet'!$B$15,Paramètres!$A$1:$I$89,7,0))</f>
        <v>0.33</v>
      </c>
      <c r="ET112" s="16">
        <f>IF(ISNA(VLOOKUP(A112,'Données projet'!$A$191:$I$211,6,0)),0%,VLOOKUP(A112,'Données projet'!$A$191:$I$211,6,0)*VLOOKUP('Données projet'!$B$15,Paramètres!$A$1:$I$89,7,0))</f>
        <v>0.11000000000000001</v>
      </c>
      <c r="EU112" s="16">
        <f>IF(ISNA(VLOOKUP(A112,'Données projet'!$A$191:$I$211,7,0)),0%,VLOOKUP(A112,'Données projet'!$A$191:$I$211,7,0))</f>
        <v>0.2</v>
      </c>
      <c r="EV112" s="21">
        <f>EXP(-LN(2)/35)*EV111+(1-EXP(-LN(2)/35))/(LN(2)/35)*ER112*ES112*VLOOKUP('Données projet'!$B$15,Paramètres!$A$1:$I$89,3,0)*0.475*44/12</f>
        <v>68.817356809006142</v>
      </c>
      <c r="EW112" s="21">
        <f>EXP(-LN(2)/25)*EW111+(1-EXP(-LN(2)/25))/(LN(2)/25)*Calculateur!ER112*Calculateur!ET112*VLOOKUP('Données projet'!$B$15,Paramètres!$A$1:$I$89,3,0)*0.475*44/12</f>
        <v>22.831363463415105</v>
      </c>
      <c r="EX112" s="21">
        <f>EXP(-LN(2)/2)*EX111+(1-EXP(-LN(2)/2))/(LN(2)/2)*ER112*EU112*VLOOKUP('Données projet'!$B$15,Paramètres!$A$1:$I$89,3,0)*0.475*44/12</f>
        <v>9.9236002285586764</v>
      </c>
      <c r="EY112" s="22">
        <f t="shared" si="75"/>
        <v>101.57232050097991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9">
        <f t="shared" si="55"/>
        <v>1036.0729198709885</v>
      </c>
      <c r="S113" s="59">
        <f ca="1">AVERAGE(OFFSET($R$3,0,0,'Données projet'!$E$9+1,1))-AVERAGE(OFFSET($H$3,0,0,'Données projet'!$E$9+1,1))</f>
        <v>681.47578137804555</v>
      </c>
      <c r="T113" s="59">
        <f t="shared" si="88"/>
        <v>300.88511065995885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4.2</v>
      </c>
      <c r="AH113" s="12">
        <f t="array" ref="AH113">INDEX(AG:AG,MIN(IF(ISNUMBER(AG113:AG309),ROW(AG113:AG309),"")))</f>
        <v>4.2</v>
      </c>
      <c r="AI113" s="13">
        <f>IF('Données projet'!$A$62&gt;35,AI112+AH113-AQ112,IF(A113&lt;'Données projet'!$A$62,$AF$205^A113,IF(A113='Données projet'!$A$62,'Données projet'!$B$62,AI112+AH113-AQ112)))</f>
        <v>284.99999999999994</v>
      </c>
      <c r="AJ113" s="13">
        <f>AI113*VLOOKUP('Données projet'!$B$10,Paramètres!$A$1:$I$89,3,0)*VLOOKUP('Données projet'!$B$10,Paramètres!$A$1:$I$89,5,0)</f>
        <v>271.20599999999996</v>
      </c>
      <c r="AK113" s="13">
        <f t="shared" si="89"/>
        <v>65.105146500461984</v>
      </c>
      <c r="AL113" s="20">
        <f t="shared" si="58"/>
        <v>585.74191348830459</v>
      </c>
      <c r="AM113" s="59">
        <f t="shared" si="59"/>
        <v>865.70330244315051</v>
      </c>
      <c r="AN113" s="59">
        <f ca="1">AVERAGE(OFFSET($AM$3,0,0,'Données projet'!$E$10+1,1))-AVERAGE(OFFSET($H$3,0,0,'Données projet'!$E$10+1,1))</f>
        <v>423.80243030843661</v>
      </c>
      <c r="AO113" s="59">
        <f t="shared" si="90"/>
        <v>260.29028006191834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0.1075</v>
      </c>
      <c r="AS113" s="16">
        <f>IF(ISNA(VLOOKUP(A113,'Données projet'!$A$61:$I$81,6,0)),0%,VLOOKUP(A113,'Données projet'!$A$61:$I$81,6,0)*VLOOKUP('Données projet'!$B$10,Paramètres!$A$1:$I$89,7,0))</f>
        <v>0.1075</v>
      </c>
      <c r="AT113" s="16">
        <f>IF(ISNA(VLOOKUP(A113,'Données projet'!$A$61:$I$81,7,0)),0%,VLOOKUP(A113,'Données projet'!$A$61:$I$81,7,0))</f>
        <v>0.25</v>
      </c>
      <c r="AU113" s="21">
        <f>EXP(-LN(2)/35)*AU112+(1-EXP(-LN(2)/35))/(LN(2)/35)*AQ113*AR113*VLOOKUP('Données projet'!$B$10,Paramètres!$A$1:$I$89,3,0)*0.475*44/12</f>
        <v>14.529225304193998</v>
      </c>
      <c r="AV113" s="21">
        <f>EXP(-LN(2)/25)*AV112+(1-EXP(-LN(2)/25))/(LN(2)/25)*Calculateur!AQ113*Calculateur!AS113*VLOOKUP('Données projet'!$B$10,Paramètres!$A$1:$I$89,3,0)*0.475*44/12</f>
        <v>16.304206790618839</v>
      </c>
      <c r="AW113" s="21">
        <f>EXP(-LN(2)/2)*AW112+(1-EXP(-LN(2)/2))/(LN(2)/2)*AQ113*AT113*VLOOKUP('Données projet'!$B$10,Paramètres!$A$1:$I$89,3,0)*0.475*44/12</f>
        <v>5.2373769125047662</v>
      </c>
      <c r="AX113" s="21">
        <f t="shared" si="60"/>
        <v>36.0708090073176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-1.3596945791505279E-13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373.61861223558259</v>
      </c>
      <c r="BJ113" s="59">
        <f t="shared" si="92"/>
        <v>277.62293009761049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84.610503393558091</v>
      </c>
      <c r="BQ113" s="21">
        <f>EXP(-LN(2)/25)*BQ112+(1-EXP(-LN(2)/25))/(LN(2)/25)*Calculateur!BL113*Calculateur!BN113*VLOOKUP('Données projet'!$B$11,Paramètres!$A$1:$I$89,3,0)*0.475*44/12</f>
        <v>22.523046434775935</v>
      </c>
      <c r="BR113" s="21">
        <f>EXP(-LN(2)/2)*BR112+(1-EXP(-LN(2)/2))/(LN(2)/2)*BL113*BO113*VLOOKUP('Données projet'!$B$11,Paramètres!$A$1:$I$89,3,0)*0.475*44/12</f>
        <v>2.1581006714236056E-3</v>
      </c>
      <c r="BS113" s="22">
        <f t="shared" si="63"/>
        <v>107.13570792900545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8.5265128291212022E-14</v>
      </c>
      <c r="BZ113" s="13">
        <f>BY113*VLOOKUP('Données projet'!$B$12,Paramètres!$A$1:$I$89,3,0)*VLOOKUP('Données projet'!$B$12,Paramètres!$A$1:$I$89,5,0)</f>
        <v>7.4487616075202836E-14</v>
      </c>
      <c r="CA113" s="13">
        <f t="shared" si="93"/>
        <v>1.1580453144473142E-12</v>
      </c>
      <c r="CB113" s="20">
        <f t="shared" si="64"/>
        <v>2.1466615206600508E-12</v>
      </c>
      <c r="CC113" s="59">
        <f t="shared" si="65"/>
        <v>279.96138895484802</v>
      </c>
      <c r="CD113" s="59">
        <f ca="1">AVERAGE(OFFSET($CC$3,0,0,'Données projet'!$E$12+1,1))-AVERAGE(OFFSET($H$3,0,0,'Données projet'!$E$12+1,1))</f>
        <v>251.30277097589737</v>
      </c>
      <c r="CE113" s="59">
        <f t="shared" si="94"/>
        <v>224.11983819941796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12.204137669719596</v>
      </c>
      <c r="CL113" s="21">
        <f>EXP(-LN(2)/25)*CL112+(1-EXP(-LN(2)/25))/(LN(2)/25)*Calculateur!CG113*Calculateur!CI113*VLOOKUP('Données projet'!$B$12,Paramètres!$A$1:$I$89,3,0)*0.475*44/12</f>
        <v>28.787495843378842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40.991633513098435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2.8421709430404007E-14</v>
      </c>
      <c r="CU113" s="17">
        <f>CT113*VLOOKUP('Données projet'!$B$13,Paramètres!$A$1:$I$89,3,0)*VLOOKUP('Données projet'!$B$13,Paramètres!$A$1:$I$89,5,0)</f>
        <v>2.4829205358400945E-14</v>
      </c>
      <c r="CV113" s="13">
        <f t="shared" si="95"/>
        <v>4.3867331143352915E-13</v>
      </c>
      <c r="CW113" s="20">
        <f t="shared" si="67"/>
        <v>8.0726688341261168E-13</v>
      </c>
      <c r="CX113" s="59">
        <f t="shared" si="68"/>
        <v>279.96138895484665</v>
      </c>
      <c r="CY113" s="59">
        <f ca="1">AVERAGE(OFFSET($CX$3,0,0,'Données projet'!$E$13+1,1))-AVERAGE(OFFSET($H$3,0,0,'Données projet'!$E$13+1,1))</f>
        <v>287.28439432670405</v>
      </c>
      <c r="CZ113" s="59">
        <f t="shared" si="96"/>
        <v>276.01618888357268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18.209859375936439</v>
      </c>
      <c r="DG113" s="21">
        <f>EXP(-LN(2)/25)*DG112+(1-EXP(-LN(2)/25))/(LN(2)/25)*Calculateur!DB113*Calculateur!DD113*VLOOKUP('Données projet'!$B$13,Paramètres!$A$1:$I$89,3,0)*0.475*44/12</f>
        <v>15.88579410354364</v>
      </c>
      <c r="DH113" s="21">
        <f>EXP(-LN(2)/2)*DH112+(1-EXP(-LN(2)/2))/(LN(2)/2)*DB113*DE113*VLOOKUP('Données projet'!$B$13,Paramètres!$A$1:$I$89,3,0)*0.475*44/12</f>
        <v>1.3869153332711219E-3</v>
      </c>
      <c r="DI113" s="22">
        <f t="shared" si="69"/>
        <v>34.097040394813348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116.02564102564102</v>
      </c>
      <c r="DM113" s="12">
        <f>VLOOKUP(A113,'Données projet'!$A$165:$I$185,9,0)</f>
        <v>1.9230769230769227</v>
      </c>
      <c r="DN113" s="12">
        <f t="array" ref="DN113">INDEX(DM:DM,MIN(IF(ISNUMBER(DM113:DM309),ROW(DM113:DM309),"")))</f>
        <v>1.9230769230769227</v>
      </c>
      <c r="DO113" s="12">
        <f>IF('Données projet'!$A$166&gt;35,DO112+DN113-DW112,IF(A113&lt;'Données projet'!$A$166,$DL$205^A113,IF(A113='Données projet'!$A$166,'Données projet'!$B$166,DO112+DN113-DW112)))</f>
        <v>116.02564102564095</v>
      </c>
      <c r="DP113" s="17">
        <f>DO113*VLOOKUP('Données projet'!$B$14,Paramètres!$A$1:$I$89,3,0)*VLOOKUP('Données projet'!$B$14,Paramètres!$A$1:$I$89,5,0)</f>
        <v>112.21999999999993</v>
      </c>
      <c r="DQ113" s="13">
        <f t="shared" si="97"/>
        <v>29.85342408912129</v>
      </c>
      <c r="DR113" s="20">
        <f t="shared" si="70"/>
        <v>247.44454695521941</v>
      </c>
      <c r="DS113" s="59">
        <f t="shared" si="71"/>
        <v>527.4059359100653</v>
      </c>
      <c r="DT113" s="59">
        <f ca="1">AVERAGE(OFFSET($DS$3,0,0,'Données projet'!$E$14+1,1))-AVERAGE(OFFSET($H$3,0,0,'Données projet'!$E$14+1,1))</f>
        <v>206.5245935130306</v>
      </c>
      <c r="DU113" s="59">
        <f t="shared" si="98"/>
        <v>130.57011290898546</v>
      </c>
      <c r="DV113" s="15">
        <f>IF(ISNA(VLOOKUP(A113,'Données projet'!$A$165:$I$185,3,0)),0,VLOOKUP(A113,'Données projet'!$A$165:$I$185,3,0))</f>
        <v>18</v>
      </c>
      <c r="DW113" s="15">
        <f>IF(ISNA(VLOOKUP(A113,'Données projet'!$A$165:$I$185,4,0)),0,VLOOKUP(A113,'Données projet'!$A$165:$I$185,4,0))</f>
        <v>6.4102564102564097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0.1075</v>
      </c>
      <c r="DZ113" s="16">
        <f>IF(ISNA(VLOOKUP(A113,'Données projet'!$A$165:$I$185,7,0)),0%,VLOOKUP(A113,'Données projet'!$A$165:$I$185,7,0))</f>
        <v>0.25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4.9322393041540646</v>
      </c>
      <c r="EC113" s="21">
        <f>EXP(-LN(2)/2)*EC112+(1-EXP(-LN(2)/2))/(LN(2)/2)*DW113*DZ113*VLOOKUP('Données projet'!$B$14,Paramètres!$A$1:$I$89,3,0)*0.475*44/12</f>
        <v>1.7709621311290364</v>
      </c>
      <c r="ED113" s="22">
        <f t="shared" si="72"/>
        <v>6.7032014352831011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8.2299999999999986</v>
      </c>
      <c r="EJ113" s="12">
        <f>IF('Données projet'!$A$192&gt;35,EJ112+EI113-ER112,IF(A113&lt;'Données projet'!$A$192,$EG$205^A113,IF(A113='Données projet'!$A$192,'Données projet'!$B$192,EJ112+EI113-ER112)))</f>
        <v>387.39</v>
      </c>
      <c r="EK113" s="17">
        <f>EJ113*VLOOKUP('Données projet'!$B$15,Paramètres!$A$1:$I$89,3,0)*VLOOKUP('Données projet'!$B$15,Paramètres!$A$1:$I$89,5,0)</f>
        <v>181.29852</v>
      </c>
      <c r="EL113" s="13">
        <f t="shared" si="99"/>
        <v>45.610961972441139</v>
      </c>
      <c r="EM113" s="20">
        <f t="shared" si="73"/>
        <v>395.20068110200162</v>
      </c>
      <c r="EN113" s="59">
        <f t="shared" si="74"/>
        <v>675.16207005684748</v>
      </c>
      <c r="EO113" s="59">
        <f ca="1">AVERAGE(OFFSET($EN$3,0,0,'Données projet'!$E$15+1,1))-AVERAGE(OFFSET($H$3,0,0,'Données projet'!$E$15+1,1))</f>
        <v>374.38106339726073</v>
      </c>
      <c r="EP113" s="59">
        <f t="shared" si="100"/>
        <v>296.53283288925957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67.467890416424552</v>
      </c>
      <c r="EW113" s="21">
        <f>EXP(-LN(2)/25)*EW112+(1-EXP(-LN(2)/25))/(LN(2)/25)*Calculateur!ER113*Calculateur!ET113*VLOOKUP('Données projet'!$B$15,Paramètres!$A$1:$I$89,3,0)*0.475*44/12</f>
        <v>22.207038628858797</v>
      </c>
      <c r="EX113" s="21">
        <f>EXP(-LN(2)/2)*EX112+(1-EXP(-LN(2)/2))/(LN(2)/2)*ER113*EU113*VLOOKUP('Données projet'!$B$15,Paramètres!$A$1:$I$89,3,0)*0.475*44/12</f>
        <v>7.0170450153982138</v>
      </c>
      <c r="EY113" s="22">
        <f t="shared" si="75"/>
        <v>96.691974060681559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9">
        <f t="shared" si="55"/>
        <v>1053.1076648239114</v>
      </c>
      <c r="S114" s="59">
        <f ca="1">AVERAGE(OFFSET($R$3,0,0,'Données projet'!$E$9+1,1))-AVERAGE(OFFSET($H$3,0,0,'Données projet'!$E$9+1,1))</f>
        <v>681.47578137804555</v>
      </c>
      <c r="T114" s="59">
        <f t="shared" si="88"/>
        <v>300.88511065995885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3.8</v>
      </c>
      <c r="AI114" s="13">
        <f>IF('Données projet'!$A$62&gt;35,AI113+AH114-AQ113,IF(A114&lt;'Données projet'!$A$62,$AF$205^A114,IF(A114='Données projet'!$A$62,'Données projet'!$B$62,AI113+AH114-AQ113)))</f>
        <v>269.79999999999995</v>
      </c>
      <c r="AJ114" s="13">
        <f>AI114*VLOOKUP('Données projet'!$B$10,Paramètres!$A$1:$I$89,3,0)*VLOOKUP('Données projet'!$B$10,Paramètres!$A$1:$I$89,5,0)</f>
        <v>256.74167999999997</v>
      </c>
      <c r="AK114" s="13">
        <f t="shared" si="89"/>
        <v>62.027326852695715</v>
      </c>
      <c r="AL114" s="20">
        <f t="shared" si="58"/>
        <v>555.18935360177829</v>
      </c>
      <c r="AM114" s="59">
        <f t="shared" si="59"/>
        <v>835.38271589640181</v>
      </c>
      <c r="AN114" s="59">
        <f ca="1">AVERAGE(OFFSET($AM$3,0,0,'Données projet'!$E$10+1,1))-AVERAGE(OFFSET($H$3,0,0,'Données projet'!$E$10+1,1))</f>
        <v>423.80243030843661</v>
      </c>
      <c r="AO114" s="59">
        <f t="shared" si="90"/>
        <v>260.29028006191834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14.244316057931144</v>
      </c>
      <c r="AV114" s="21">
        <f>EXP(-LN(2)/25)*AV113+(1-EXP(-LN(2)/25))/(LN(2)/25)*Calculateur!AQ114*Calculateur!AS114*VLOOKUP('Données projet'!$B$10,Paramètres!$A$1:$I$89,3,0)*0.475*44/12</f>
        <v>15.858367398528395</v>
      </c>
      <c r="AW114" s="21">
        <f>EXP(-LN(2)/2)*AW113+(1-EXP(-LN(2)/2))/(LN(2)/2)*AQ114*AT114*VLOOKUP('Données projet'!$B$10,Paramètres!$A$1:$I$89,3,0)*0.475*44/12</f>
        <v>3.703384730461984</v>
      </c>
      <c r="AX114" s="21">
        <f t="shared" si="60"/>
        <v>33.806068186921522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-1.3596945791505279E-13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373.61861223558259</v>
      </c>
      <c r="BJ114" s="59">
        <f t="shared" si="92"/>
        <v>277.62293009761049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82.951343029321691</v>
      </c>
      <c r="BQ114" s="21">
        <f>EXP(-LN(2)/25)*BQ113+(1-EXP(-LN(2)/25))/(LN(2)/25)*Calculateur!BL114*Calculateur!BN114*VLOOKUP('Données projet'!$B$11,Paramètres!$A$1:$I$89,3,0)*0.475*44/12</f>
        <v>21.907152545581454</v>
      </c>
      <c r="BR114" s="21">
        <f>EXP(-LN(2)/2)*BR113+(1-EXP(-LN(2)/2))/(LN(2)/2)*BL114*BO114*VLOOKUP('Données projet'!$B$11,Paramètres!$A$1:$I$89,3,0)*0.475*44/12</f>
        <v>1.5260076192468728E-3</v>
      </c>
      <c r="BS114" s="22">
        <f t="shared" si="63"/>
        <v>104.86002158252239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8.5265128291212022E-14</v>
      </c>
      <c r="BZ114" s="13">
        <f>BY114*VLOOKUP('Données projet'!$B$12,Paramètres!$A$1:$I$89,3,0)*VLOOKUP('Données projet'!$B$12,Paramètres!$A$1:$I$89,5,0)</f>
        <v>7.4487616075202836E-14</v>
      </c>
      <c r="CA114" s="13">
        <f t="shared" si="93"/>
        <v>1.1580453144473142E-12</v>
      </c>
      <c r="CB114" s="20">
        <f t="shared" si="64"/>
        <v>2.1466615206600508E-12</v>
      </c>
      <c r="CC114" s="59">
        <f t="shared" si="65"/>
        <v>280.19336229462573</v>
      </c>
      <c r="CD114" s="59">
        <f ca="1">AVERAGE(OFFSET($CC$3,0,0,'Données projet'!$E$12+1,1))-AVERAGE(OFFSET($H$3,0,0,'Données projet'!$E$12+1,1))</f>
        <v>251.30277097589737</v>
      </c>
      <c r="CE114" s="59">
        <f t="shared" si="94"/>
        <v>224.11983819941796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11.96482197380536</v>
      </c>
      <c r="CL114" s="21">
        <f>EXP(-LN(2)/25)*CL113+(1-EXP(-LN(2)/25))/(LN(2)/25)*Calculateur!CG114*Calculateur!CI114*VLOOKUP('Données projet'!$B$12,Paramètres!$A$1:$I$89,3,0)*0.475*44/12</f>
        <v>28.000300255673036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39.965122229478396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2.8421709430404007E-14</v>
      </c>
      <c r="CU114" s="17">
        <f>CT114*VLOOKUP('Données projet'!$B$13,Paramètres!$A$1:$I$89,3,0)*VLOOKUP('Données projet'!$B$13,Paramètres!$A$1:$I$89,5,0)</f>
        <v>2.4829205358400945E-14</v>
      </c>
      <c r="CV114" s="13">
        <f t="shared" si="95"/>
        <v>4.3867331143352915E-13</v>
      </c>
      <c r="CW114" s="20">
        <f t="shared" si="67"/>
        <v>8.0726688341261168E-13</v>
      </c>
      <c r="CX114" s="59">
        <f t="shared" si="68"/>
        <v>280.19336229462436</v>
      </c>
      <c r="CY114" s="59">
        <f ca="1">AVERAGE(OFFSET($CX$3,0,0,'Données projet'!$E$13+1,1))-AVERAGE(OFFSET($H$3,0,0,'Données projet'!$E$13+1,1))</f>
        <v>287.28439432670405</v>
      </c>
      <c r="CZ114" s="59">
        <f t="shared" si="96"/>
        <v>276.01618888357268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17.852775140491829</v>
      </c>
      <c r="DG114" s="21">
        <f>EXP(-LN(2)/25)*DG113+(1-EXP(-LN(2)/25))/(LN(2)/25)*Calculateur!DB114*Calculateur!DD114*VLOOKUP('Données projet'!$B$13,Paramètres!$A$1:$I$89,3,0)*0.475*44/12</f>
        <v>15.451396228384635</v>
      </c>
      <c r="DH114" s="21">
        <f>EXP(-LN(2)/2)*DH113+(1-EXP(-LN(2)/2))/(LN(2)/2)*DB114*DE114*VLOOKUP('Données projet'!$B$13,Paramètres!$A$1:$I$89,3,0)*0.475*44/12</f>
        <v>9.8069723708761082E-4</v>
      </c>
      <c r="DI114" s="22">
        <f t="shared" si="69"/>
        <v>33.305152066113557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1.9230769230769227</v>
      </c>
      <c r="DO114" s="12">
        <f>IF('Données projet'!$A$166&gt;35,DO113+DN114-DW113,IF(A114&lt;'Données projet'!$A$166,$DL$205^A114,IF(A114='Données projet'!$A$166,'Données projet'!$B$166,DO113+DN114-DW113)))</f>
        <v>111.53846153846146</v>
      </c>
      <c r="DP114" s="17">
        <f>DO114*VLOOKUP('Données projet'!$B$14,Paramètres!$A$1:$I$89,3,0)*VLOOKUP('Données projet'!$B$14,Paramètres!$A$1:$I$89,5,0)</f>
        <v>107.87999999999992</v>
      </c>
      <c r="DQ114" s="13">
        <f t="shared" si="97"/>
        <v>28.830931714811175</v>
      </c>
      <c r="DR114" s="20">
        <f t="shared" si="70"/>
        <v>238.10487273662932</v>
      </c>
      <c r="DS114" s="59">
        <f t="shared" si="71"/>
        <v>518.29823503125294</v>
      </c>
      <c r="DT114" s="59">
        <f ca="1">AVERAGE(OFFSET($DS$3,0,0,'Données projet'!$E$14+1,1))-AVERAGE(OFFSET($H$3,0,0,'Données projet'!$E$14+1,1))</f>
        <v>206.5245935130306</v>
      </c>
      <c r="DU114" s="59">
        <f t="shared" si="98"/>
        <v>130.57011290898546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4.7973669610067793</v>
      </c>
      <c r="EC114" s="21">
        <f>EXP(-LN(2)/2)*EC113+(1-EXP(-LN(2)/2))/(LN(2)/2)*DW114*DZ114*VLOOKUP('Données projet'!$B$14,Paramètres!$A$1:$I$89,3,0)*0.475*44/12</f>
        <v>1.2522593321459214</v>
      </c>
      <c r="ED114" s="22">
        <f t="shared" si="72"/>
        <v>6.0496262931527003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8.2299999999999986</v>
      </c>
      <c r="EJ114" s="12">
        <f>IF('Données projet'!$A$192&gt;35,EJ113+EI114-ER113,IF(A114&lt;'Données projet'!$A$192,$EG$205^A114,IF(A114='Données projet'!$A$192,'Données projet'!$B$192,EJ113+EI114-ER113)))</f>
        <v>395.62</v>
      </c>
      <c r="EK114" s="17">
        <f>EJ114*VLOOKUP('Données projet'!$B$15,Paramètres!$A$1:$I$89,3,0)*VLOOKUP('Données projet'!$B$15,Paramètres!$A$1:$I$89,5,0)</f>
        <v>185.15016000000003</v>
      </c>
      <c r="EL114" s="13">
        <f t="shared" si="99"/>
        <v>46.466113860658915</v>
      </c>
      <c r="EM114" s="20">
        <f t="shared" si="73"/>
        <v>403.39834364064762</v>
      </c>
      <c r="EN114" s="59">
        <f t="shared" si="74"/>
        <v>683.59170593527119</v>
      </c>
      <c r="EO114" s="59">
        <f ca="1">AVERAGE(OFFSET($EN$3,0,0,'Données projet'!$E$15+1,1))-AVERAGE(OFFSET($H$3,0,0,'Données projet'!$E$15+1,1))</f>
        <v>374.38106339726073</v>
      </c>
      <c r="EP114" s="59">
        <f t="shared" si="100"/>
        <v>296.53283288925957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66.14488623670826</v>
      </c>
      <c r="EW114" s="21">
        <f>EXP(-LN(2)/25)*EW113+(1-EXP(-LN(2)/25))/(LN(2)/25)*Calculateur!ER114*Calculateur!ET114*VLOOKUP('Données projet'!$B$15,Paramètres!$A$1:$I$89,3,0)*0.475*44/12</f>
        <v>21.599785989735246</v>
      </c>
      <c r="EX114" s="21">
        <f>EXP(-LN(2)/2)*EX113+(1-EXP(-LN(2)/2))/(LN(2)/2)*ER114*EU114*VLOOKUP('Données projet'!$B$15,Paramètres!$A$1:$I$89,3,0)*0.475*44/12</f>
        <v>4.9618001142793391</v>
      </c>
      <c r="EY114" s="22">
        <f t="shared" si="75"/>
        <v>92.70647234072284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9">
        <f t="shared" si="55"/>
        <v>1070.1309855250167</v>
      </c>
      <c r="S115" s="59">
        <f ca="1">AVERAGE(OFFSET($R$3,0,0,'Données projet'!$E$9+1,1))-AVERAGE(OFFSET($H$3,0,0,'Données projet'!$E$9+1,1))</f>
        <v>681.47578137804555</v>
      </c>
      <c r="T115" s="59">
        <f t="shared" si="88"/>
        <v>300.88511065995885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3.8</v>
      </c>
      <c r="AI115" s="13">
        <f>IF('Données projet'!$A$62&gt;35,AI114+AH115-AQ114,IF(A115&lt;'Données projet'!$A$62,$AF$205^A115,IF(A115='Données projet'!$A$62,'Données projet'!$B$62,AI114+AH115-AQ114)))</f>
        <v>273.59999999999997</v>
      </c>
      <c r="AJ115" s="13">
        <f>AI115*VLOOKUP('Données projet'!$B$10,Paramètres!$A$1:$I$89,3,0)*VLOOKUP('Données projet'!$B$10,Paramètres!$A$1:$I$89,5,0)</f>
        <v>260.35775999999998</v>
      </c>
      <c r="AK115" s="13">
        <f t="shared" si="89"/>
        <v>62.7986318267358</v>
      </c>
      <c r="AL115" s="20">
        <f t="shared" si="58"/>
        <v>562.83071576489817</v>
      </c>
      <c r="AM115" s="59">
        <f t="shared" si="59"/>
        <v>843.25202718046899</v>
      </c>
      <c r="AN115" s="59">
        <f ca="1">AVERAGE(OFFSET($AM$3,0,0,'Données projet'!$E$10+1,1))-AVERAGE(OFFSET($H$3,0,0,'Données projet'!$E$10+1,1))</f>
        <v>423.80243030843661</v>
      </c>
      <c r="AO115" s="59">
        <f t="shared" si="90"/>
        <v>260.29028006191834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13.964993708210024</v>
      </c>
      <c r="AV115" s="21">
        <f>EXP(-LN(2)/25)*AV114+(1-EXP(-LN(2)/25))/(LN(2)/25)*Calculateur!AQ115*Calculateur!AS115*VLOOKUP('Données projet'!$B$10,Paramètres!$A$1:$I$89,3,0)*0.475*44/12</f>
        <v>15.42471950806034</v>
      </c>
      <c r="AW115" s="21">
        <f>EXP(-LN(2)/2)*AW114+(1-EXP(-LN(2)/2))/(LN(2)/2)*AQ115*AT115*VLOOKUP('Données projet'!$B$10,Paramètres!$A$1:$I$89,3,0)*0.475*44/12</f>
        <v>2.6186884562523836</v>
      </c>
      <c r="AX115" s="21">
        <f t="shared" si="60"/>
        <v>32.008401672522751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-1.3596945791505279E-13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373.61861223558259</v>
      </c>
      <c r="BJ115" s="59">
        <f t="shared" si="92"/>
        <v>277.62293009761049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81.324717787840072</v>
      </c>
      <c r="BQ115" s="21">
        <f>EXP(-LN(2)/25)*BQ114+(1-EXP(-LN(2)/25))/(LN(2)/25)*Calculateur!BL115*Calculateur!BN115*VLOOKUP('Données projet'!$B$11,Paramètres!$A$1:$I$89,3,0)*0.475*44/12</f>
        <v>21.308100307175447</v>
      </c>
      <c r="BR115" s="21">
        <f>EXP(-LN(2)/2)*BR114+(1-EXP(-LN(2)/2))/(LN(2)/2)*BL115*BO115*VLOOKUP('Données projet'!$B$11,Paramètres!$A$1:$I$89,3,0)*0.475*44/12</f>
        <v>1.0790503357118028E-3</v>
      </c>
      <c r="BS115" s="22">
        <f t="shared" si="63"/>
        <v>102.63389714535124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8.5265128291212022E-14</v>
      </c>
      <c r="BZ115" s="13">
        <f>BY115*VLOOKUP('Données projet'!$B$12,Paramètres!$A$1:$I$89,3,0)*VLOOKUP('Données projet'!$B$12,Paramètres!$A$1:$I$89,5,0)</f>
        <v>7.4487616075202836E-14</v>
      </c>
      <c r="CA115" s="13">
        <f t="shared" si="93"/>
        <v>1.1580453144473142E-12</v>
      </c>
      <c r="CB115" s="20">
        <f t="shared" si="64"/>
        <v>2.1466615206600508E-12</v>
      </c>
      <c r="CC115" s="59">
        <f t="shared" si="65"/>
        <v>280.42131141557303</v>
      </c>
      <c r="CD115" s="59">
        <f ca="1">AVERAGE(OFFSET($CC$3,0,0,'Données projet'!$E$12+1,1))-AVERAGE(OFFSET($H$3,0,0,'Données projet'!$E$12+1,1))</f>
        <v>251.30277097589737</v>
      </c>
      <c r="CE115" s="59">
        <f t="shared" si="94"/>
        <v>224.11983819941796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11.730199112719841</v>
      </c>
      <c r="CL115" s="21">
        <f>EXP(-LN(2)/25)*CL114+(1-EXP(-LN(2)/25))/(LN(2)/25)*Calculateur!CG115*Calculateur!CI115*VLOOKUP('Données projet'!$B$12,Paramètres!$A$1:$I$89,3,0)*0.475*44/12</f>
        <v>27.234630572709861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38.964829685429706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2.8421709430404007E-14</v>
      </c>
      <c r="CU115" s="17">
        <f>CT115*VLOOKUP('Données projet'!$B$13,Paramètres!$A$1:$I$89,3,0)*VLOOKUP('Données projet'!$B$13,Paramètres!$A$1:$I$89,5,0)</f>
        <v>2.4829205358400945E-14</v>
      </c>
      <c r="CV115" s="13">
        <f t="shared" si="95"/>
        <v>4.3867331143352915E-13</v>
      </c>
      <c r="CW115" s="20">
        <f t="shared" si="67"/>
        <v>8.0726688341261168E-13</v>
      </c>
      <c r="CX115" s="59">
        <f t="shared" si="68"/>
        <v>280.42131141557167</v>
      </c>
      <c r="CY115" s="59">
        <f ca="1">AVERAGE(OFFSET($CX$3,0,0,'Données projet'!$E$13+1,1))-AVERAGE(OFFSET($H$3,0,0,'Données projet'!$E$13+1,1))</f>
        <v>287.28439432670405</v>
      </c>
      <c r="CZ115" s="59">
        <f t="shared" si="96"/>
        <v>276.01618888357268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17.50269310910441</v>
      </c>
      <c r="DG115" s="21">
        <f>EXP(-LN(2)/25)*DG114+(1-EXP(-LN(2)/25))/(LN(2)/25)*Calculateur!DB115*Calculateur!DD115*VLOOKUP('Données projet'!$B$13,Paramètres!$A$1:$I$89,3,0)*0.475*44/12</f>
        <v>15.028876985965844</v>
      </c>
      <c r="DH115" s="21">
        <f>EXP(-LN(2)/2)*DH114+(1-EXP(-LN(2)/2))/(LN(2)/2)*DB115*DE115*VLOOKUP('Données projet'!$B$13,Paramètres!$A$1:$I$89,3,0)*0.475*44/12</f>
        <v>6.9345766663556096E-4</v>
      </c>
      <c r="DI115" s="22">
        <f t="shared" si="69"/>
        <v>32.532263552736886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1.9230769230769227</v>
      </c>
      <c r="DO115" s="12">
        <f>IF('Données projet'!$A$166&gt;35,DO114+DN115-DW114,IF(A115&lt;'Données projet'!$A$166,$DL$205^A115,IF(A115='Données projet'!$A$166,'Données projet'!$B$166,DO114+DN115-DW114)))</f>
        <v>113.46153846153838</v>
      </c>
      <c r="DP115" s="17">
        <f>DO115*VLOOKUP('Données projet'!$B$14,Paramètres!$A$1:$I$89,3,0)*VLOOKUP('Données projet'!$B$14,Paramètres!$A$1:$I$89,5,0)</f>
        <v>109.73999999999992</v>
      </c>
      <c r="DQ115" s="13">
        <f t="shared" si="97"/>
        <v>29.269718110335369</v>
      </c>
      <c r="DR115" s="20">
        <f t="shared" si="70"/>
        <v>242.10859237550062</v>
      </c>
      <c r="DS115" s="59">
        <f t="shared" si="71"/>
        <v>522.52990379107155</v>
      </c>
      <c r="DT115" s="59">
        <f ca="1">AVERAGE(OFFSET($DS$3,0,0,'Données projet'!$E$14+1,1))-AVERAGE(OFFSET($H$3,0,0,'Données projet'!$E$14+1,1))</f>
        <v>206.5245935130306</v>
      </c>
      <c r="DU115" s="59">
        <f t="shared" si="98"/>
        <v>130.57011290898546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4.6661827091754846</v>
      </c>
      <c r="EC115" s="21">
        <f>EXP(-LN(2)/2)*EC114+(1-EXP(-LN(2)/2))/(LN(2)/2)*DW115*DZ115*VLOOKUP('Données projet'!$B$14,Paramètres!$A$1:$I$89,3,0)*0.475*44/12</f>
        <v>0.88548106556451822</v>
      </c>
      <c r="ED115" s="22">
        <f t="shared" si="72"/>
        <v>5.5516637747400033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8.2299999999999986</v>
      </c>
      <c r="EJ115" s="12">
        <f>IF('Données projet'!$A$192&gt;35,EJ114+EI115-ER114,IF(A115&lt;'Données projet'!$A$192,$EG$205^A115,IF(A115='Données projet'!$A$192,'Données projet'!$B$192,EJ114+EI115-ER114)))</f>
        <v>403.85</v>
      </c>
      <c r="EK115" s="17">
        <f>EJ115*VLOOKUP('Données projet'!$B$15,Paramètres!$A$1:$I$89,3,0)*VLOOKUP('Données projet'!$B$15,Paramètres!$A$1:$I$89,5,0)</f>
        <v>189.0018</v>
      </c>
      <c r="EL115" s="13">
        <f t="shared" si="99"/>
        <v>47.319197393100204</v>
      </c>
      <c r="EM115" s="20">
        <f t="shared" si="73"/>
        <v>411.59240379298285</v>
      </c>
      <c r="EN115" s="59">
        <f t="shared" si="74"/>
        <v>692.01371520855378</v>
      </c>
      <c r="EO115" s="59">
        <f ca="1">AVERAGE(OFFSET($EN$3,0,0,'Données projet'!$E$15+1,1))-AVERAGE(OFFSET($H$3,0,0,'Données projet'!$E$15+1,1))</f>
        <v>374.38106339726073</v>
      </c>
      <c r="EP115" s="59">
        <f t="shared" si="100"/>
        <v>296.53283288925957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64.847825362003334</v>
      </c>
      <c r="EW115" s="21">
        <f>EXP(-LN(2)/25)*EW114+(1-EXP(-LN(2)/25))/(LN(2)/25)*Calculateur!ER115*Calculateur!ET115*VLOOKUP('Données projet'!$B$15,Paramètres!$A$1:$I$89,3,0)*0.475*44/12</f>
        <v>21.009138705962556</v>
      </c>
      <c r="EX115" s="21">
        <f>EXP(-LN(2)/2)*EX114+(1-EXP(-LN(2)/2))/(LN(2)/2)*ER115*EU115*VLOOKUP('Données projet'!$B$15,Paramètres!$A$1:$I$89,3,0)*0.475*44/12</f>
        <v>3.5085225076991073</v>
      </c>
      <c r="EY115" s="22">
        <f t="shared" si="75"/>
        <v>89.365486575665003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9">
        <f t="shared" si="55"/>
        <v>1087.1431311825938</v>
      </c>
      <c r="S116" s="59">
        <f ca="1">AVERAGE(OFFSET($R$3,0,0,'Données projet'!$E$9+1,1))-AVERAGE(OFFSET($H$3,0,0,'Données projet'!$E$9+1,1))</f>
        <v>681.47578137804555</v>
      </c>
      <c r="T116" s="59">
        <f t="shared" si="88"/>
        <v>300.88511065995885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3.8</v>
      </c>
      <c r="AI116" s="13">
        <f>IF('Données projet'!$A$62&gt;35,AI115+AH116-AQ115,IF(A116&lt;'Données projet'!$A$62,$AF$205^A116,IF(A116='Données projet'!$A$62,'Données projet'!$B$62,AI115+AH116-AQ115)))</f>
        <v>277.39999999999998</v>
      </c>
      <c r="AJ116" s="13">
        <f>AI116*VLOOKUP('Données projet'!$B$10,Paramètres!$A$1:$I$89,3,0)*VLOOKUP('Données projet'!$B$10,Paramètres!$A$1:$I$89,5,0)</f>
        <v>263.97383999999994</v>
      </c>
      <c r="AK116" s="13">
        <f t="shared" si="89"/>
        <v>63.56869082277958</v>
      </c>
      <c r="AL116" s="20">
        <f t="shared" si="58"/>
        <v>570.46990784967431</v>
      </c>
      <c r="AM116" s="59">
        <f t="shared" si="59"/>
        <v>851.115213978562</v>
      </c>
      <c r="AN116" s="59">
        <f ca="1">AVERAGE(OFFSET($AM$3,0,0,'Données projet'!$E$10+1,1))-AVERAGE(OFFSET($H$3,0,0,'Données projet'!$E$10+1,1))</f>
        <v>423.80243030843661</v>
      </c>
      <c r="AO116" s="59">
        <f t="shared" si="90"/>
        <v>260.29028006191834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13.691148699397123</v>
      </c>
      <c r="AV116" s="21">
        <f>EXP(-LN(2)/25)*AV115+(1-EXP(-LN(2)/25))/(LN(2)/25)*Calculateur!AQ116*Calculateur!AS116*VLOOKUP('Données projet'!$B$10,Paramètres!$A$1:$I$89,3,0)*0.475*44/12</f>
        <v>15.002929741961685</v>
      </c>
      <c r="AW116" s="21">
        <f>EXP(-LN(2)/2)*AW115+(1-EXP(-LN(2)/2))/(LN(2)/2)*AQ116*AT116*VLOOKUP('Données projet'!$B$10,Paramètres!$A$1:$I$89,3,0)*0.475*44/12</f>
        <v>1.8516923652309922</v>
      </c>
      <c r="AX116" s="21">
        <f t="shared" si="60"/>
        <v>30.5457708065898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-1.3596945791505279E-13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373.61861223558259</v>
      </c>
      <c r="BJ116" s="59">
        <f t="shared" si="92"/>
        <v>277.62293009761049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79.729989675200471</v>
      </c>
      <c r="BQ116" s="21">
        <f>EXP(-LN(2)/25)*BQ115+(1-EXP(-LN(2)/25))/(LN(2)/25)*Calculateur!BL116*Calculateur!BN116*VLOOKUP('Données projet'!$B$11,Paramètres!$A$1:$I$89,3,0)*0.475*44/12</f>
        <v>20.725429183731439</v>
      </c>
      <c r="BR116" s="21">
        <f>EXP(-LN(2)/2)*BR115+(1-EXP(-LN(2)/2))/(LN(2)/2)*BL116*BO116*VLOOKUP('Données projet'!$B$11,Paramètres!$A$1:$I$89,3,0)*0.475*44/12</f>
        <v>7.6300380962343638E-4</v>
      </c>
      <c r="BS116" s="22">
        <f t="shared" si="63"/>
        <v>100.45618186274153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8.5265128291212022E-14</v>
      </c>
      <c r="BZ116" s="13">
        <f>BY116*VLOOKUP('Données projet'!$B$12,Paramètres!$A$1:$I$89,3,0)*VLOOKUP('Données projet'!$B$12,Paramètres!$A$1:$I$89,5,0)</f>
        <v>7.4487616075202836E-14</v>
      </c>
      <c r="CA116" s="13">
        <f t="shared" si="93"/>
        <v>1.1580453144473142E-12</v>
      </c>
      <c r="CB116" s="20">
        <f t="shared" si="64"/>
        <v>2.1466615206600508E-12</v>
      </c>
      <c r="CC116" s="59">
        <f t="shared" si="65"/>
        <v>280.64530612888979</v>
      </c>
      <c r="CD116" s="59">
        <f ca="1">AVERAGE(OFFSET($CC$3,0,0,'Données projet'!$E$12+1,1))-AVERAGE(OFFSET($H$3,0,0,'Données projet'!$E$12+1,1))</f>
        <v>251.30277097589737</v>
      </c>
      <c r="CE116" s="59">
        <f t="shared" si="94"/>
        <v>224.11983819941796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11.500177062834394</v>
      </c>
      <c r="CL116" s="21">
        <f>EXP(-LN(2)/25)*CL115+(1-EXP(-LN(2)/25))/(LN(2)/25)*Calculateur!CG116*Calculateur!CI116*VLOOKUP('Données projet'!$B$12,Paramètres!$A$1:$I$89,3,0)*0.475*44/12</f>
        <v>26.489898167492132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37.990075230326525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2.8421709430404007E-14</v>
      </c>
      <c r="CU116" s="17">
        <f>CT116*VLOOKUP('Données projet'!$B$13,Paramètres!$A$1:$I$89,3,0)*VLOOKUP('Données projet'!$B$13,Paramètres!$A$1:$I$89,5,0)</f>
        <v>2.4829205358400945E-14</v>
      </c>
      <c r="CV116" s="13">
        <f t="shared" si="95"/>
        <v>4.3867331143352915E-13</v>
      </c>
      <c r="CW116" s="20">
        <f t="shared" si="67"/>
        <v>8.0726688341261168E-13</v>
      </c>
      <c r="CX116" s="59">
        <f t="shared" si="68"/>
        <v>280.64530612888842</v>
      </c>
      <c r="CY116" s="59">
        <f ca="1">AVERAGE(OFFSET($CX$3,0,0,'Données projet'!$E$13+1,1))-AVERAGE(OFFSET($H$3,0,0,'Données projet'!$E$13+1,1))</f>
        <v>287.28439432670405</v>
      </c>
      <c r="CZ116" s="59">
        <f t="shared" si="96"/>
        <v>276.01618888357268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17.159475972823543</v>
      </c>
      <c r="DG116" s="21">
        <f>EXP(-LN(2)/25)*DG115+(1-EXP(-LN(2)/25))/(LN(2)/25)*Calculateur!DB116*Calculateur!DD116*VLOOKUP('Données projet'!$B$13,Paramètres!$A$1:$I$89,3,0)*0.475*44/12</f>
        <v>14.617911554450316</v>
      </c>
      <c r="DH116" s="21">
        <f>EXP(-LN(2)/2)*DH115+(1-EXP(-LN(2)/2))/(LN(2)/2)*DB116*DE116*VLOOKUP('Données projet'!$B$13,Paramètres!$A$1:$I$89,3,0)*0.475*44/12</f>
        <v>4.9034861854380541E-4</v>
      </c>
      <c r="DI116" s="22">
        <f t="shared" si="69"/>
        <v>31.777877875892404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1.9230769230769227</v>
      </c>
      <c r="DO116" s="12">
        <f>IF('Données projet'!$A$166&gt;35,DO115+DN116-DW115,IF(A116&lt;'Données projet'!$A$166,$DL$205^A116,IF(A116='Données projet'!$A$166,'Données projet'!$B$166,DO115+DN116-DW115)))</f>
        <v>115.3846153846153</v>
      </c>
      <c r="DP116" s="17">
        <f>DO116*VLOOKUP('Données projet'!$B$14,Paramètres!$A$1:$I$89,3,0)*VLOOKUP('Données projet'!$B$14,Paramètres!$A$1:$I$89,5,0)</f>
        <v>111.59999999999992</v>
      </c>
      <c r="DQ116" s="13">
        <f t="shared" si="97"/>
        <v>29.707639641956273</v>
      </c>
      <c r="DR116" s="20">
        <f t="shared" si="70"/>
        <v>246.11080570974036</v>
      </c>
      <c r="DS116" s="59">
        <f t="shared" si="71"/>
        <v>526.75611183862793</v>
      </c>
      <c r="DT116" s="59">
        <f ca="1">AVERAGE(OFFSET($DS$3,0,0,'Données projet'!$E$14+1,1))-AVERAGE(OFFSET($H$3,0,0,'Données projet'!$E$14+1,1))</f>
        <v>206.5245935130306</v>
      </c>
      <c r="DU116" s="59">
        <f t="shared" si="98"/>
        <v>130.57011290898546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4.5385856976091974</v>
      </c>
      <c r="EC116" s="21">
        <f>EXP(-LN(2)/2)*EC115+(1-EXP(-LN(2)/2))/(LN(2)/2)*DW116*DZ116*VLOOKUP('Données projet'!$B$14,Paramètres!$A$1:$I$89,3,0)*0.475*44/12</f>
        <v>0.62612966607296072</v>
      </c>
      <c r="ED116" s="22">
        <f t="shared" si="72"/>
        <v>5.1647153636821583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8.2299999999999986</v>
      </c>
      <c r="EJ116" s="12">
        <f>IF('Données projet'!$A$192&gt;35,EJ115+EI116-ER115,IF(A116&lt;'Données projet'!$A$192,$EG$205^A116,IF(A116='Données projet'!$A$192,'Données projet'!$B$192,EJ115+EI116-ER115)))</f>
        <v>412.08000000000004</v>
      </c>
      <c r="EK116" s="17">
        <f>EJ116*VLOOKUP('Données projet'!$B$15,Paramètres!$A$1:$I$89,3,0)*VLOOKUP('Données projet'!$B$15,Paramètres!$A$1:$I$89,5,0)</f>
        <v>192.85344000000003</v>
      </c>
      <c r="EL116" s="13">
        <f t="shared" si="99"/>
        <v>48.170259577628116</v>
      </c>
      <c r="EM116" s="20">
        <f t="shared" si="73"/>
        <v>419.78294343103568</v>
      </c>
      <c r="EN116" s="59">
        <f t="shared" si="74"/>
        <v>700.4282495599233</v>
      </c>
      <c r="EO116" s="59">
        <f ca="1">AVERAGE(OFFSET($EN$3,0,0,'Données projet'!$E$15+1,1))-AVERAGE(OFFSET($H$3,0,0,'Données projet'!$E$15+1,1))</f>
        <v>374.38106339726073</v>
      </c>
      <c r="EP116" s="59">
        <f t="shared" si="100"/>
        <v>296.53283288925957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63.576199059922359</v>
      </c>
      <c r="EW116" s="21">
        <f>EXP(-LN(2)/25)*EW115+(1-EXP(-LN(2)/25))/(LN(2)/25)*Calculateur!ER116*Calculateur!ET116*VLOOKUP('Données projet'!$B$15,Paramètres!$A$1:$I$89,3,0)*0.475*44/12</f>
        <v>20.434642703225421</v>
      </c>
      <c r="EX116" s="21">
        <f>EXP(-LN(2)/2)*EX115+(1-EXP(-LN(2)/2))/(LN(2)/2)*ER116*EU116*VLOOKUP('Données projet'!$B$15,Paramètres!$A$1:$I$89,3,0)*0.475*44/12</f>
        <v>2.48090005713967</v>
      </c>
      <c r="EY116" s="22">
        <f t="shared" si="75"/>
        <v>86.491741820287444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9">
        <f t="shared" si="55"/>
        <v>1104.1443417238165</v>
      </c>
      <c r="S117" s="59">
        <f ca="1">AVERAGE(OFFSET($R$3,0,0,'Données projet'!$E$9+1,1))-AVERAGE(OFFSET($H$3,0,0,'Données projet'!$E$9+1,1))</f>
        <v>681.47578137804555</v>
      </c>
      <c r="T117" s="59">
        <f t="shared" si="88"/>
        <v>300.88511065995885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3.8</v>
      </c>
      <c r="AI117" s="13">
        <f>IF('Données projet'!$A$62&gt;35,AI116+AH117-AQ116,IF(A117&lt;'Données projet'!$A$62,$AF$205^A117,IF(A117='Données projet'!$A$62,'Données projet'!$B$62,AI116+AH117-AQ116)))</f>
        <v>281.2</v>
      </c>
      <c r="AJ117" s="13">
        <f>AI117*VLOOKUP('Données projet'!$B$10,Paramètres!$A$1:$I$89,3,0)*VLOOKUP('Données projet'!$B$10,Paramètres!$A$1:$I$89,5,0)</f>
        <v>267.58992000000001</v>
      </c>
      <c r="AK117" s="13">
        <f t="shared" si="89"/>
        <v>64.33752288177115</v>
      </c>
      <c r="AL117" s="20">
        <f t="shared" si="58"/>
        <v>578.1069630190849</v>
      </c>
      <c r="AM117" s="59">
        <f t="shared" si="59"/>
        <v>858.97237805379041</v>
      </c>
      <c r="AN117" s="59">
        <f ca="1">AVERAGE(OFFSET($AM$3,0,0,'Données projet'!$E$10+1,1))-AVERAGE(OFFSET($H$3,0,0,'Données projet'!$E$10+1,1))</f>
        <v>423.80243030843661</v>
      </c>
      <c r="AO117" s="59">
        <f t="shared" si="90"/>
        <v>260.29028006191834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13.422673624178081</v>
      </c>
      <c r="AV117" s="21">
        <f>EXP(-LN(2)/25)*AV116+(1-EXP(-LN(2)/25))/(LN(2)/25)*Calculateur!AQ117*Calculateur!AS117*VLOOKUP('Données projet'!$B$10,Paramètres!$A$1:$I$89,3,0)*0.475*44/12</f>
        <v>14.592673839197957</v>
      </c>
      <c r="AW117" s="21">
        <f>EXP(-LN(2)/2)*AW116+(1-EXP(-LN(2)/2))/(LN(2)/2)*AQ117*AT117*VLOOKUP('Données projet'!$B$10,Paramètres!$A$1:$I$89,3,0)*0.475*44/12</f>
        <v>1.309344228126192</v>
      </c>
      <c r="AX117" s="21">
        <f t="shared" si="60"/>
        <v>29.324691691502231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-1.3596945791505279E-13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373.61861223558259</v>
      </c>
      <c r="BJ117" s="59">
        <f t="shared" si="92"/>
        <v>277.62293009761049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78.166533208161624</v>
      </c>
      <c r="BQ117" s="21">
        <f>EXP(-LN(2)/25)*BQ116+(1-EXP(-LN(2)/25))/(LN(2)/25)*Calculateur!BL117*Calculateur!BN117*VLOOKUP('Données projet'!$B$11,Paramètres!$A$1:$I$89,3,0)*0.475*44/12</f>
        <v>20.158691232799352</v>
      </c>
      <c r="BR117" s="21">
        <f>EXP(-LN(2)/2)*BR116+(1-EXP(-LN(2)/2))/(LN(2)/2)*BL117*BO117*VLOOKUP('Données projet'!$B$11,Paramètres!$A$1:$I$89,3,0)*0.475*44/12</f>
        <v>5.3952516785590139E-4</v>
      </c>
      <c r="BS117" s="22">
        <f t="shared" si="63"/>
        <v>98.325763966128832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8.5265128291212022E-14</v>
      </c>
      <c r="BZ117" s="13">
        <f>BY117*VLOOKUP('Données projet'!$B$12,Paramètres!$A$1:$I$89,3,0)*VLOOKUP('Données projet'!$B$12,Paramètres!$A$1:$I$89,5,0)</f>
        <v>7.4487616075202836E-14</v>
      </c>
      <c r="CA117" s="13">
        <f t="shared" si="93"/>
        <v>1.1580453144473142E-12</v>
      </c>
      <c r="CB117" s="20">
        <f t="shared" si="64"/>
        <v>2.1466615206600508E-12</v>
      </c>
      <c r="CC117" s="59">
        <f t="shared" si="65"/>
        <v>280.86541503470761</v>
      </c>
      <c r="CD117" s="59">
        <f ca="1">AVERAGE(OFFSET($CC$3,0,0,'Données projet'!$E$12+1,1))-AVERAGE(OFFSET($H$3,0,0,'Données projet'!$E$12+1,1))</f>
        <v>251.30277097589737</v>
      </c>
      <c r="CE117" s="59">
        <f t="shared" si="94"/>
        <v>224.11983819941796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11.274665605047604</v>
      </c>
      <c r="CL117" s="21">
        <f>EXP(-LN(2)/25)*CL116+(1-EXP(-LN(2)/25))/(LN(2)/25)*Calculateur!CG117*Calculateur!CI117*VLOOKUP('Données projet'!$B$12,Paramètres!$A$1:$I$89,3,0)*0.475*44/12</f>
        <v>25.765530509058859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37.040196114106465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2.8421709430404007E-14</v>
      </c>
      <c r="CU117" s="17">
        <f>CT117*VLOOKUP('Données projet'!$B$13,Paramètres!$A$1:$I$89,3,0)*VLOOKUP('Données projet'!$B$13,Paramètres!$A$1:$I$89,5,0)</f>
        <v>2.4829205358400945E-14</v>
      </c>
      <c r="CV117" s="13">
        <f t="shared" si="95"/>
        <v>4.3867331143352915E-13</v>
      </c>
      <c r="CW117" s="20">
        <f t="shared" si="67"/>
        <v>8.0726688341261168E-13</v>
      </c>
      <c r="CX117" s="59">
        <f t="shared" si="68"/>
        <v>280.86541503470625</v>
      </c>
      <c r="CY117" s="59">
        <f ca="1">AVERAGE(OFFSET($CX$3,0,0,'Données projet'!$E$13+1,1))-AVERAGE(OFFSET($H$3,0,0,'Données projet'!$E$13+1,1))</f>
        <v>287.28439432670405</v>
      </c>
      <c r="CZ117" s="59">
        <f t="shared" si="96"/>
        <v>276.01618888357268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16.822989115243359</v>
      </c>
      <c r="DG117" s="21">
        <f>EXP(-LN(2)/25)*DG116+(1-EXP(-LN(2)/25))/(LN(2)/25)*Calculateur!DB117*Calculateur!DD117*VLOOKUP('Données projet'!$B$13,Paramètres!$A$1:$I$89,3,0)*0.475*44/12</f>
        <v>14.218183994271314</v>
      </c>
      <c r="DH117" s="21">
        <f>EXP(-LN(2)/2)*DH116+(1-EXP(-LN(2)/2))/(LN(2)/2)*DB117*DE117*VLOOKUP('Données projet'!$B$13,Paramètres!$A$1:$I$89,3,0)*0.475*44/12</f>
        <v>3.4672883331778048E-4</v>
      </c>
      <c r="DI117" s="22">
        <f t="shared" si="69"/>
        <v>31.041519838347991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1.9230769230769227</v>
      </c>
      <c r="DO117" s="12">
        <f>IF('Données projet'!$A$166&gt;35,DO116+DN117-DW116,IF(A117&lt;'Données projet'!$A$166,$DL$205^A117,IF(A117='Données projet'!$A$166,'Données projet'!$B$166,DO116+DN117-DW116)))</f>
        <v>117.30769230769222</v>
      </c>
      <c r="DP117" s="17">
        <f>DO117*VLOOKUP('Données projet'!$B$14,Paramètres!$A$1:$I$89,3,0)*VLOOKUP('Données projet'!$B$14,Paramètres!$A$1:$I$89,5,0)</f>
        <v>113.45999999999994</v>
      </c>
      <c r="DQ117" s="13">
        <f t="shared" si="97"/>
        <v>30.144712387808749</v>
      </c>
      <c r="DR117" s="20">
        <f t="shared" si="70"/>
        <v>250.11154074210015</v>
      </c>
      <c r="DS117" s="59">
        <f t="shared" si="71"/>
        <v>530.97695577680565</v>
      </c>
      <c r="DT117" s="59">
        <f ca="1">AVERAGE(OFFSET($DS$3,0,0,'Données projet'!$E$14+1,1))-AVERAGE(OFFSET($H$3,0,0,'Données projet'!$E$14+1,1))</f>
        <v>206.5245935130306</v>
      </c>
      <c r="DU117" s="59">
        <f t="shared" si="98"/>
        <v>130.57011290898546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4.4144778330342254</v>
      </c>
      <c r="EC117" s="21">
        <f>EXP(-LN(2)/2)*EC116+(1-EXP(-LN(2)/2))/(LN(2)/2)*DW117*DZ117*VLOOKUP('Données projet'!$B$14,Paramètres!$A$1:$I$89,3,0)*0.475*44/12</f>
        <v>0.44274053278225911</v>
      </c>
      <c r="ED117" s="22">
        <f t="shared" si="72"/>
        <v>4.8572183658164843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8.2299999999999986</v>
      </c>
      <c r="EJ117" s="12">
        <f>IF('Données projet'!$A$192&gt;35,EJ116+EI117-ER116,IF(A117&lt;'Données projet'!$A$192,$EG$205^A117,IF(A117='Données projet'!$A$192,'Données projet'!$B$192,EJ116+EI117-ER116)))</f>
        <v>420.31000000000006</v>
      </c>
      <c r="EK117" s="17">
        <f>EJ117*VLOOKUP('Données projet'!$B$15,Paramètres!$A$1:$I$89,3,0)*VLOOKUP('Données projet'!$B$15,Paramètres!$A$1:$I$89,5,0)</f>
        <v>196.70508000000004</v>
      </c>
      <c r="EL117" s="13">
        <f t="shared" si="99"/>
        <v>49.019345437069703</v>
      </c>
      <c r="EM117" s="20">
        <f t="shared" si="73"/>
        <v>427.97004096956312</v>
      </c>
      <c r="EN117" s="59">
        <f t="shared" si="74"/>
        <v>708.83545600426851</v>
      </c>
      <c r="EO117" s="59">
        <f ca="1">AVERAGE(OFFSET($EN$3,0,0,'Données projet'!$E$15+1,1))-AVERAGE(OFFSET($H$3,0,0,'Données projet'!$E$15+1,1))</f>
        <v>374.38106339726073</v>
      </c>
      <c r="EP117" s="59">
        <f t="shared" si="100"/>
        <v>296.53283288925957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62.329508574009736</v>
      </c>
      <c r="EW117" s="21">
        <f>EXP(-LN(2)/25)*EW116+(1-EXP(-LN(2)/25))/(LN(2)/25)*Calculateur!ER117*Calculateur!ET117*VLOOKUP('Données projet'!$B$15,Paramètres!$A$1:$I$89,3,0)*0.475*44/12</f>
        <v>19.875856323894567</v>
      </c>
      <c r="EX117" s="21">
        <f>EXP(-LN(2)/2)*EX116+(1-EXP(-LN(2)/2))/(LN(2)/2)*ER117*EU117*VLOOKUP('Données projet'!$B$15,Paramètres!$A$1:$I$89,3,0)*0.475*44/12</f>
        <v>1.7542612538495539</v>
      </c>
      <c r="EY117" s="22">
        <f t="shared" si="75"/>
        <v>83.959626151753852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9">
        <f t="shared" si="55"/>
        <v>1003.8043674523901</v>
      </c>
      <c r="S118" s="59">
        <f ca="1">AVERAGE(OFFSET($R$3,0,0,'Données projet'!$E$9+1,1))-AVERAGE(OFFSET($H$3,0,0,'Données projet'!$E$9+1,1))</f>
        <v>681.47578137804555</v>
      </c>
      <c r="T118" s="59">
        <f t="shared" si="88"/>
        <v>300.88511065995885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285</v>
      </c>
      <c r="AG118" s="12">
        <f>VLOOKUP(A118,'Données projet'!$A$61:$I$81,9,0)</f>
        <v>3.8</v>
      </c>
      <c r="AH118" s="12">
        <f t="array" ref="AH118">INDEX(AG:AG,MIN(IF(ISNUMBER(AG118:AG314),ROW(AG118:AG314),"")))</f>
        <v>3.8</v>
      </c>
      <c r="AI118" s="13">
        <f>IF('Données projet'!$A$62&gt;35,AI117+AH118-AQ117,IF(A118&lt;'Données projet'!$A$62,$AF$205^A118,IF(A118='Données projet'!$A$62,'Données projet'!$B$62,AI117+AH118-AQ117)))</f>
        <v>285</v>
      </c>
      <c r="AJ118" s="13">
        <f>AI118*VLOOKUP('Données projet'!$B$10,Paramètres!$A$1:$I$89,3,0)*VLOOKUP('Données projet'!$B$10,Paramètres!$A$1:$I$89,5,0)</f>
        <v>271.20600000000002</v>
      </c>
      <c r="AK118" s="13">
        <f t="shared" si="89"/>
        <v>65.105146500462041</v>
      </c>
      <c r="AL118" s="20">
        <f t="shared" si="58"/>
        <v>585.7419134883047</v>
      </c>
      <c r="AM118" s="59">
        <f t="shared" si="59"/>
        <v>866.8236190314019</v>
      </c>
      <c r="AN118" s="59">
        <f ca="1">AVERAGE(OFFSET($AM$3,0,0,'Données projet'!$E$10+1,1))-AVERAGE(OFFSET($H$3,0,0,'Données projet'!$E$10+1,1))</f>
        <v>423.80243030843661</v>
      </c>
      <c r="AO118" s="59">
        <f t="shared" si="90"/>
        <v>260.29028006191834</v>
      </c>
      <c r="AP118" s="15">
        <f>IF(ISNA(VLOOKUP(A118,'Données projet'!$A$61:$I$81,3,0)),0,VLOOKUP(A118,'Données projet'!$A$61:$I$81,3,0))</f>
        <v>19</v>
      </c>
      <c r="AQ118" s="15">
        <f>IF(ISNA(VLOOKUP(A118,'Données projet'!$A$61:$I$81,4,0)),0,VLOOKUP(A118,'Données projet'!$A$61:$I$81,4,0))</f>
        <v>18</v>
      </c>
      <c r="AR118" s="16">
        <f>IF(ISNA(VLOOKUP(A118,'Données projet'!$A$61:$I$81,5,0)),0%,VLOOKUP(A118,'Données projet'!$A$61:$I$81,5,0)*VLOOKUP('Données projet'!$B$10,Paramètres!$A$1:$I$89,7,0))</f>
        <v>0.1075</v>
      </c>
      <c r="AS118" s="16">
        <f>IF(ISNA(VLOOKUP(A118,'Données projet'!$A$61:$I$81,6,0)),0%,VLOOKUP(A118,'Données projet'!$A$61:$I$81,6,0)*VLOOKUP('Données projet'!$B$10,Paramètres!$A$1:$I$89,7,0))</f>
        <v>0.1075</v>
      </c>
      <c r="AT118" s="16">
        <f>IF(ISNA(VLOOKUP(A118,'Données projet'!$A$61:$I$81,7,0)),0%,VLOOKUP(A118,'Données projet'!$A$61:$I$81,7,0))</f>
        <v>0.25</v>
      </c>
      <c r="AU118" s="21">
        <f>EXP(-LN(2)/35)*AU117+(1-EXP(-LN(2)/35))/(LN(2)/35)*AQ118*AR118*VLOOKUP('Données projet'!$B$10,Paramètres!$A$1:$I$89,3,0)*0.475*44/12</f>
        <v>15.195016642901939</v>
      </c>
      <c r="AV118" s="21">
        <f>EXP(-LN(2)/25)*AV117+(1-EXP(-LN(2)/25))/(LN(2)/25)*Calculateur!AQ118*Calculateur!AS118*VLOOKUP('Données projet'!$B$10,Paramètres!$A$1:$I$89,3,0)*0.475*44/12</f>
        <v>16.221175117556715</v>
      </c>
      <c r="AW118" s="21">
        <f>EXP(-LN(2)/2)*AW117+(1-EXP(-LN(2)/2))/(LN(2)/2)*AQ118*AT118*VLOOKUP('Données projet'!$B$10,Paramètres!$A$1:$I$89,3,0)*0.475*44/12</f>
        <v>4.9662171363386891</v>
      </c>
      <c r="AX118" s="21">
        <f t="shared" si="60"/>
        <v>36.382408896797344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-1.3596945791505279E-13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373.61861223558259</v>
      </c>
      <c r="BJ118" s="59">
        <f t="shared" si="92"/>
        <v>277.62293009761049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76.63373516882713</v>
      </c>
      <c r="BQ118" s="21">
        <f>EXP(-LN(2)/25)*BQ117+(1-EXP(-LN(2)/25))/(LN(2)/25)*Calculateur!BL118*Calculateur!BN118*VLOOKUP('Données projet'!$B$11,Paramètres!$A$1:$I$89,3,0)*0.475*44/12</f>
        <v>19.607450760938956</v>
      </c>
      <c r="BR118" s="21">
        <f>EXP(-LN(2)/2)*BR117+(1-EXP(-LN(2)/2))/(LN(2)/2)*BL118*BO118*VLOOKUP('Données projet'!$B$11,Paramètres!$A$1:$I$89,3,0)*0.475*44/12</f>
        <v>3.8150190481171819E-4</v>
      </c>
      <c r="BS118" s="22">
        <f t="shared" si="63"/>
        <v>96.241567431670902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8.5265128291212022E-14</v>
      </c>
      <c r="BZ118" s="13">
        <f>BY118*VLOOKUP('Données projet'!$B$12,Paramètres!$A$1:$I$89,3,0)*VLOOKUP('Données projet'!$B$12,Paramètres!$A$1:$I$89,5,0)</f>
        <v>7.4487616075202836E-14</v>
      </c>
      <c r="CA118" s="13">
        <f t="shared" si="93"/>
        <v>1.1580453144473142E-12</v>
      </c>
      <c r="CB118" s="20">
        <f t="shared" si="64"/>
        <v>2.1466615206600508E-12</v>
      </c>
      <c r="CC118" s="59">
        <f t="shared" si="65"/>
        <v>281.08170554309942</v>
      </c>
      <c r="CD118" s="59">
        <f ca="1">AVERAGE(OFFSET($CC$3,0,0,'Données projet'!$E$12+1,1))-AVERAGE(OFFSET($H$3,0,0,'Données projet'!$E$12+1,1))</f>
        <v>251.30277097589737</v>
      </c>
      <c r="CE118" s="59">
        <f t="shared" si="94"/>
        <v>224.11983819941796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11.053576289399604</v>
      </c>
      <c r="CL118" s="21">
        <f>EXP(-LN(2)/25)*CL117+(1-EXP(-LN(2)/25))/(LN(2)/25)*Calculateur!CG118*Calculateur!CI118*VLOOKUP('Données projet'!$B$12,Paramètres!$A$1:$I$89,3,0)*0.475*44/12</f>
        <v>25.060970722338283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36.114547011737884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2.8421709430404007E-14</v>
      </c>
      <c r="CU118" s="17">
        <f>CT118*VLOOKUP('Données projet'!$B$13,Paramètres!$A$1:$I$89,3,0)*VLOOKUP('Données projet'!$B$13,Paramètres!$A$1:$I$89,5,0)</f>
        <v>2.4829205358400945E-14</v>
      </c>
      <c r="CV118" s="13">
        <f t="shared" si="95"/>
        <v>4.3867331143352915E-13</v>
      </c>
      <c r="CW118" s="20">
        <f t="shared" si="67"/>
        <v>8.0726688341261168E-13</v>
      </c>
      <c r="CX118" s="59">
        <f t="shared" si="68"/>
        <v>281.08170554309805</v>
      </c>
      <c r="CY118" s="59">
        <f ca="1">AVERAGE(OFFSET($CX$3,0,0,'Données projet'!$E$13+1,1))-AVERAGE(OFFSET($H$3,0,0,'Données projet'!$E$13+1,1))</f>
        <v>287.28439432670405</v>
      </c>
      <c r="CZ118" s="59">
        <f t="shared" si="96"/>
        <v>276.01618888357268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16.493100559703606</v>
      </c>
      <c r="DG118" s="21">
        <f>EXP(-LN(2)/25)*DG117+(1-EXP(-LN(2)/25))/(LN(2)/25)*Calculateur!DB118*Calculateur!DD118*VLOOKUP('Données projet'!$B$13,Paramètres!$A$1:$I$89,3,0)*0.475*44/12</f>
        <v>13.829387005246165</v>
      </c>
      <c r="DH118" s="21">
        <f>EXP(-LN(2)/2)*DH117+(1-EXP(-LN(2)/2))/(LN(2)/2)*DB118*DE118*VLOOKUP('Données projet'!$B$13,Paramètres!$A$1:$I$89,3,0)*0.475*44/12</f>
        <v>2.4517430927190271E-4</v>
      </c>
      <c r="DI118" s="22">
        <f t="shared" si="69"/>
        <v>30.322732739259042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>
        <f>VLOOKUP(A118,'Données projet'!$A$165:$I$185,2,0)</f>
        <v>119.23076923076923</v>
      </c>
      <c r="DM118" s="12">
        <f>VLOOKUP(A118,'Données projet'!$A$165:$I$185,9,0)</f>
        <v>1.9230769230769227</v>
      </c>
      <c r="DN118" s="12">
        <f t="array" ref="DN118">INDEX(DM:DM,MIN(IF(ISNUMBER(DM118:DM314),ROW(DM118:DM314),"")))</f>
        <v>1.9230769230769227</v>
      </c>
      <c r="DO118" s="12">
        <f>IF('Données projet'!$A$166&gt;35,DO117+DN118-DW117,IF(A118&lt;'Données projet'!$A$166,$DL$205^A118,IF(A118='Données projet'!$A$166,'Données projet'!$B$166,DO117+DN118-DW117)))</f>
        <v>119.23076923076914</v>
      </c>
      <c r="DP118" s="17">
        <f>DO118*VLOOKUP('Données projet'!$B$14,Paramètres!$A$1:$I$89,3,0)*VLOOKUP('Données projet'!$B$14,Paramètres!$A$1:$I$89,5,0)</f>
        <v>115.31999999999991</v>
      </c>
      <c r="DQ118" s="13">
        <f t="shared" si="97"/>
        <v>30.580951868652893</v>
      </c>
      <c r="DR118" s="20">
        <f t="shared" si="70"/>
        <v>254.11082450457027</v>
      </c>
      <c r="DS118" s="59">
        <f t="shared" si="71"/>
        <v>535.19253004766756</v>
      </c>
      <c r="DT118" s="59">
        <f ca="1">AVERAGE(OFFSET($DS$3,0,0,'Données projet'!$E$14+1,1))-AVERAGE(OFFSET($H$3,0,0,'Données projet'!$E$14+1,1))</f>
        <v>206.5245935130306</v>
      </c>
      <c r="DU118" s="59">
        <f t="shared" si="98"/>
        <v>130.57011290898546</v>
      </c>
      <c r="DV118" s="15">
        <f>IF(ISNA(VLOOKUP(A118,'Données projet'!$A$165:$I$185,3,0)),0,VLOOKUP(A118,'Données projet'!$A$165:$I$185,3,0))</f>
        <v>19</v>
      </c>
      <c r="DW118" s="15">
        <f>IF(ISNA(VLOOKUP(A118,'Données projet'!$A$165:$I$185,4,0)),0,VLOOKUP(A118,'Données projet'!$A$165:$I$185,4,0))</f>
        <v>6.4102564102564097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0.1075</v>
      </c>
      <c r="DZ118" s="16">
        <f>IF(ISNA(VLOOKUP(A118,'Données projet'!$A$165:$I$185,7,0)),0%,VLOOKUP(A118,'Données projet'!$A$165:$I$185,7,0))</f>
        <v>0.25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5.027658665876694</v>
      </c>
      <c r="EC118" s="21">
        <f>EXP(-LN(2)/2)*EC117+(1-EXP(-LN(2)/2))/(LN(2)/2)*DW118*DZ118*VLOOKUP('Données projet'!$B$14,Paramètres!$A$1:$I$89,3,0)*0.475*44/12</f>
        <v>1.7755315506748319</v>
      </c>
      <c r="ED118" s="22">
        <f t="shared" si="72"/>
        <v>6.8031902165515259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8.2299999999999986</v>
      </c>
      <c r="EJ118" s="12">
        <f>IF('Données projet'!$A$192&gt;35,EJ117+EI118-ER117,IF(A118&lt;'Données projet'!$A$192,$EG$205^A118,IF(A118='Données projet'!$A$192,'Données projet'!$B$192,EJ117+EI118-ER117)))</f>
        <v>428.54000000000008</v>
      </c>
      <c r="EK118" s="17">
        <f>EJ118*VLOOKUP('Données projet'!$B$15,Paramètres!$A$1:$I$89,3,0)*VLOOKUP('Données projet'!$B$15,Paramètres!$A$1:$I$89,5,0)</f>
        <v>200.55672000000001</v>
      </c>
      <c r="EL118" s="13">
        <f t="shared" si="99"/>
        <v>49.866498130238412</v>
      </c>
      <c r="EM118" s="20">
        <f t="shared" si="73"/>
        <v>436.15377157683184</v>
      </c>
      <c r="EN118" s="59">
        <f t="shared" si="74"/>
        <v>717.2354771199291</v>
      </c>
      <c r="EO118" s="59">
        <f ca="1">AVERAGE(OFFSET($EN$3,0,0,'Données projet'!$E$15+1,1))-AVERAGE(OFFSET($H$3,0,0,'Données projet'!$E$15+1,1))</f>
        <v>374.38106339726073</v>
      </c>
      <c r="EP118" s="59">
        <f t="shared" si="100"/>
        <v>296.53283288925957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61.107264928119747</v>
      </c>
      <c r="EW118" s="21">
        <f>EXP(-LN(2)/25)*EW117+(1-EXP(-LN(2)/25))/(LN(2)/25)*Calculateur!ER118*Calculateur!ET118*VLOOKUP('Données projet'!$B$15,Paramètres!$A$1:$I$89,3,0)*0.475*44/12</f>
        <v>19.332349987491813</v>
      </c>
      <c r="EX118" s="21">
        <f>EXP(-LN(2)/2)*EX117+(1-EXP(-LN(2)/2))/(LN(2)/2)*ER118*EU118*VLOOKUP('Données projet'!$B$15,Paramètres!$A$1:$I$89,3,0)*0.475*44/12</f>
        <v>1.240450028569835</v>
      </c>
      <c r="EY118" s="22">
        <f t="shared" si="75"/>
        <v>81.680064944181396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9">
        <f t="shared" si="55"/>
        <v>1020.9699073813121</v>
      </c>
      <c r="S119" s="59">
        <f ca="1">AVERAGE(OFFSET($R$3,0,0,'Données projet'!$E$9+1,1))-AVERAGE(OFFSET($H$3,0,0,'Données projet'!$E$9+1,1))</f>
        <v>681.47578137804555</v>
      </c>
      <c r="T119" s="59">
        <f t="shared" si="88"/>
        <v>300.88511065995885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3.6</v>
      </c>
      <c r="AI119" s="13">
        <f>IF('Données projet'!$A$62&gt;35,AI118+AH119-AQ118,IF(A119&lt;'Données projet'!$A$62,$AF$205^A119,IF(A119='Données projet'!$A$62,'Données projet'!$B$62,AI118+AH119-AQ118)))</f>
        <v>270.60000000000002</v>
      </c>
      <c r="AJ119" s="13">
        <f>AI119*VLOOKUP('Données projet'!$B$10,Paramètres!$A$1:$I$89,3,0)*VLOOKUP('Données projet'!$B$10,Paramètres!$A$1:$I$89,5,0)</f>
        <v>257.50296000000003</v>
      </c>
      <c r="AK119" s="13">
        <f t="shared" si="89"/>
        <v>62.189811354397172</v>
      </c>
      <c r="AL119" s="20">
        <f t="shared" si="58"/>
        <v>556.79824344224187</v>
      </c>
      <c r="AM119" s="59">
        <f t="shared" si="59"/>
        <v>838.09248733696336</v>
      </c>
      <c r="AN119" s="59">
        <f ca="1">AVERAGE(OFFSET($AM$3,0,0,'Données projet'!$E$10+1,1))-AVERAGE(OFFSET($H$3,0,0,'Données projet'!$E$10+1,1))</f>
        <v>423.80243030843661</v>
      </c>
      <c r="AO119" s="59">
        <f t="shared" si="90"/>
        <v>260.29028006191834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14.89705163457964</v>
      </c>
      <c r="AV119" s="21">
        <f>EXP(-LN(2)/25)*AV118+(1-EXP(-LN(2)/25))/(LN(2)/25)*Calculateur!AQ119*Calculateur!AS119*VLOOKUP('Données projet'!$B$10,Paramètres!$A$1:$I$89,3,0)*0.475*44/12</f>
        <v>15.777606230932602</v>
      </c>
      <c r="AW119" s="21">
        <f>EXP(-LN(2)/2)*AW118+(1-EXP(-LN(2)/2))/(LN(2)/2)*AQ119*AT119*VLOOKUP('Données projet'!$B$10,Paramètres!$A$1:$I$89,3,0)*0.475*44/12</f>
        <v>3.5116458139499245</v>
      </c>
      <c r="AX119" s="21">
        <f t="shared" si="60"/>
        <v>34.186303679462164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-1.3596945791505279E-13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373.61861223558259</v>
      </c>
      <c r="BJ119" s="59">
        <f t="shared" si="92"/>
        <v>277.62293009761049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75.130994364129492</v>
      </c>
      <c r="BQ119" s="21">
        <f>EXP(-LN(2)/25)*BQ118+(1-EXP(-LN(2)/25))/(LN(2)/25)*Calculateur!BL119*Calculateur!BN119*VLOOKUP('Données projet'!$B$11,Paramètres!$A$1:$I$89,3,0)*0.475*44/12</f>
        <v>19.071283988770059</v>
      </c>
      <c r="BR119" s="21">
        <f>EXP(-LN(2)/2)*BR118+(1-EXP(-LN(2)/2))/(LN(2)/2)*BL119*BO119*VLOOKUP('Données projet'!$B$11,Paramètres!$A$1:$I$89,3,0)*0.475*44/12</f>
        <v>2.6976258392795069E-4</v>
      </c>
      <c r="BS119" s="22">
        <f t="shared" si="63"/>
        <v>94.202548115483481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8.5265128291212022E-14</v>
      </c>
      <c r="BZ119" s="13">
        <f>BY119*VLOOKUP('Données projet'!$B$12,Paramètres!$A$1:$I$89,3,0)*VLOOKUP('Données projet'!$B$12,Paramètres!$A$1:$I$89,5,0)</f>
        <v>7.4487616075202836E-14</v>
      </c>
      <c r="CA119" s="13">
        <f t="shared" si="93"/>
        <v>1.1580453144473142E-12</v>
      </c>
      <c r="CB119" s="20">
        <f t="shared" si="64"/>
        <v>2.1466615206600508E-12</v>
      </c>
      <c r="CC119" s="59">
        <f t="shared" si="65"/>
        <v>281.29424389472365</v>
      </c>
      <c r="CD119" s="59">
        <f ca="1">AVERAGE(OFFSET($CC$3,0,0,'Données projet'!$E$12+1,1))-AVERAGE(OFFSET($H$3,0,0,'Données projet'!$E$12+1,1))</f>
        <v>251.30277097589737</v>
      </c>
      <c r="CE119" s="59">
        <f t="shared" si="94"/>
        <v>224.11983819941796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10.836822400380296</v>
      </c>
      <c r="CL119" s="21">
        <f>EXP(-LN(2)/25)*CL118+(1-EXP(-LN(2)/25))/(LN(2)/25)*Calculateur!CG119*Calculateur!CI119*VLOOKUP('Données projet'!$B$12,Paramètres!$A$1:$I$89,3,0)*0.475*44/12</f>
        <v>24.375677160036769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35.212499560417065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2.8421709430404007E-14</v>
      </c>
      <c r="CU119" s="17">
        <f>CT119*VLOOKUP('Données projet'!$B$13,Paramètres!$A$1:$I$89,3,0)*VLOOKUP('Données projet'!$B$13,Paramètres!$A$1:$I$89,5,0)</f>
        <v>2.4829205358400945E-14</v>
      </c>
      <c r="CV119" s="13">
        <f t="shared" si="95"/>
        <v>4.3867331143352915E-13</v>
      </c>
      <c r="CW119" s="20">
        <f t="shared" si="67"/>
        <v>8.0726688341261168E-13</v>
      </c>
      <c r="CX119" s="59">
        <f t="shared" si="68"/>
        <v>281.29424389472229</v>
      </c>
      <c r="CY119" s="59">
        <f ca="1">AVERAGE(OFFSET($CX$3,0,0,'Données projet'!$E$13+1,1))-AVERAGE(OFFSET($H$3,0,0,'Données projet'!$E$13+1,1))</f>
        <v>287.28439432670405</v>
      </c>
      <c r="CZ119" s="59">
        <f t="shared" si="96"/>
        <v>276.01618888357268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16.169680917525838</v>
      </c>
      <c r="DG119" s="21">
        <f>EXP(-LN(2)/25)*DG118+(1-EXP(-LN(2)/25))/(LN(2)/25)*Calculateur!DB119*Calculateur!DD119*VLOOKUP('Données projet'!$B$13,Paramètres!$A$1:$I$89,3,0)*0.475*44/12</f>
        <v>13.451221690331854</v>
      </c>
      <c r="DH119" s="21">
        <f>EXP(-LN(2)/2)*DH118+(1-EXP(-LN(2)/2))/(LN(2)/2)*DB119*DE119*VLOOKUP('Données projet'!$B$13,Paramètres!$A$1:$I$89,3,0)*0.475*44/12</f>
        <v>1.7336441665889024E-4</v>
      </c>
      <c r="DI119" s="22">
        <f t="shared" si="69"/>
        <v>29.621075972274355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1.9230769230769227</v>
      </c>
      <c r="DO119" s="12">
        <f>IF('Données projet'!$A$166&gt;35,DO118+DN119-DW118,IF(A119&lt;'Données projet'!$A$166,$DL$205^A119,IF(A119='Données projet'!$A$166,'Données projet'!$B$166,DO118+DN119-DW118)))</f>
        <v>114.74358974358965</v>
      </c>
      <c r="DP119" s="17">
        <f>DO119*VLOOKUP('Données projet'!$B$14,Paramètres!$A$1:$I$89,3,0)*VLOOKUP('Données projet'!$B$14,Paramètres!$A$1:$I$89,5,0)</f>
        <v>110.9799999999999</v>
      </c>
      <c r="DQ119" s="13">
        <f t="shared" si="97"/>
        <v>29.561760889846717</v>
      </c>
      <c r="DR119" s="20">
        <f t="shared" si="70"/>
        <v>244.77690021648286</v>
      </c>
      <c r="DS119" s="59">
        <f t="shared" si="71"/>
        <v>526.07114411120438</v>
      </c>
      <c r="DT119" s="59">
        <f ca="1">AVERAGE(OFFSET($DS$3,0,0,'Données projet'!$E$14+1,1))-AVERAGE(OFFSET($H$3,0,0,'Données projet'!$E$14+1,1))</f>
        <v>206.5245935130306</v>
      </c>
      <c r="DU119" s="59">
        <f t="shared" si="98"/>
        <v>130.57011290898546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4.8901770752652176</v>
      </c>
      <c r="EC119" s="21">
        <f>EXP(-LN(2)/2)*EC118+(1-EXP(-LN(2)/2))/(LN(2)/2)*DW119*DZ119*VLOOKUP('Données projet'!$B$14,Paramètres!$A$1:$I$89,3,0)*0.475*44/12</f>
        <v>1.2554903996928399</v>
      </c>
      <c r="ED119" s="22">
        <f t="shared" si="72"/>
        <v>6.1456674749580573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8.2299999999999986</v>
      </c>
      <c r="EJ119" s="12">
        <f>IF('Données projet'!$A$192&gt;35,EJ118+EI119-ER118,IF(A119&lt;'Données projet'!$A$192,$EG$205^A119,IF(A119='Données projet'!$A$192,'Données projet'!$B$192,EJ118+EI119-ER118)))</f>
        <v>436.7700000000001</v>
      </c>
      <c r="EK119" s="17">
        <f>EJ119*VLOOKUP('Données projet'!$B$15,Paramètres!$A$1:$I$89,3,0)*VLOOKUP('Données projet'!$B$15,Paramètres!$A$1:$I$89,5,0)</f>
        <v>204.40836000000004</v>
      </c>
      <c r="EL119" s="13">
        <f t="shared" si="99"/>
        <v>50.71175906339802</v>
      </c>
      <c r="EM119" s="20">
        <f t="shared" si="73"/>
        <v>444.33420736875161</v>
      </c>
      <c r="EN119" s="59">
        <f t="shared" si="74"/>
        <v>725.62845126347315</v>
      </c>
      <c r="EO119" s="59">
        <f ca="1">AVERAGE(OFFSET($EN$3,0,0,'Données projet'!$E$15+1,1))-AVERAGE(OFFSET($H$3,0,0,'Données projet'!$E$15+1,1))</f>
        <v>374.38106339726073</v>
      </c>
      <c r="EP119" s="59">
        <f t="shared" si="100"/>
        <v>296.53283288925957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59.908988734630647</v>
      </c>
      <c r="EW119" s="21">
        <f>EXP(-LN(2)/25)*EW118+(1-EXP(-LN(2)/25))/(LN(2)/25)*Calculateur!ER119*Calculateur!ET119*VLOOKUP('Données projet'!$B$15,Paramètres!$A$1:$I$89,3,0)*0.475*44/12</f>
        <v>18.803705860439749</v>
      </c>
      <c r="EX119" s="21">
        <f>EXP(-LN(2)/2)*EX118+(1-EXP(-LN(2)/2))/(LN(2)/2)*ER119*EU119*VLOOKUP('Données projet'!$B$15,Paramètres!$A$1:$I$89,3,0)*0.475*44/12</f>
        <v>0.87713062692477695</v>
      </c>
      <c r="EY119" s="22">
        <f t="shared" si="75"/>
        <v>79.58982522199517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9">
        <f t="shared" si="55"/>
        <v>1038.1238539317492</v>
      </c>
      <c r="S120" s="59">
        <f ca="1">AVERAGE(OFFSET($R$3,0,0,'Données projet'!$E$9+1,1))-AVERAGE(OFFSET($H$3,0,0,'Données projet'!$E$9+1,1))</f>
        <v>681.47578137804555</v>
      </c>
      <c r="T120" s="59">
        <f t="shared" si="88"/>
        <v>300.88511065995885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</v>
      </c>
      <c r="AI120" s="13">
        <f>IF('Données projet'!$A$62&gt;35,AI119+AH120-AQ119,IF(A120&lt;'Données projet'!$A$62,$AF$205^A120,IF(A120='Données projet'!$A$62,'Données projet'!$B$62,AI119+AH120-AQ119)))</f>
        <v>274.20000000000005</v>
      </c>
      <c r="AJ120" s="13">
        <f>AI120*VLOOKUP('Données projet'!$B$10,Paramètres!$A$1:$I$89,3,0)*VLOOKUP('Données projet'!$B$10,Paramètres!$A$1:$I$89,5,0)</f>
        <v>260.92872000000006</v>
      </c>
      <c r="AK120" s="13">
        <f t="shared" si="89"/>
        <v>62.920302429198031</v>
      </c>
      <c r="AL120" s="20">
        <f t="shared" si="58"/>
        <v>564.03704739752004</v>
      </c>
      <c r="AM120" s="59">
        <f t="shared" si="59"/>
        <v>845.54014257862968</v>
      </c>
      <c r="AN120" s="59">
        <f ca="1">AVERAGE(OFFSET($AM$3,0,0,'Données projet'!$E$10+1,1))-AVERAGE(OFFSET($H$3,0,0,'Données projet'!$E$10+1,1))</f>
        <v>423.80243030843661</v>
      </c>
      <c r="AO120" s="59">
        <f t="shared" si="90"/>
        <v>260.29028006191834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14.604929538329833</v>
      </c>
      <c r="AV120" s="21">
        <f>EXP(-LN(2)/25)*AV119+(1-EXP(-LN(2)/25))/(LN(2)/25)*Calculateur!AQ120*Calculateur!AS120*VLOOKUP('Données projet'!$B$10,Paramètres!$A$1:$I$89,3,0)*0.475*44/12</f>
        <v>15.346166758839498</v>
      </c>
      <c r="AW120" s="21">
        <f>EXP(-LN(2)/2)*AW119+(1-EXP(-LN(2)/2))/(LN(2)/2)*AQ120*AT120*VLOOKUP('Données projet'!$B$10,Paramètres!$A$1:$I$89,3,0)*0.475*44/12</f>
        <v>2.483108568169345</v>
      </c>
      <c r="AX120" s="21">
        <f t="shared" si="60"/>
        <v>32.434204865338671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-1.3596945791505279E-13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373.61861223558259</v>
      </c>
      <c r="BJ120" s="59">
        <f t="shared" si="92"/>
        <v>277.62293009761049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73.657721390030588</v>
      </c>
      <c r="BQ120" s="21">
        <f>EXP(-LN(2)/25)*BQ119+(1-EXP(-LN(2)/25))/(LN(2)/25)*Calculateur!BL120*Calculateur!BN120*VLOOKUP('Données projet'!$B$11,Paramètres!$A$1:$I$89,3,0)*0.475*44/12</f>
        <v>18.549778725181906</v>
      </c>
      <c r="BR120" s="21">
        <f>EXP(-LN(2)/2)*BR119+(1-EXP(-LN(2)/2))/(LN(2)/2)*BL120*BO120*VLOOKUP('Données projet'!$B$11,Paramètres!$A$1:$I$89,3,0)*0.475*44/12</f>
        <v>1.907509524058591E-4</v>
      </c>
      <c r="BS120" s="22">
        <f t="shared" si="63"/>
        <v>92.207690866164896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8.5265128291212022E-14</v>
      </c>
      <c r="BZ120" s="13">
        <f>BY120*VLOOKUP('Données projet'!$B$12,Paramètres!$A$1:$I$89,3,0)*VLOOKUP('Données projet'!$B$12,Paramètres!$A$1:$I$89,5,0)</f>
        <v>7.4487616075202836E-14</v>
      </c>
      <c r="CA120" s="13">
        <f t="shared" si="93"/>
        <v>1.1580453144473142E-12</v>
      </c>
      <c r="CB120" s="20">
        <f t="shared" si="64"/>
        <v>2.1466615206600508E-12</v>
      </c>
      <c r="CC120" s="59">
        <f t="shared" si="65"/>
        <v>281.5030951811118</v>
      </c>
      <c r="CD120" s="59">
        <f ca="1">AVERAGE(OFFSET($CC$3,0,0,'Données projet'!$E$12+1,1))-AVERAGE(OFFSET($H$3,0,0,'Données projet'!$E$12+1,1))</f>
        <v>251.30277097589737</v>
      </c>
      <c r="CE120" s="59">
        <f t="shared" si="94"/>
        <v>224.11983819941796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10.624318922917839</v>
      </c>
      <c r="CL120" s="21">
        <f>EXP(-LN(2)/25)*CL119+(1-EXP(-LN(2)/25))/(LN(2)/25)*Calculateur!CG120*Calculateur!CI120*VLOOKUP('Données projet'!$B$12,Paramètres!$A$1:$I$89,3,0)*0.475*44/12</f>
        <v>23.709122986234412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34.333441909152249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2.8421709430404007E-14</v>
      </c>
      <c r="CU120" s="17">
        <f>CT120*VLOOKUP('Données projet'!$B$13,Paramètres!$A$1:$I$89,3,0)*VLOOKUP('Données projet'!$B$13,Paramètres!$A$1:$I$89,5,0)</f>
        <v>2.4829205358400945E-14</v>
      </c>
      <c r="CV120" s="13">
        <f t="shared" si="95"/>
        <v>4.3867331143352915E-13</v>
      </c>
      <c r="CW120" s="20">
        <f t="shared" si="67"/>
        <v>8.0726688341261168E-13</v>
      </c>
      <c r="CX120" s="59">
        <f t="shared" si="68"/>
        <v>281.50309518111044</v>
      </c>
      <c r="CY120" s="59">
        <f ca="1">AVERAGE(OFFSET($CX$3,0,0,'Données projet'!$E$13+1,1))-AVERAGE(OFFSET($H$3,0,0,'Données projet'!$E$13+1,1))</f>
        <v>287.28439432670405</v>
      </c>
      <c r="CZ120" s="59">
        <f t="shared" si="96"/>
        <v>276.01618888357268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15.852603337264672</v>
      </c>
      <c r="DG120" s="21">
        <f>EXP(-LN(2)/25)*DG119+(1-EXP(-LN(2)/25))/(LN(2)/25)*Calculateur!DB120*Calculateur!DD120*VLOOKUP('Données projet'!$B$13,Paramètres!$A$1:$I$89,3,0)*0.475*44/12</f>
        <v>13.083397325840725</v>
      </c>
      <c r="DH120" s="21">
        <f>EXP(-LN(2)/2)*DH119+(1-EXP(-LN(2)/2))/(LN(2)/2)*DB120*DE120*VLOOKUP('Données projet'!$B$13,Paramètres!$A$1:$I$89,3,0)*0.475*44/12</f>
        <v>1.2258715463595135E-4</v>
      </c>
      <c r="DI120" s="22">
        <f t="shared" si="69"/>
        <v>28.936123250260032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1.9230769230769227</v>
      </c>
      <c r="DO120" s="12">
        <f>IF('Données projet'!$A$166&gt;35,DO119+DN120-DW119,IF(A120&lt;'Données projet'!$A$166,$DL$205^A120,IF(A120='Données projet'!$A$166,'Données projet'!$B$166,DO119+DN120-DW119)))</f>
        <v>116.66666666666657</v>
      </c>
      <c r="DP120" s="17">
        <f>DO120*VLOOKUP('Données projet'!$B$14,Paramètres!$A$1:$I$89,3,0)*VLOOKUP('Données projet'!$B$14,Paramètres!$A$1:$I$89,5,0)</f>
        <v>112.8399999999999</v>
      </c>
      <c r="DQ120" s="13">
        <f t="shared" si="97"/>
        <v>29.999114812829497</v>
      </c>
      <c r="DR120" s="20">
        <f t="shared" si="70"/>
        <v>248.77812496567788</v>
      </c>
      <c r="DS120" s="59">
        <f t="shared" si="71"/>
        <v>530.28122014678752</v>
      </c>
      <c r="DT120" s="59">
        <f ca="1">AVERAGE(OFFSET($DS$3,0,0,'Données projet'!$E$14+1,1))-AVERAGE(OFFSET($H$3,0,0,'Données projet'!$E$14+1,1))</f>
        <v>206.5245935130306</v>
      </c>
      <c r="DU120" s="59">
        <f t="shared" si="98"/>
        <v>130.57011290898546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4.7564549259788542</v>
      </c>
      <c r="EC120" s="21">
        <f>EXP(-LN(2)/2)*EC119+(1-EXP(-LN(2)/2))/(LN(2)/2)*DW120*DZ120*VLOOKUP('Données projet'!$B$14,Paramètres!$A$1:$I$89,3,0)*0.475*44/12</f>
        <v>0.88776577533741607</v>
      </c>
      <c r="ED120" s="22">
        <f t="shared" si="72"/>
        <v>5.6442207013162706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8.2299999999999986</v>
      </c>
      <c r="EJ120" s="12">
        <f>IF('Données projet'!$A$192&gt;35,EJ119+EI120-ER119,IF(A120&lt;'Données projet'!$A$192,$EG$205^A120,IF(A120='Données projet'!$A$192,'Données projet'!$B$192,EJ119+EI120-ER119)))</f>
        <v>445.00000000000011</v>
      </c>
      <c r="EK120" s="17">
        <f>EJ120*VLOOKUP('Données projet'!$B$15,Paramètres!$A$1:$I$89,3,0)*VLOOKUP('Données projet'!$B$15,Paramètres!$A$1:$I$89,5,0)</f>
        <v>208.26000000000008</v>
      </c>
      <c r="EL120" s="13">
        <f t="shared" si="99"/>
        <v>51.555167993086684</v>
      </c>
      <c r="EM120" s="20">
        <f t="shared" si="73"/>
        <v>452.51141758795944</v>
      </c>
      <c r="EN120" s="59">
        <f t="shared" si="74"/>
        <v>734.01451276906914</v>
      </c>
      <c r="EO120" s="59">
        <f ca="1">AVERAGE(OFFSET($EN$3,0,0,'Données projet'!$E$15+1,1))-AVERAGE(OFFSET($H$3,0,0,'Données projet'!$E$15+1,1))</f>
        <v>374.38106339726073</v>
      </c>
      <c r="EP120" s="59">
        <f t="shared" si="100"/>
        <v>296.53283288925957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58.734210006419559</v>
      </c>
      <c r="EW120" s="21">
        <f>EXP(-LN(2)/25)*EW119+(1-EXP(-LN(2)/25))/(LN(2)/25)*Calculateur!ER120*Calculateur!ET120*VLOOKUP('Données projet'!$B$15,Paramètres!$A$1:$I$89,3,0)*0.475*44/12</f>
        <v>18.289517534842108</v>
      </c>
      <c r="EX120" s="21">
        <f>EXP(-LN(2)/2)*EX119+(1-EXP(-LN(2)/2))/(LN(2)/2)*ER120*EU120*VLOOKUP('Données projet'!$B$15,Paramètres!$A$1:$I$89,3,0)*0.475*44/12</f>
        <v>0.6202250142849175</v>
      </c>
      <c r="EY120" s="22">
        <f t="shared" si="75"/>
        <v>77.643952555546576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9">
        <f t="shared" si="55"/>
        <v>1055.2664729085182</v>
      </c>
      <c r="S121" s="59">
        <f ca="1">AVERAGE(OFFSET($R$3,0,0,'Données projet'!$E$9+1,1))-AVERAGE(OFFSET($H$3,0,0,'Données projet'!$E$9+1,1))</f>
        <v>681.47578137804555</v>
      </c>
      <c r="T121" s="59">
        <f t="shared" si="88"/>
        <v>300.88511065995885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</v>
      </c>
      <c r="AI121" s="13">
        <f>IF('Données projet'!$A$62&gt;35,AI120+AH121-AQ120,IF(A121&lt;'Données projet'!$A$62,$AF$205^A121,IF(A121='Données projet'!$A$62,'Données projet'!$B$62,AI120+AH121-AQ120)))</f>
        <v>277.80000000000007</v>
      </c>
      <c r="AJ121" s="13">
        <f>AI121*VLOOKUP('Données projet'!$B$10,Paramètres!$A$1:$I$89,3,0)*VLOOKUP('Données projet'!$B$10,Paramètres!$A$1:$I$89,5,0)</f>
        <v>264.35448000000002</v>
      </c>
      <c r="AK121" s="13">
        <f t="shared" si="89"/>
        <v>63.649677966098189</v>
      </c>
      <c r="AL121" s="20">
        <f t="shared" si="58"/>
        <v>571.27390845762102</v>
      </c>
      <c r="AM121" s="59">
        <f t="shared" si="59"/>
        <v>852.98223182222137</v>
      </c>
      <c r="AN121" s="59">
        <f ca="1">AVERAGE(OFFSET($AM$3,0,0,'Données projet'!$E$10+1,1))-AVERAGE(OFFSET($H$3,0,0,'Données projet'!$E$10+1,1))</f>
        <v>423.80243030843661</v>
      </c>
      <c r="AO121" s="59">
        <f t="shared" si="90"/>
        <v>260.29028006191834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14.318535778210599</v>
      </c>
      <c r="AV121" s="21">
        <f>EXP(-LN(2)/25)*AV120+(1-EXP(-LN(2)/25))/(LN(2)/25)*Calculateur!AQ121*Calculateur!AS121*VLOOKUP('Données projet'!$B$10,Paramètres!$A$1:$I$89,3,0)*0.475*44/12</f>
        <v>14.926525021799197</v>
      </c>
      <c r="AW121" s="21">
        <f>EXP(-LN(2)/2)*AW120+(1-EXP(-LN(2)/2))/(LN(2)/2)*AQ121*AT121*VLOOKUP('Données projet'!$B$10,Paramètres!$A$1:$I$89,3,0)*0.475*44/12</f>
        <v>1.7558229069749625</v>
      </c>
      <c r="AX121" s="21">
        <f t="shared" si="60"/>
        <v>31.000883706984759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-1.3596945791505279E-13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373.61861223558259</v>
      </c>
      <c r="BJ121" s="59">
        <f t="shared" si="92"/>
        <v>277.62293009761049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72.213338400345989</v>
      </c>
      <c r="BQ121" s="21">
        <f>EXP(-LN(2)/25)*BQ120+(1-EXP(-LN(2)/25))/(LN(2)/25)*Calculateur!BL121*Calculateur!BN121*VLOOKUP('Données projet'!$B$11,Paramètres!$A$1:$I$89,3,0)*0.475*44/12</f>
        <v>18.042534050451341</v>
      </c>
      <c r="BR121" s="21">
        <f>EXP(-LN(2)/2)*BR120+(1-EXP(-LN(2)/2))/(LN(2)/2)*BL121*BO121*VLOOKUP('Données projet'!$B$11,Paramètres!$A$1:$I$89,3,0)*0.475*44/12</f>
        <v>1.3488129196397535E-4</v>
      </c>
      <c r="BS121" s="22">
        <f t="shared" si="63"/>
        <v>90.256007332089297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8.5265128291212022E-14</v>
      </c>
      <c r="BZ121" s="13">
        <f>BY121*VLOOKUP('Données projet'!$B$12,Paramètres!$A$1:$I$89,3,0)*VLOOKUP('Données projet'!$B$12,Paramètres!$A$1:$I$89,5,0)</f>
        <v>7.4487616075202836E-14</v>
      </c>
      <c r="CA121" s="13">
        <f t="shared" si="93"/>
        <v>1.1580453144473142E-12</v>
      </c>
      <c r="CB121" s="20">
        <f t="shared" si="64"/>
        <v>2.1466615206600508E-12</v>
      </c>
      <c r="CC121" s="59">
        <f t="shared" si="65"/>
        <v>281.70832336460256</v>
      </c>
      <c r="CD121" s="59">
        <f ca="1">AVERAGE(OFFSET($CC$3,0,0,'Données projet'!$E$12+1,1))-AVERAGE(OFFSET($H$3,0,0,'Données projet'!$E$12+1,1))</f>
        <v>251.30277097589737</v>
      </c>
      <c r="CE121" s="59">
        <f t="shared" si="94"/>
        <v>224.11983819941796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10.415982509034096</v>
      </c>
      <c r="CL121" s="21">
        <f>EXP(-LN(2)/25)*CL120+(1-EXP(-LN(2)/25))/(LN(2)/25)*Calculateur!CG121*Calculateur!CI121*VLOOKUP('Données projet'!$B$12,Paramètres!$A$1:$I$89,3,0)*0.475*44/12</f>
        <v>23.060795771367243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33.476778280401341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2.8421709430404007E-14</v>
      </c>
      <c r="CU121" s="17">
        <f>CT121*VLOOKUP('Données projet'!$B$13,Paramètres!$A$1:$I$89,3,0)*VLOOKUP('Données projet'!$B$13,Paramètres!$A$1:$I$89,5,0)</f>
        <v>2.4829205358400945E-14</v>
      </c>
      <c r="CV121" s="13">
        <f t="shared" si="95"/>
        <v>4.3867331143352915E-13</v>
      </c>
      <c r="CW121" s="20">
        <f t="shared" si="67"/>
        <v>8.0726688341261168E-13</v>
      </c>
      <c r="CX121" s="59">
        <f t="shared" si="68"/>
        <v>281.7083233646012</v>
      </c>
      <c r="CY121" s="59">
        <f ca="1">AVERAGE(OFFSET($CX$3,0,0,'Données projet'!$E$13+1,1))-AVERAGE(OFFSET($H$3,0,0,'Données projet'!$E$13+1,1))</f>
        <v>287.28439432670405</v>
      </c>
      <c r="CZ121" s="59">
        <f t="shared" si="96"/>
        <v>276.01618888357268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15.541743454954199</v>
      </c>
      <c r="DG121" s="21">
        <f>EXP(-LN(2)/25)*DG120+(1-EXP(-LN(2)/25))/(LN(2)/25)*Calculateur!DB121*Calculateur!DD121*VLOOKUP('Données projet'!$B$13,Paramètres!$A$1:$I$89,3,0)*0.475*44/12</f>
        <v>12.725631137939647</v>
      </c>
      <c r="DH121" s="21">
        <f>EXP(-LN(2)/2)*DH120+(1-EXP(-LN(2)/2))/(LN(2)/2)*DB121*DE121*VLOOKUP('Données projet'!$B$13,Paramètres!$A$1:$I$89,3,0)*0.475*44/12</f>
        <v>8.668220832944512E-5</v>
      </c>
      <c r="DI121" s="22">
        <f t="shared" si="69"/>
        <v>28.267461275102175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1.9230769230769227</v>
      </c>
      <c r="DO121" s="12">
        <f>IF('Données projet'!$A$166&gt;35,DO120+DN121-DW120,IF(A121&lt;'Données projet'!$A$166,$DL$205^A121,IF(A121='Données projet'!$A$166,'Données projet'!$B$166,DO120+DN121-DW120)))</f>
        <v>118.58974358974349</v>
      </c>
      <c r="DP121" s="17">
        <f>DO121*VLOOKUP('Données projet'!$B$14,Paramètres!$A$1:$I$89,3,0)*VLOOKUP('Données projet'!$B$14,Paramètres!$A$1:$I$89,5,0)</f>
        <v>114.6999999999999</v>
      </c>
      <c r="DQ121" s="13">
        <f t="shared" si="97"/>
        <v>30.435630357380635</v>
      </c>
      <c r="DR121" s="20">
        <f t="shared" si="70"/>
        <v>252.77788953910442</v>
      </c>
      <c r="DS121" s="59">
        <f t="shared" si="71"/>
        <v>534.48621290370488</v>
      </c>
      <c r="DT121" s="59">
        <f ca="1">AVERAGE(OFFSET($DS$3,0,0,'Données projet'!$E$14+1,1))-AVERAGE(OFFSET($H$3,0,0,'Données projet'!$E$14+1,1))</f>
        <v>206.5245935130306</v>
      </c>
      <c r="DU121" s="59">
        <f t="shared" si="98"/>
        <v>130.57011290898546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4.6263894158968686</v>
      </c>
      <c r="EC121" s="21">
        <f>EXP(-LN(2)/2)*EC120+(1-EXP(-LN(2)/2))/(LN(2)/2)*DW121*DZ121*VLOOKUP('Données projet'!$B$14,Paramètres!$A$1:$I$89,3,0)*0.475*44/12</f>
        <v>0.62774519984641997</v>
      </c>
      <c r="ED121" s="22">
        <f t="shared" si="72"/>
        <v>5.2541346157432889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8.2299999999999986</v>
      </c>
      <c r="EJ121" s="12">
        <f>IF('Données projet'!$A$192&gt;35,EJ120+EI121-ER120,IF(A121&lt;'Données projet'!$A$192,$EG$205^A121,IF(A121='Données projet'!$A$192,'Données projet'!$B$192,EJ120+EI121-ER120)))</f>
        <v>453.23000000000013</v>
      </c>
      <c r="EK121" s="17">
        <f>EJ121*VLOOKUP('Données projet'!$B$15,Paramètres!$A$1:$I$89,3,0)*VLOOKUP('Données projet'!$B$15,Paramètres!$A$1:$I$89,5,0)</f>
        <v>212.11164000000005</v>
      </c>
      <c r="EL121" s="13">
        <f t="shared" si="99"/>
        <v>52.396763121120088</v>
      </c>
      <c r="EM121" s="20">
        <f t="shared" si="73"/>
        <v>460.68546876928417</v>
      </c>
      <c r="EN121" s="59">
        <f t="shared" si="74"/>
        <v>742.39379213388452</v>
      </c>
      <c r="EO121" s="59">
        <f ca="1">AVERAGE(OFFSET($EN$3,0,0,'Données projet'!$E$15+1,1))-AVERAGE(OFFSET($H$3,0,0,'Données projet'!$E$15+1,1))</f>
        <v>374.38106339726073</v>
      </c>
      <c r="EP121" s="59">
        <f t="shared" si="100"/>
        <v>296.53283288925957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57.58246797252442</v>
      </c>
      <c r="EW121" s="21">
        <f>EXP(-LN(2)/25)*EW120+(1-EXP(-LN(2)/25))/(LN(2)/25)*Calculateur!ER121*Calculateur!ET121*VLOOKUP('Données projet'!$B$15,Paramètres!$A$1:$I$89,3,0)*0.475*44/12</f>
        <v>17.789389716047925</v>
      </c>
      <c r="EX121" s="21">
        <f>EXP(-LN(2)/2)*EX120+(1-EXP(-LN(2)/2))/(LN(2)/2)*ER121*EU121*VLOOKUP('Données projet'!$B$15,Paramètres!$A$1:$I$89,3,0)*0.475*44/12</f>
        <v>0.43856531346238847</v>
      </c>
      <c r="EY121" s="22">
        <f t="shared" si="75"/>
        <v>75.810423002034739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9">
        <f t="shared" si="55"/>
        <v>1072.3980194559442</v>
      </c>
      <c r="S122" s="59">
        <f ca="1">AVERAGE(OFFSET($R$3,0,0,'Données projet'!$E$9+1,1))-AVERAGE(OFFSET($H$3,0,0,'Données projet'!$E$9+1,1))</f>
        <v>681.47578137804555</v>
      </c>
      <c r="T122" s="59">
        <f t="shared" si="88"/>
        <v>300.88511065995885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</v>
      </c>
      <c r="AI122" s="13">
        <f>IF('Données projet'!$A$62&gt;35,AI121+AH122-AQ121,IF(A122&lt;'Données projet'!$A$62,$AF$205^A122,IF(A122='Données projet'!$A$62,'Données projet'!$B$62,AI121+AH122-AQ121)))</f>
        <v>281.40000000000009</v>
      </c>
      <c r="AJ122" s="13">
        <f>AI122*VLOOKUP('Données projet'!$B$10,Paramètres!$A$1:$I$89,3,0)*VLOOKUP('Données projet'!$B$10,Paramètres!$A$1:$I$89,5,0)</f>
        <v>267.78024000000011</v>
      </c>
      <c r="AK122" s="13">
        <f t="shared" si="89"/>
        <v>64.377954092757676</v>
      </c>
      <c r="AL122" s="20">
        <f t="shared" si="58"/>
        <v>578.508854711553</v>
      </c>
      <c r="AM122" s="59">
        <f t="shared" si="59"/>
        <v>860.41884600948219</v>
      </c>
      <c r="AN122" s="59">
        <f ca="1">AVERAGE(OFFSET($AM$3,0,0,'Données projet'!$E$10+1,1))-AVERAGE(OFFSET($H$3,0,0,'Données projet'!$E$10+1,1))</f>
        <v>423.80243030843661</v>
      </c>
      <c r="AO122" s="59">
        <f t="shared" si="90"/>
        <v>260.29028006191834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14.037758025044358</v>
      </c>
      <c r="AV122" s="21">
        <f>EXP(-LN(2)/25)*AV121+(1-EXP(-LN(2)/25))/(LN(2)/25)*Calculateur!AQ122*Calculateur!AS122*VLOOKUP('Données projet'!$B$10,Paramètres!$A$1:$I$89,3,0)*0.475*44/12</f>
        <v>14.518358410126263</v>
      </c>
      <c r="AW122" s="21">
        <f>EXP(-LN(2)/2)*AW121+(1-EXP(-LN(2)/2))/(LN(2)/2)*AQ122*AT122*VLOOKUP('Données projet'!$B$10,Paramètres!$A$1:$I$89,3,0)*0.475*44/12</f>
        <v>1.2415542840846727</v>
      </c>
      <c r="AX122" s="21">
        <f t="shared" si="60"/>
        <v>29.797670719255294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-1.3596945791505279E-13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373.61861223558259</v>
      </c>
      <c r="BJ122" s="59">
        <f t="shared" si="92"/>
        <v>277.62293009761049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70.797278880102468</v>
      </c>
      <c r="BQ122" s="21">
        <f>EXP(-LN(2)/25)*BQ121+(1-EXP(-LN(2)/25))/(LN(2)/25)*Calculateur!BL122*Calculateur!BN122*VLOOKUP('Données projet'!$B$11,Paramètres!$A$1:$I$89,3,0)*0.475*44/12</f>
        <v>17.549160008026121</v>
      </c>
      <c r="BR122" s="21">
        <f>EXP(-LN(2)/2)*BR121+(1-EXP(-LN(2)/2))/(LN(2)/2)*BL122*BO122*VLOOKUP('Données projet'!$B$11,Paramètres!$A$1:$I$89,3,0)*0.475*44/12</f>
        <v>9.5375476202929548E-5</v>
      </c>
      <c r="BS122" s="22">
        <f t="shared" si="63"/>
        <v>88.346534263604795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8.5265128291212022E-14</v>
      </c>
      <c r="BZ122" s="13">
        <f>BY122*VLOOKUP('Données projet'!$B$12,Paramètres!$A$1:$I$89,3,0)*VLOOKUP('Données projet'!$B$12,Paramètres!$A$1:$I$89,5,0)</f>
        <v>7.4487616075202836E-14</v>
      </c>
      <c r="CA122" s="13">
        <f t="shared" si="93"/>
        <v>1.1580453144473142E-12</v>
      </c>
      <c r="CB122" s="20">
        <f t="shared" si="64"/>
        <v>2.1466615206600508E-12</v>
      </c>
      <c r="CC122" s="59">
        <f t="shared" si="65"/>
        <v>281.9099912979313</v>
      </c>
      <c r="CD122" s="59">
        <f ca="1">AVERAGE(OFFSET($CC$3,0,0,'Données projet'!$E$12+1,1))-AVERAGE(OFFSET($H$3,0,0,'Données projet'!$E$12+1,1))</f>
        <v>251.30277097589737</v>
      </c>
      <c r="CE122" s="59">
        <f t="shared" si="94"/>
        <v>224.11983819941796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10.21173144515395</v>
      </c>
      <c r="CL122" s="21">
        <f>EXP(-LN(2)/25)*CL121+(1-EXP(-LN(2)/25))/(LN(2)/25)*Calculateur!CG122*Calculateur!CI122*VLOOKUP('Données projet'!$B$12,Paramètres!$A$1:$I$89,3,0)*0.475*44/12</f>
        <v>22.430197098284662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32.64192854343861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2.8421709430404007E-14</v>
      </c>
      <c r="CU122" s="17">
        <f>CT122*VLOOKUP('Données projet'!$B$13,Paramètres!$A$1:$I$89,3,0)*VLOOKUP('Données projet'!$B$13,Paramètres!$A$1:$I$89,5,0)</f>
        <v>2.4829205358400945E-14</v>
      </c>
      <c r="CV122" s="13">
        <f t="shared" si="95"/>
        <v>4.3867331143352915E-13</v>
      </c>
      <c r="CW122" s="20">
        <f t="shared" si="67"/>
        <v>8.0726688341261168E-13</v>
      </c>
      <c r="CX122" s="59">
        <f t="shared" si="68"/>
        <v>281.90999129792993</v>
      </c>
      <c r="CY122" s="59">
        <f ca="1">AVERAGE(OFFSET($CX$3,0,0,'Données projet'!$E$13+1,1))-AVERAGE(OFFSET($H$3,0,0,'Données projet'!$E$13+1,1))</f>
        <v>287.28439432670405</v>
      </c>
      <c r="CZ122" s="59">
        <f t="shared" si="96"/>
        <v>276.01618888357268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15.236979345330029</v>
      </c>
      <c r="DG122" s="21">
        <f>EXP(-LN(2)/25)*DG121+(1-EXP(-LN(2)/25))/(LN(2)/25)*Calculateur!DB122*Calculateur!DD122*VLOOKUP('Données projet'!$B$13,Paramètres!$A$1:$I$89,3,0)*0.475*44/12</f>
        <v>12.37764808526083</v>
      </c>
      <c r="DH122" s="21">
        <f>EXP(-LN(2)/2)*DH121+(1-EXP(-LN(2)/2))/(LN(2)/2)*DB122*DE122*VLOOKUP('Données projet'!$B$13,Paramètres!$A$1:$I$89,3,0)*0.475*44/12</f>
        <v>6.1293577317975676E-5</v>
      </c>
      <c r="DI122" s="22">
        <f t="shared" si="69"/>
        <v>27.614688724168175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1.9230769230769227</v>
      </c>
      <c r="DO122" s="12">
        <f>IF('Données projet'!$A$166&gt;35,DO121+DN122-DW121,IF(A122&lt;'Données projet'!$A$166,$DL$205^A122,IF(A122='Données projet'!$A$166,'Données projet'!$B$166,DO121+DN122-DW121)))</f>
        <v>120.51282051282041</v>
      </c>
      <c r="DP122" s="17">
        <f>DO122*VLOOKUP('Données projet'!$B$14,Paramètres!$A$1:$I$89,3,0)*VLOOKUP('Données projet'!$B$14,Paramètres!$A$1:$I$89,5,0)</f>
        <v>116.55999999999992</v>
      </c>
      <c r="DQ122" s="13">
        <f t="shared" si="97"/>
        <v>30.871322688345497</v>
      </c>
      <c r="DR122" s="20">
        <f t="shared" si="70"/>
        <v>256.77622034886826</v>
      </c>
      <c r="DS122" s="59">
        <f t="shared" si="71"/>
        <v>538.68621164679735</v>
      </c>
      <c r="DT122" s="59">
        <f ca="1">AVERAGE(OFFSET($DS$3,0,0,'Données projet'!$E$14+1,1))-AVERAGE(OFFSET($H$3,0,0,'Données projet'!$E$14+1,1))</f>
        <v>206.5245935130306</v>
      </c>
      <c r="DU122" s="59">
        <f t="shared" si="98"/>
        <v>130.57011290898546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4.4998805540279232</v>
      </c>
      <c r="EC122" s="21">
        <f>EXP(-LN(2)/2)*EC121+(1-EXP(-LN(2)/2))/(LN(2)/2)*DW122*DZ122*VLOOKUP('Données projet'!$B$14,Paramètres!$A$1:$I$89,3,0)*0.475*44/12</f>
        <v>0.44388288766870804</v>
      </c>
      <c r="ED122" s="22">
        <f t="shared" si="72"/>
        <v>4.943763441696631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8.2299999999999986</v>
      </c>
      <c r="EJ122" s="12">
        <f>IF('Données projet'!$A$192&gt;35,EJ121+EI122-ER121,IF(A122&lt;'Données projet'!$A$192,$EG$205^A122,IF(A122='Données projet'!$A$192,'Données projet'!$B$192,EJ121+EI122-ER121)))</f>
        <v>461.46000000000015</v>
      </c>
      <c r="EK122" s="17">
        <f>EJ122*VLOOKUP('Données projet'!$B$15,Paramètres!$A$1:$I$89,3,0)*VLOOKUP('Données projet'!$B$15,Paramètres!$A$1:$I$89,5,0)</f>
        <v>215.96328000000008</v>
      </c>
      <c r="EL122" s="13">
        <f t="shared" si="99"/>
        <v>53.236581182498291</v>
      </c>
      <c r="EM122" s="20">
        <f t="shared" si="73"/>
        <v>468.85642489285124</v>
      </c>
      <c r="EN122" s="59">
        <f t="shared" si="74"/>
        <v>750.76641619078032</v>
      </c>
      <c r="EO122" s="59">
        <f ca="1">AVERAGE(OFFSET($EN$3,0,0,'Données projet'!$E$15+1,1))-AVERAGE(OFFSET($H$3,0,0,'Données projet'!$E$15+1,1))</f>
        <v>374.38106339726073</v>
      </c>
      <c r="EP122" s="59">
        <f t="shared" si="100"/>
        <v>296.53283288925957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56.453310897420685</v>
      </c>
      <c r="EW122" s="21">
        <f>EXP(-LN(2)/25)*EW121+(1-EXP(-LN(2)/25))/(LN(2)/25)*Calculateur!ER122*Calculateur!ET122*VLOOKUP('Données projet'!$B$15,Paramètres!$A$1:$I$89,3,0)*0.475*44/12</f>
        <v>17.302937918759248</v>
      </c>
      <c r="EX122" s="21">
        <f>EXP(-LN(2)/2)*EX121+(1-EXP(-LN(2)/2))/(LN(2)/2)*ER122*EU122*VLOOKUP('Données projet'!$B$15,Paramètres!$A$1:$I$89,3,0)*0.475*44/12</f>
        <v>0.31011250714245875</v>
      </c>
      <c r="EY122" s="22">
        <f t="shared" si="75"/>
        <v>74.066361323322397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9">
        <f t="shared" si="55"/>
        <v>1089.5187387280791</v>
      </c>
      <c r="S123" s="59">
        <f ca="1">AVERAGE(OFFSET($R$3,0,0,'Données projet'!$E$9+1,1))-AVERAGE(OFFSET($H$3,0,0,'Données projet'!$E$9+1,1))</f>
        <v>681.47578137804555</v>
      </c>
      <c r="T123" s="59">
        <f t="shared" si="88"/>
        <v>300.88511065995885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3.6</v>
      </c>
      <c r="AH123" s="12">
        <f t="array" ref="AH123">INDEX(AG:AG,MIN(IF(ISNUMBER(AG123:AG319),ROW(AG123:AG319),"")))</f>
        <v>3.6</v>
      </c>
      <c r="AI123" s="13">
        <f>IF('Données projet'!$A$62&gt;35,AI122+AH123-AQ122,IF(A123&lt;'Données projet'!$A$62,$AF$205^A123,IF(A123='Données projet'!$A$62,'Données projet'!$B$62,AI122+AH123-AQ122)))</f>
        <v>285.00000000000011</v>
      </c>
      <c r="AJ123" s="13">
        <f>AI123*VLOOKUP('Données projet'!$B$10,Paramètres!$A$1:$I$89,3,0)*VLOOKUP('Données projet'!$B$10,Paramètres!$A$1:$I$89,5,0)</f>
        <v>271.20600000000013</v>
      </c>
      <c r="AK123" s="13">
        <f t="shared" si="89"/>
        <v>65.105146500462041</v>
      </c>
      <c r="AL123" s="20">
        <f t="shared" si="58"/>
        <v>585.74191348830493</v>
      </c>
      <c r="AM123" s="59">
        <f t="shared" si="59"/>
        <v>867.85007423178149</v>
      </c>
      <c r="AN123" s="59">
        <f ca="1">AVERAGE(OFFSET($AM$3,0,0,'Données projet'!$E$10+1,1))-AVERAGE(OFFSET($H$3,0,0,'Données projet'!$E$10+1,1))</f>
        <v>423.80243030843661</v>
      </c>
      <c r="AO123" s="59">
        <f t="shared" si="90"/>
        <v>260.29028006191834</v>
      </c>
      <c r="AP123" s="15">
        <f>IF(ISNA(VLOOKUP(A123,'Données projet'!$A$61:$I$81,3,0)),0,VLOOKUP(A123,'Données projet'!$A$61:$I$81,3,0))</f>
        <v>20</v>
      </c>
      <c r="AQ123" s="15">
        <f>IF(ISNA(VLOOKUP(A123,'Données projet'!$A$61:$I$81,4,0)),0,VLOOKUP(A123,'Données projet'!$A$61:$I$81,4,0))</f>
        <v>285</v>
      </c>
      <c r="AR123" s="16">
        <f>IF(ISNA(VLOOKUP(A123,'Données projet'!$A$61:$I$81,5,0)),0%,VLOOKUP(A123,'Données projet'!$A$61:$I$81,5,0)*VLOOKUP('Données projet'!$B$10,Paramètres!$A$1:$I$89,7,0))</f>
        <v>0.1075</v>
      </c>
      <c r="AS123" s="16">
        <f>IF(ISNA(VLOOKUP(A123,'Données projet'!$A$61:$I$81,6,0)),0%,VLOOKUP(A123,'Données projet'!$A$61:$I$81,6,0)*VLOOKUP('Données projet'!$B$10,Paramètres!$A$1:$I$89,7,0))</f>
        <v>0.1075</v>
      </c>
      <c r="AT123" s="16">
        <f>IF(ISNA(VLOOKUP(A123,'Données projet'!$A$61:$I$81,7,0)),0%,VLOOKUP(A123,'Données projet'!$A$61:$I$81,7,0))</f>
        <v>0.25</v>
      </c>
      <c r="AU123" s="21">
        <f>EXP(-LN(2)/35)*AU122+(1-EXP(-LN(2)/35))/(LN(2)/35)*AQ123*AR123*VLOOKUP('Données projet'!$B$10,Paramètres!$A$1:$I$89,3,0)*0.475*44/12</f>
        <v>45.992082625658625</v>
      </c>
      <c r="AV123" s="21">
        <f>EXP(-LN(2)/25)*AV122+(1-EXP(-LN(2)/25))/(LN(2)/25)*Calculateur!AQ123*Calculateur!AS123*VLOOKUP('Données projet'!$B$10,Paramètres!$A$1:$I$89,3,0)*0.475*44/12</f>
        <v>46.224049407458097</v>
      </c>
      <c r="AW123" s="21">
        <f>EXP(-LN(2)/2)*AW122+(1-EXP(-LN(2)/2))/(LN(2)/2)*AQ123*AT123*VLOOKUP('Données projet'!$B$10,Paramètres!$A$1:$I$89,3,0)*0.475*44/12</f>
        <v>64.850451554104708</v>
      </c>
      <c r="AX123" s="21">
        <f t="shared" si="60"/>
        <v>157.06658358722143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-1.3596945791505279E-13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373.61861223558259</v>
      </c>
      <c r="BJ123" s="59">
        <f t="shared" si="92"/>
        <v>277.62293009761049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69.408987423339894</v>
      </c>
      <c r="BQ123" s="21">
        <f>EXP(-LN(2)/25)*BQ122+(1-EXP(-LN(2)/25))/(LN(2)/25)*Calculateur!BL123*Calculateur!BN123*VLOOKUP('Données projet'!$B$11,Paramètres!$A$1:$I$89,3,0)*0.475*44/12</f>
        <v>17.069277304736431</v>
      </c>
      <c r="BR123" s="21">
        <f>EXP(-LN(2)/2)*BR122+(1-EXP(-LN(2)/2))/(LN(2)/2)*BL123*BO123*VLOOKUP('Données projet'!$B$11,Paramètres!$A$1:$I$89,3,0)*0.475*44/12</f>
        <v>6.7440645981987673E-5</v>
      </c>
      <c r="BS123" s="22">
        <f t="shared" si="63"/>
        <v>86.478332168722304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8.5265128291212022E-14</v>
      </c>
      <c r="BZ123" s="13">
        <f>BY123*VLOOKUP('Données projet'!$B$12,Paramètres!$A$1:$I$89,3,0)*VLOOKUP('Données projet'!$B$12,Paramètres!$A$1:$I$89,5,0)</f>
        <v>7.4487616075202836E-14</v>
      </c>
      <c r="CA123" s="13">
        <f t="shared" si="93"/>
        <v>1.1580453144473142E-12</v>
      </c>
      <c r="CB123" s="20">
        <f t="shared" si="64"/>
        <v>2.1466615206600508E-12</v>
      </c>
      <c r="CC123" s="59">
        <f t="shared" si="65"/>
        <v>282.10816074347878</v>
      </c>
      <c r="CD123" s="59">
        <f ca="1">AVERAGE(OFFSET($CC$3,0,0,'Données projet'!$E$12+1,1))-AVERAGE(OFFSET($H$3,0,0,'Données projet'!$E$12+1,1))</f>
        <v>251.30277097589737</v>
      </c>
      <c r="CE123" s="59">
        <f t="shared" si="94"/>
        <v>224.11983819941796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10.011485620055645</v>
      </c>
      <c r="CL123" s="21">
        <f>EXP(-LN(2)/25)*CL122+(1-EXP(-LN(2)/25))/(LN(2)/25)*Calculateur!CG123*Calculateur!CI123*VLOOKUP('Données projet'!$B$12,Paramètres!$A$1:$I$89,3,0)*0.475*44/12</f>
        <v>21.816842179079266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31.828327799134911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2.8421709430404007E-14</v>
      </c>
      <c r="CU123" s="17">
        <f>CT123*VLOOKUP('Données projet'!$B$13,Paramètres!$A$1:$I$89,3,0)*VLOOKUP('Données projet'!$B$13,Paramètres!$A$1:$I$89,5,0)</f>
        <v>2.4829205358400945E-14</v>
      </c>
      <c r="CV123" s="13">
        <f t="shared" si="95"/>
        <v>4.3867331143352915E-13</v>
      </c>
      <c r="CW123" s="20">
        <f t="shared" si="67"/>
        <v>8.0726688341261168E-13</v>
      </c>
      <c r="CX123" s="59">
        <f t="shared" si="68"/>
        <v>282.10816074347741</v>
      </c>
      <c r="CY123" s="59">
        <f ca="1">AVERAGE(OFFSET($CX$3,0,0,'Données projet'!$E$13+1,1))-AVERAGE(OFFSET($H$3,0,0,'Données projet'!$E$13+1,1))</f>
        <v>287.28439432670405</v>
      </c>
      <c r="CZ123" s="59">
        <f t="shared" si="96"/>
        <v>276.01618888357268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14.938191474007837</v>
      </c>
      <c r="DG123" s="21">
        <f>EXP(-LN(2)/25)*DG122+(1-EXP(-LN(2)/25))/(LN(2)/25)*Calculateur!DB123*Calculateur!DD123*VLOOKUP('Données projet'!$B$13,Paramètres!$A$1:$I$89,3,0)*0.475*44/12</f>
        <v>12.039180647457149</v>
      </c>
      <c r="DH123" s="21">
        <f>EXP(-LN(2)/2)*DH122+(1-EXP(-LN(2)/2))/(LN(2)/2)*DB123*DE123*VLOOKUP('Données projet'!$B$13,Paramètres!$A$1:$I$89,3,0)*0.475*44/12</f>
        <v>4.334110416472256E-5</v>
      </c>
      <c r="DI123" s="22">
        <f t="shared" si="69"/>
        <v>26.977415462569152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122.43589743589743</v>
      </c>
      <c r="DM123" s="12">
        <f>VLOOKUP(A123,'Données projet'!$A$165:$I$185,9,0)</f>
        <v>1.9230769230769227</v>
      </c>
      <c r="DN123" s="12">
        <f t="array" ref="DN123">INDEX(DM:DM,MIN(IF(ISNUMBER(DM123:DM319),ROW(DM123:DM319),"")))</f>
        <v>1.9230769230769227</v>
      </c>
      <c r="DO123" s="12">
        <f>IF('Données projet'!$A$166&gt;35,DO122+DN123-DW122,IF(A123&lt;'Données projet'!$A$166,$DL$205^A123,IF(A123='Données projet'!$A$166,'Données projet'!$B$166,DO122+DN123-DW122)))</f>
        <v>122.43589743589733</v>
      </c>
      <c r="DP123" s="17">
        <f>DO123*VLOOKUP('Données projet'!$B$14,Paramètres!$A$1:$I$89,3,0)*VLOOKUP('Données projet'!$B$14,Paramètres!$A$1:$I$89,5,0)</f>
        <v>118.41999999999992</v>
      </c>
      <c r="DQ123" s="13">
        <f t="shared" si="97"/>
        <v>31.306206458827482</v>
      </c>
      <c r="DR123" s="20">
        <f t="shared" si="70"/>
        <v>260.77314291579108</v>
      </c>
      <c r="DS123" s="59">
        <f t="shared" si="71"/>
        <v>542.8813036592677</v>
      </c>
      <c r="DT123" s="59">
        <f ca="1">AVERAGE(OFFSET($DS$3,0,0,'Données projet'!$E$14+1,1))-AVERAGE(OFFSET($H$3,0,0,'Données projet'!$E$14+1,1))</f>
        <v>206.5245935130306</v>
      </c>
      <c r="DU123" s="59">
        <f t="shared" si="98"/>
        <v>130.57011290898546</v>
      </c>
      <c r="DV123" s="15">
        <f>IF(ISNA(VLOOKUP(A123,'Données projet'!$A$165:$I$185,3,0)),0,VLOOKUP(A123,'Données projet'!$A$165:$I$185,3,0))</f>
        <v>20</v>
      </c>
      <c r="DW123" s="15">
        <f>IF(ISNA(VLOOKUP(A123,'Données projet'!$A$165:$I$185,4,0)),0,VLOOKUP(A123,'Données projet'!$A$165:$I$185,4,0))</f>
        <v>122.43589743589743</v>
      </c>
      <c r="DX123" s="16">
        <f>IF(ISNA(VLOOKUP(A123,'Données projet'!$A$165:$I$185,5,0)),0%,VLOOKUP(A123,'Données projet'!$A$165:$I$185,5,0)*VLOOKUP('Données projet'!$B$14,Paramètres!$A$1:$I$89,7,0))</f>
        <v>0.1075</v>
      </c>
      <c r="DY123" s="16">
        <f>IF(ISNA(VLOOKUP(A123,'Données projet'!$A$165:$I$185,6,0)),0%,VLOOKUP(A123,'Données projet'!$A$165:$I$185,6,0)*VLOOKUP('Données projet'!$B$14,Paramètres!$A$1:$I$89,7,0))</f>
        <v>0.1075</v>
      </c>
      <c r="DZ123" s="16">
        <f>IF(ISNA(VLOOKUP(A123,'Données projet'!$A$165:$I$185,7,0)),0%,VLOOKUP(A123,'Données projet'!$A$165:$I$185,7,0))</f>
        <v>0.25</v>
      </c>
      <c r="EA123" s="21">
        <f>EXP(-LN(2)/35)*EA122+(1-EXP(-LN(2)/35))/(LN(2)/35)*DW123*DX123*VLOOKUP('Données projet'!$B$14,Paramètres!$A$1:$I$89,3,0)*0.475*44/12</f>
        <v>14.072803752011387</v>
      </c>
      <c r="EB123" s="21">
        <f>EXP(-LN(2)/25)*EB122+(1-EXP(-LN(2)/25))/(LN(2)/25)*Calculateur!DW123*Calculateur!DY123*VLOOKUP('Données projet'!$B$14,Paramètres!$A$1:$I$89,3,0)*0.475*44/12</f>
        <v>18.394224845120696</v>
      </c>
      <c r="EC123" s="21">
        <f>EXP(-LN(2)/2)*EC122+(1-EXP(-LN(2)/2))/(LN(2)/2)*DW123*DZ123*VLOOKUP('Données projet'!$B$14,Paramètres!$A$1:$I$89,3,0)*0.475*44/12</f>
        <v>28.246986906815728</v>
      </c>
      <c r="ED123" s="22">
        <f t="shared" si="72"/>
        <v>60.714015503947813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8.2299999999999986</v>
      </c>
      <c r="EJ123" s="12">
        <f>IF('Données projet'!$A$192&gt;35,EJ122+EI123-ER122,IF(A123&lt;'Données projet'!$A$192,$EG$205^A123,IF(A123='Données projet'!$A$192,'Données projet'!$B$192,EJ122+EI123-ER122)))</f>
        <v>469.69000000000017</v>
      </c>
      <c r="EK123" s="17">
        <f>EJ123*VLOOKUP('Données projet'!$B$15,Paramètres!$A$1:$I$89,3,0)*VLOOKUP('Données projet'!$B$15,Paramètres!$A$1:$I$89,5,0)</f>
        <v>219.81492000000009</v>
      </c>
      <c r="EL123" s="13">
        <f t="shared" si="99"/>
        <v>54.074657526864193</v>
      </c>
      <c r="EM123" s="20">
        <f t="shared" si="73"/>
        <v>477.02434752595531</v>
      </c>
      <c r="EN123" s="59">
        <f t="shared" si="74"/>
        <v>759.13250826943192</v>
      </c>
      <c r="EO123" s="59">
        <f ca="1">AVERAGE(OFFSET($EN$3,0,0,'Données projet'!$E$15+1,1))-AVERAGE(OFFSET($H$3,0,0,'Données projet'!$E$15+1,1))</f>
        <v>374.38106339726073</v>
      </c>
      <c r="EP123" s="59">
        <f t="shared" si="100"/>
        <v>296.53283288925957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55.346295903841927</v>
      </c>
      <c r="EW123" s="21">
        <f>EXP(-LN(2)/25)*EW122+(1-EXP(-LN(2)/25))/(LN(2)/25)*Calculateur!ER123*Calculateur!ET123*VLOOKUP('Données projet'!$B$15,Paramètres!$A$1:$I$89,3,0)*0.475*44/12</f>
        <v>16.829788171448818</v>
      </c>
      <c r="EX123" s="21">
        <f>EXP(-LN(2)/2)*EX122+(1-EXP(-LN(2)/2))/(LN(2)/2)*ER123*EU123*VLOOKUP('Données projet'!$B$15,Paramètres!$A$1:$I$89,3,0)*0.475*44/12</f>
        <v>0.21928265673119424</v>
      </c>
      <c r="EY123" s="22">
        <f t="shared" si="75"/>
        <v>72.395366732021941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9">
        <f t="shared" si="55"/>
        <v>1106.6288665012289</v>
      </c>
      <c r="S124" s="59">
        <f ca="1">AVERAGE(OFFSET($R$3,0,0,'Données projet'!$E$9+1,1))-AVERAGE(OFFSET($H$3,0,0,'Données projet'!$E$9+1,1))</f>
        <v>681.47578137804555</v>
      </c>
      <c r="T124" s="59">
        <f t="shared" si="88"/>
        <v>300.88511065995885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1.0818439477588981E-13</v>
      </c>
      <c r="AK124" s="13">
        <f t="shared" si="89"/>
        <v>1.6104228458716316E-12</v>
      </c>
      <c r="AL124" s="20">
        <f t="shared" si="58"/>
        <v>2.9932409441277661E-12</v>
      </c>
      <c r="AM124" s="59">
        <f t="shared" si="59"/>
        <v>282.3028923921874</v>
      </c>
      <c r="AN124" s="59">
        <f ca="1">AVERAGE(OFFSET($AM$3,0,0,'Données projet'!$E$10+1,1))-AVERAGE(OFFSET($H$3,0,0,'Données projet'!$E$10+1,1))</f>
        <v>423.80243030843661</v>
      </c>
      <c r="AO124" s="59">
        <f t="shared" si="90"/>
        <v>260.29028006191834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45.090205937769916</v>
      </c>
      <c r="AV124" s="21">
        <f>EXP(-LN(2)/25)*AV123+(1-EXP(-LN(2)/25))/(LN(2)/25)*Calculateur!AQ124*Calculateur!AS124*VLOOKUP('Données projet'!$B$10,Paramètres!$A$1:$I$89,3,0)*0.475*44/12</f>
        <v>44.960050345594041</v>
      </c>
      <c r="AW124" s="21">
        <f>EXP(-LN(2)/2)*AW123+(1-EXP(-LN(2)/2))/(LN(2)/2)*AQ124*AT124*VLOOKUP('Données projet'!$B$10,Paramètres!$A$1:$I$89,3,0)*0.475*44/12</f>
        <v>45.856194056917118</v>
      </c>
      <c r="AX124" s="21">
        <f t="shared" si="60"/>
        <v>135.90645034028108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-1.3596945791505279E-13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373.61861223558259</v>
      </c>
      <c r="BJ124" s="59">
        <f t="shared" si="92"/>
        <v>277.62293009761049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68.047919515270266</v>
      </c>
      <c r="BQ124" s="21">
        <f>EXP(-LN(2)/25)*BQ123+(1-EXP(-LN(2)/25))/(LN(2)/25)*Calculateur!BL124*Calculateur!BN124*VLOOKUP('Données projet'!$B$11,Paramètres!$A$1:$I$89,3,0)*0.475*44/12</f>
        <v>16.602517019204132</v>
      </c>
      <c r="BR124" s="21">
        <f>EXP(-LN(2)/2)*BR123+(1-EXP(-LN(2)/2))/(LN(2)/2)*BL124*BO124*VLOOKUP('Données projet'!$B$11,Paramètres!$A$1:$I$89,3,0)*0.475*44/12</f>
        <v>4.7687738101464774E-5</v>
      </c>
      <c r="BS124" s="22">
        <f t="shared" si="63"/>
        <v>84.650484222212498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8.5265128291212022E-14</v>
      </c>
      <c r="BZ124" s="13">
        <f>BY124*VLOOKUP('Données projet'!$B$12,Paramètres!$A$1:$I$89,3,0)*VLOOKUP('Données projet'!$B$12,Paramètres!$A$1:$I$89,5,0)</f>
        <v>7.4487616075202836E-14</v>
      </c>
      <c r="CA124" s="13">
        <f t="shared" si="93"/>
        <v>1.1580453144473142E-12</v>
      </c>
      <c r="CB124" s="20">
        <f t="shared" si="64"/>
        <v>2.1466615206600508E-12</v>
      </c>
      <c r="CC124" s="59">
        <f t="shared" si="65"/>
        <v>282.30289239218655</v>
      </c>
      <c r="CD124" s="59">
        <f ca="1">AVERAGE(OFFSET($CC$3,0,0,'Données projet'!$E$12+1,1))-AVERAGE(OFFSET($H$3,0,0,'Données projet'!$E$12+1,1))</f>
        <v>251.30277097589737</v>
      </c>
      <c r="CE124" s="59">
        <f t="shared" si="94"/>
        <v>224.11983819941796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9.8151664934496239</v>
      </c>
      <c r="CL124" s="21">
        <f>EXP(-LN(2)/25)*CL123+(1-EXP(-LN(2)/25))/(LN(2)/25)*Calculateur!CG124*Calculateur!CI124*VLOOKUP('Données projet'!$B$12,Paramètres!$A$1:$I$89,3,0)*0.475*44/12</f>
        <v>21.220259482394475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31.035425975844099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2.8421709430404007E-14</v>
      </c>
      <c r="CU124" s="17">
        <f>CT124*VLOOKUP('Données projet'!$B$13,Paramètres!$A$1:$I$89,3,0)*VLOOKUP('Données projet'!$B$13,Paramètres!$A$1:$I$89,5,0)</f>
        <v>2.4829205358400945E-14</v>
      </c>
      <c r="CV124" s="13">
        <f t="shared" si="95"/>
        <v>4.3867331143352915E-13</v>
      </c>
      <c r="CW124" s="20">
        <f t="shared" si="67"/>
        <v>8.0726688341261168E-13</v>
      </c>
      <c r="CX124" s="59">
        <f t="shared" si="68"/>
        <v>282.30289239218519</v>
      </c>
      <c r="CY124" s="59">
        <f ca="1">AVERAGE(OFFSET($CX$3,0,0,'Données projet'!$E$13+1,1))-AVERAGE(OFFSET($H$3,0,0,'Données projet'!$E$13+1,1))</f>
        <v>287.28439432670405</v>
      </c>
      <c r="CZ124" s="59">
        <f t="shared" si="96"/>
        <v>276.01618888357268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14.645262650599667</v>
      </c>
      <c r="DG124" s="21">
        <f>EXP(-LN(2)/25)*DG123+(1-EXP(-LN(2)/25))/(LN(2)/25)*Calculateur!DB124*Calculateur!DD124*VLOOKUP('Données projet'!$B$13,Paramètres!$A$1:$I$89,3,0)*0.475*44/12</f>
        <v>11.709968619539438</v>
      </c>
      <c r="DH124" s="21">
        <f>EXP(-LN(2)/2)*DH123+(1-EXP(-LN(2)/2))/(LN(2)/2)*DB124*DE124*VLOOKUP('Données projet'!$B$13,Paramètres!$A$1:$I$89,3,0)*0.475*44/12</f>
        <v>3.0646788658987838E-5</v>
      </c>
      <c r="DI124" s="22">
        <f t="shared" si="69"/>
        <v>26.355261916927766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-9.9475983006414026E-14</v>
      </c>
      <c r="DP124" s="17">
        <f>DO124*VLOOKUP('Données projet'!$B$14,Paramètres!$A$1:$I$89,3,0)*VLOOKUP('Données projet'!$B$14,Paramètres!$A$1:$I$89,5,0)</f>
        <v>-9.6213170763803652E-14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206.5245935130306</v>
      </c>
      <c r="DU124" s="59">
        <f t="shared" si="98"/>
        <v>130.57011290898546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13.796844653997177</v>
      </c>
      <c r="EB124" s="21">
        <f>EXP(-LN(2)/25)*EB123+(1-EXP(-LN(2)/25))/(LN(2)/25)*Calculateur!DW124*Calculateur!DY124*VLOOKUP('Données projet'!$B$14,Paramètres!$A$1:$I$89,3,0)*0.475*44/12</f>
        <v>17.891233799420625</v>
      </c>
      <c r="EC124" s="21">
        <f>EXP(-LN(2)/2)*EC123+(1-EXP(-LN(2)/2))/(LN(2)/2)*DW124*DZ124*VLOOKUP('Données projet'!$B$14,Paramètres!$A$1:$I$89,3,0)*0.475*44/12</f>
        <v>19.973635989897023</v>
      </c>
      <c r="ED124" s="22">
        <f t="shared" si="72"/>
        <v>51.661714443314821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>
        <f>VLOOKUP(A124,'Données projet'!$A$191:$I$211,2,0)</f>
        <v>477.92</v>
      </c>
      <c r="EH124" s="12">
        <f>VLOOKUP(A124,'Données projet'!$A$191:$I$211,9,0)</f>
        <v>8.2299999999999986</v>
      </c>
      <c r="EI124" s="12">
        <f t="array" ref="EI124">INDEX(EH:EH,MIN(IF(ISNUMBER(EH124:EH320),ROW(EH124:EH320),"")))</f>
        <v>8.2299999999999986</v>
      </c>
      <c r="EJ124" s="12">
        <f>IF('Données projet'!$A$192&gt;35,EJ123+EI124-ER123,IF(A124&lt;'Données projet'!$A$192,$EG$205^A124,IF(A124='Données projet'!$A$192,'Données projet'!$B$192,EJ123+EI124-ER123)))</f>
        <v>477.92000000000019</v>
      </c>
      <c r="EK124" s="17">
        <f>EJ124*VLOOKUP('Données projet'!$B$15,Paramètres!$A$1:$I$89,3,0)*VLOOKUP('Données projet'!$B$15,Paramètres!$A$1:$I$89,5,0)</f>
        <v>223.66656000000006</v>
      </c>
      <c r="EL124" s="13">
        <f t="shared" si="99"/>
        <v>54.911026194090759</v>
      </c>
      <c r="EM124" s="20">
        <f t="shared" si="73"/>
        <v>485.18929595470814</v>
      </c>
      <c r="EN124" s="59">
        <f t="shared" si="74"/>
        <v>767.49218834689259</v>
      </c>
      <c r="EO124" s="59">
        <f ca="1">AVERAGE(OFFSET($EN$3,0,0,'Données projet'!$E$15+1,1))-AVERAGE(OFFSET($H$3,0,0,'Données projet'!$E$15+1,1))</f>
        <v>374.38106339726073</v>
      </c>
      <c r="EP124" s="59">
        <f t="shared" si="100"/>
        <v>296.53283288925957</v>
      </c>
      <c r="EQ124" s="15">
        <f>IF(ISNA(VLOOKUP(A124,'Données projet'!$A$191:$I$211,3,0)),0,VLOOKUP(A124,'Données projet'!$A$191:$I$211,3,0))</f>
        <v>7</v>
      </c>
      <c r="ER124" s="15">
        <f>IF(ISNA(VLOOKUP(A124,'Données projet'!$A$191:$I$211,4,0)),0,VLOOKUP(A124,'Données projet'!$A$191:$I$211,4,0))</f>
        <v>236.89000000000001</v>
      </c>
      <c r="ES124" s="16">
        <f>IF(ISNA(VLOOKUP(A124,'Données projet'!$A$191:$I$211,5,0)),0%,VLOOKUP(A124,'Données projet'!$A$191:$I$211,5,0)*VLOOKUP('Données projet'!$B$15,Paramètres!$A$1:$I$89,7,0))</f>
        <v>0.33</v>
      </c>
      <c r="ET124" s="16">
        <f>IF(ISNA(VLOOKUP(A124,'Données projet'!$A$191:$I$211,6,0)),0%,VLOOKUP(A124,'Données projet'!$A$191:$I$211,6,0)*VLOOKUP('Données projet'!$B$15,Paramètres!$A$1:$I$89,7,0))</f>
        <v>0.11000000000000001</v>
      </c>
      <c r="EU124" s="16">
        <f>IF(ISNA(VLOOKUP(A124,'Données projet'!$A$191:$I$211,7,0)),0%,VLOOKUP(A124,'Données projet'!$A$191:$I$211,7,0))</f>
        <v>0.2</v>
      </c>
      <c r="EV124" s="21">
        <f>EXP(-LN(2)/35)*EV123+(1-EXP(-LN(2)/35))/(LN(2)/35)*ER124*ES124*VLOOKUP('Données projet'!$B$15,Paramètres!$A$1:$I$89,3,0)*0.475*44/12</f>
        <v>102.79373622752556</v>
      </c>
      <c r="EW124" s="21">
        <f>EXP(-LN(2)/25)*EW123+(1-EXP(-LN(2)/25))/(LN(2)/25)*Calculateur!ER124*Calculateur!ET124*VLOOKUP('Données projet'!$B$15,Paramètres!$A$1:$I$89,3,0)*0.475*44/12</f>
        <v>32.483461898659932</v>
      </c>
      <c r="EX124" s="21">
        <f>EXP(-LN(2)/2)*EX123+(1-EXP(-LN(2)/2))/(LN(2)/2)*ER124*EU124*VLOOKUP('Données projet'!$B$15,Paramètres!$A$1:$I$89,3,0)*0.475*44/12</f>
        <v>25.259934292324992</v>
      </c>
      <c r="EY124" s="22">
        <f t="shared" si="75"/>
        <v>160.53713241851048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9">
        <f t="shared" si="55"/>
        <v>1123.7286297349485</v>
      </c>
      <c r="S125" s="59">
        <f ca="1">AVERAGE(OFFSET($R$3,0,0,'Données projet'!$E$9+1,1))-AVERAGE(OFFSET($H$3,0,0,'Données projet'!$E$9+1,1))</f>
        <v>681.47578137804555</v>
      </c>
      <c r="T125" s="59">
        <f t="shared" si="88"/>
        <v>300.88511065995885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1.0818439477588981E-13</v>
      </c>
      <c r="AK125" s="13">
        <f t="shared" si="89"/>
        <v>1.6104228458716316E-12</v>
      </c>
      <c r="AL125" s="20">
        <f t="shared" si="58"/>
        <v>2.9932409441277661E-12</v>
      </c>
      <c r="AM125" s="59">
        <f t="shared" si="59"/>
        <v>282.49424588214481</v>
      </c>
      <c r="AN125" s="59">
        <f ca="1">AVERAGE(OFFSET($AM$3,0,0,'Données projet'!$E$10+1,1))-AVERAGE(OFFSET($H$3,0,0,'Données projet'!$E$10+1,1))</f>
        <v>423.80243030843661</v>
      </c>
      <c r="AO125" s="59">
        <f t="shared" si="90"/>
        <v>260.29028006191834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44.20601450164024</v>
      </c>
      <c r="AV125" s="21">
        <f>EXP(-LN(2)/25)*AV124+(1-EXP(-LN(2)/25))/(LN(2)/25)*Calculateur!AQ125*Calculateur!AS125*VLOOKUP('Données projet'!$B$10,Paramètres!$A$1:$I$89,3,0)*0.475*44/12</f>
        <v>43.730615404547486</v>
      </c>
      <c r="AW125" s="21">
        <f>EXP(-LN(2)/2)*AW124+(1-EXP(-LN(2)/2))/(LN(2)/2)*AQ125*AT125*VLOOKUP('Données projet'!$B$10,Paramètres!$A$1:$I$89,3,0)*0.475*44/12</f>
        <v>32.425225777052354</v>
      </c>
      <c r="AX125" s="21">
        <f t="shared" si="60"/>
        <v>120.36185568324009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-1.3596945791505279E-13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373.61861223558259</v>
      </c>
      <c r="BJ125" s="59">
        <f t="shared" si="92"/>
        <v>277.62293009761049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66.713541318708423</v>
      </c>
      <c r="BQ125" s="21">
        <f>EXP(-LN(2)/25)*BQ124+(1-EXP(-LN(2)/25))/(LN(2)/25)*Calculateur!BL125*Calculateur!BN125*VLOOKUP('Données projet'!$B$11,Paramètres!$A$1:$I$89,3,0)*0.475*44/12</f>
        <v>16.148520318225572</v>
      </c>
      <c r="BR125" s="21">
        <f>EXP(-LN(2)/2)*BR124+(1-EXP(-LN(2)/2))/(LN(2)/2)*BL125*BO125*VLOOKUP('Données projet'!$B$11,Paramètres!$A$1:$I$89,3,0)*0.475*44/12</f>
        <v>3.3720322990993837E-5</v>
      </c>
      <c r="BS125" s="22">
        <f t="shared" si="63"/>
        <v>82.862095357256976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8.5265128291212022E-14</v>
      </c>
      <c r="BZ125" s="13">
        <f>BY125*VLOOKUP('Données projet'!$B$12,Paramètres!$A$1:$I$89,3,0)*VLOOKUP('Données projet'!$B$12,Paramètres!$A$1:$I$89,5,0)</f>
        <v>7.4487616075202836E-14</v>
      </c>
      <c r="CA125" s="13">
        <f t="shared" si="93"/>
        <v>1.1580453144473142E-12</v>
      </c>
      <c r="CB125" s="20">
        <f t="shared" si="64"/>
        <v>2.1466615206600508E-12</v>
      </c>
      <c r="CC125" s="59">
        <f t="shared" si="65"/>
        <v>282.49424588214396</v>
      </c>
      <c r="CD125" s="59">
        <f ca="1">AVERAGE(OFFSET($CC$3,0,0,'Données projet'!$E$12+1,1))-AVERAGE(OFFSET($H$3,0,0,'Données projet'!$E$12+1,1))</f>
        <v>251.30277097589737</v>
      </c>
      <c r="CE125" s="59">
        <f t="shared" si="94"/>
        <v>224.11983819941796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9.6226970651735044</v>
      </c>
      <c r="CL125" s="21">
        <f>EXP(-LN(2)/25)*CL124+(1-EXP(-LN(2)/25))/(LN(2)/25)*Calculateur!CG125*Calculateur!CI125*VLOOKUP('Données projet'!$B$12,Paramètres!$A$1:$I$89,3,0)*0.475*44/12</f>
        <v>20.639990370923453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30.262687436096957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2.8421709430404007E-14</v>
      </c>
      <c r="CU125" s="17">
        <f>CT125*VLOOKUP('Données projet'!$B$13,Paramètres!$A$1:$I$89,3,0)*VLOOKUP('Données projet'!$B$13,Paramètres!$A$1:$I$89,5,0)</f>
        <v>2.4829205358400945E-14</v>
      </c>
      <c r="CV125" s="13">
        <f t="shared" si="95"/>
        <v>4.3867331143352915E-13</v>
      </c>
      <c r="CW125" s="20">
        <f t="shared" si="67"/>
        <v>8.0726688341261168E-13</v>
      </c>
      <c r="CX125" s="59">
        <f t="shared" si="68"/>
        <v>282.49424588214259</v>
      </c>
      <c r="CY125" s="59">
        <f ca="1">AVERAGE(OFFSET($CX$3,0,0,'Données projet'!$E$13+1,1))-AVERAGE(OFFSET($H$3,0,0,'Données projet'!$E$13+1,1))</f>
        <v>287.28439432670405</v>
      </c>
      <c r="CZ125" s="59">
        <f t="shared" si="96"/>
        <v>276.01618888357268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14.358077982749592</v>
      </c>
      <c r="DG125" s="21">
        <f>EXP(-LN(2)/25)*DG124+(1-EXP(-LN(2)/25))/(LN(2)/25)*Calculateur!DB125*Calculateur!DD125*VLOOKUP('Données projet'!$B$13,Paramètres!$A$1:$I$89,3,0)*0.475*44/12</f>
        <v>11.389758911837646</v>
      </c>
      <c r="DH125" s="21">
        <f>EXP(-LN(2)/2)*DH124+(1-EXP(-LN(2)/2))/(LN(2)/2)*DB125*DE125*VLOOKUP('Données projet'!$B$13,Paramètres!$A$1:$I$89,3,0)*0.475*44/12</f>
        <v>2.167055208236128E-5</v>
      </c>
      <c r="DI125" s="22">
        <f t="shared" si="69"/>
        <v>25.747858565139321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-9.9475983006414026E-14</v>
      </c>
      <c r="DP125" s="17">
        <f>DO125*VLOOKUP('Données projet'!$B$14,Paramètres!$A$1:$I$89,3,0)*VLOOKUP('Données projet'!$B$14,Paramètres!$A$1:$I$89,5,0)</f>
        <v>-9.6213170763803652E-14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206.5245935130306</v>
      </c>
      <c r="DU125" s="59">
        <f t="shared" si="98"/>
        <v>130.57011290898546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13.526296945576595</v>
      </c>
      <c r="EB125" s="21">
        <f>EXP(-LN(2)/25)*EB124+(1-EXP(-LN(2)/25))/(LN(2)/25)*Calculateur!DW125*Calculateur!DY125*VLOOKUP('Données projet'!$B$14,Paramètres!$A$1:$I$89,3,0)*0.475*44/12</f>
        <v>17.401997070316373</v>
      </c>
      <c r="EC125" s="21">
        <f>EXP(-LN(2)/2)*EC124+(1-EXP(-LN(2)/2))/(LN(2)/2)*DW125*DZ125*VLOOKUP('Données projet'!$B$14,Paramètres!$A$1:$I$89,3,0)*0.475*44/12</f>
        <v>14.123493453407866</v>
      </c>
      <c r="ED125" s="22">
        <f t="shared" si="72"/>
        <v>45.051787469300834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5.7330000000000014</v>
      </c>
      <c r="EJ125" s="12">
        <f>IF('Données projet'!$A$192&gt;35,EJ124+EI125-ER124,IF(A125&lt;'Données projet'!$A$192,$EG$205^A125,IF(A125='Données projet'!$A$192,'Données projet'!$B$192,EJ124+EI125-ER124)))</f>
        <v>246.76300000000018</v>
      </c>
      <c r="EK125" s="17">
        <f>EJ125*VLOOKUP('Données projet'!$B$15,Paramètres!$A$1:$I$89,3,0)*VLOOKUP('Données projet'!$B$15,Paramètres!$A$1:$I$89,5,0)</f>
        <v>115.48508400000009</v>
      </c>
      <c r="EL125" s="13">
        <f t="shared" si="99"/>
        <v>30.619630481516761</v>
      </c>
      <c r="EM125" s="20">
        <f t="shared" si="73"/>
        <v>254.46571105530847</v>
      </c>
      <c r="EN125" s="59">
        <f t="shared" si="74"/>
        <v>536.95995693745022</v>
      </c>
      <c r="EO125" s="59">
        <f ca="1">AVERAGE(OFFSET($EN$3,0,0,'Données projet'!$E$15+1,1))-AVERAGE(OFFSET($H$3,0,0,'Données projet'!$E$15+1,1))</f>
        <v>374.38106339726073</v>
      </c>
      <c r="EP125" s="59">
        <f t="shared" si="100"/>
        <v>296.53283288925957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100.77801375809197</v>
      </c>
      <c r="EW125" s="21">
        <f>EXP(-LN(2)/25)*EW124+(1-EXP(-LN(2)/25))/(LN(2)/25)*Calculateur!ER125*Calculateur!ET125*VLOOKUP('Données projet'!$B$15,Paramètres!$A$1:$I$89,3,0)*0.475*44/12</f>
        <v>31.595199924810057</v>
      </c>
      <c r="EX125" s="21">
        <f>EXP(-LN(2)/2)*EX124+(1-EXP(-LN(2)/2))/(LN(2)/2)*ER125*EU125*VLOOKUP('Données projet'!$B$15,Paramètres!$A$1:$I$89,3,0)*0.475*44/12</f>
        <v>17.861470830429617</v>
      </c>
      <c r="EY125" s="22">
        <f t="shared" si="75"/>
        <v>150.23468451333164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9">
        <f t="shared" si="55"/>
        <v>1140.8182470868849</v>
      </c>
      <c r="S126" s="59">
        <f ca="1">AVERAGE(OFFSET($R$3,0,0,'Données projet'!$E$9+1,1))-AVERAGE(OFFSET($H$3,0,0,'Données projet'!$E$9+1,1))</f>
        <v>681.47578137804555</v>
      </c>
      <c r="T126" s="59">
        <f t="shared" si="88"/>
        <v>300.88511065995885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1.0818439477588981E-13</v>
      </c>
      <c r="AK126" s="13">
        <f t="shared" si="89"/>
        <v>1.6104228458716316E-12</v>
      </c>
      <c r="AL126" s="20">
        <f t="shared" si="58"/>
        <v>2.9932409441277661E-12</v>
      </c>
      <c r="AM126" s="59">
        <f t="shared" si="59"/>
        <v>282.68227981685368</v>
      </c>
      <c r="AN126" s="59">
        <f ca="1">AVERAGE(OFFSET($AM$3,0,0,'Données projet'!$E$10+1,1))-AVERAGE(OFFSET($H$3,0,0,'Données projet'!$E$10+1,1))</f>
        <v>423.80243030843661</v>
      </c>
      <c r="AO126" s="59">
        <f t="shared" si="90"/>
        <v>260.29028006191834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43.339161520269542</v>
      </c>
      <c r="AV126" s="21">
        <f>EXP(-LN(2)/25)*AV125+(1-EXP(-LN(2)/25))/(LN(2)/25)*Calculateur!AQ126*Calculateur!AS126*VLOOKUP('Données projet'!$B$10,Paramètres!$A$1:$I$89,3,0)*0.475*44/12</f>
        <v>42.53479942661702</v>
      </c>
      <c r="AW126" s="21">
        <f>EXP(-LN(2)/2)*AW125+(1-EXP(-LN(2)/2))/(LN(2)/2)*AQ126*AT126*VLOOKUP('Données projet'!$B$10,Paramètres!$A$1:$I$89,3,0)*0.475*44/12</f>
        <v>22.928097028458559</v>
      </c>
      <c r="AX126" s="21">
        <f t="shared" si="60"/>
        <v>108.80205797534512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-1.3596945791505279E-13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373.61861223558259</v>
      </c>
      <c r="BJ126" s="59">
        <f t="shared" si="92"/>
        <v>277.62293009761049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65.405329464690823</v>
      </c>
      <c r="BQ126" s="21">
        <f>EXP(-LN(2)/25)*BQ125+(1-EXP(-LN(2)/25))/(LN(2)/25)*Calculateur!BL126*Calculateur!BN126*VLOOKUP('Données projet'!$B$11,Paramètres!$A$1:$I$89,3,0)*0.475*44/12</f>
        <v>15.706938180909917</v>
      </c>
      <c r="BR126" s="21">
        <f>EXP(-LN(2)/2)*BR125+(1-EXP(-LN(2)/2))/(LN(2)/2)*BL126*BO126*VLOOKUP('Données projet'!$B$11,Paramètres!$A$1:$I$89,3,0)*0.475*44/12</f>
        <v>2.3843869050732387E-5</v>
      </c>
      <c r="BS126" s="22">
        <f t="shared" si="63"/>
        <v>81.112291489469783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8.5265128291212022E-14</v>
      </c>
      <c r="BZ126" s="13">
        <f>BY126*VLOOKUP('Données projet'!$B$12,Paramètres!$A$1:$I$89,3,0)*VLOOKUP('Données projet'!$B$12,Paramètres!$A$1:$I$89,5,0)</f>
        <v>7.4487616075202836E-14</v>
      </c>
      <c r="CA126" s="13">
        <f t="shared" si="93"/>
        <v>1.1580453144473142E-12</v>
      </c>
      <c r="CB126" s="20">
        <f t="shared" si="64"/>
        <v>2.1466615206600508E-12</v>
      </c>
      <c r="CC126" s="59">
        <f t="shared" si="65"/>
        <v>282.68227981685283</v>
      </c>
      <c r="CD126" s="59">
        <f ca="1">AVERAGE(OFFSET($CC$3,0,0,'Données projet'!$E$12+1,1))-AVERAGE(OFFSET($H$3,0,0,'Données projet'!$E$12+1,1))</f>
        <v>251.30277097589737</v>
      </c>
      <c r="CE126" s="59">
        <f t="shared" si="94"/>
        <v>224.11983819941796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9.4340018449911192</v>
      </c>
      <c r="CL126" s="21">
        <f>EXP(-LN(2)/25)*CL125+(1-EXP(-LN(2)/25))/(LN(2)/25)*Calculateur!CG126*Calculateur!CI126*VLOOKUP('Données projet'!$B$12,Paramètres!$A$1:$I$89,3,0)*0.475*44/12</f>
        <v>20.075588748820632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29.509590593811751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2.8421709430404007E-14</v>
      </c>
      <c r="CU126" s="17">
        <f>CT126*VLOOKUP('Données projet'!$B$13,Paramètres!$A$1:$I$89,3,0)*VLOOKUP('Données projet'!$B$13,Paramètres!$A$1:$I$89,5,0)</f>
        <v>2.4829205358400945E-14</v>
      </c>
      <c r="CV126" s="13">
        <f t="shared" si="95"/>
        <v>4.3867331143352915E-13</v>
      </c>
      <c r="CW126" s="20">
        <f t="shared" si="67"/>
        <v>8.0726688341261168E-13</v>
      </c>
      <c r="CX126" s="59">
        <f t="shared" si="68"/>
        <v>282.68227981685146</v>
      </c>
      <c r="CY126" s="59">
        <f ca="1">AVERAGE(OFFSET($CX$3,0,0,'Données projet'!$E$13+1,1))-AVERAGE(OFFSET($H$3,0,0,'Données projet'!$E$13+1,1))</f>
        <v>287.28439432670405</v>
      </c>
      <c r="CZ126" s="59">
        <f t="shared" si="96"/>
        <v>276.01618888357268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14.076524831070705</v>
      </c>
      <c r="DG126" s="21">
        <f>EXP(-LN(2)/25)*DG125+(1-EXP(-LN(2)/25))/(LN(2)/25)*Calculateur!DB126*Calculateur!DD126*VLOOKUP('Données projet'!$B$13,Paramètres!$A$1:$I$89,3,0)*0.475*44/12</f>
        <v>11.078305355432056</v>
      </c>
      <c r="DH126" s="21">
        <f>EXP(-LN(2)/2)*DH125+(1-EXP(-LN(2)/2))/(LN(2)/2)*DB126*DE126*VLOOKUP('Données projet'!$B$13,Paramètres!$A$1:$I$89,3,0)*0.475*44/12</f>
        <v>1.5323394329493919E-5</v>
      </c>
      <c r="DI126" s="22">
        <f t="shared" si="69"/>
        <v>25.15484550989709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-9.9475983006414026E-14</v>
      </c>
      <c r="DP126" s="17">
        <f>DO126*VLOOKUP('Données projet'!$B$14,Paramètres!$A$1:$I$89,3,0)*VLOOKUP('Données projet'!$B$14,Paramètres!$A$1:$I$89,5,0)</f>
        <v>-9.6213170763803652E-14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206.5245935130306</v>
      </c>
      <c r="DU126" s="59">
        <f t="shared" si="98"/>
        <v>130.57011290898546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13.261054512700333</v>
      </c>
      <c r="EB126" s="21">
        <f>EXP(-LN(2)/25)*EB125+(1-EXP(-LN(2)/25))/(LN(2)/25)*Calculateur!DW126*Calculateur!DY126*VLOOKUP('Données projet'!$B$14,Paramètres!$A$1:$I$89,3,0)*0.475*44/12</f>
        <v>16.92613854529732</v>
      </c>
      <c r="EC126" s="21">
        <f>EXP(-LN(2)/2)*EC125+(1-EXP(-LN(2)/2))/(LN(2)/2)*DW126*DZ126*VLOOKUP('Données projet'!$B$14,Paramètres!$A$1:$I$89,3,0)*0.475*44/12</f>
        <v>9.9868179949485132</v>
      </c>
      <c r="ED126" s="22">
        <f t="shared" si="72"/>
        <v>40.17401105294617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5.7330000000000014</v>
      </c>
      <c r="EJ126" s="12">
        <f>IF('Données projet'!$A$192&gt;35,EJ125+EI126-ER125,IF(A126&lt;'Données projet'!$A$192,$EG$205^A126,IF(A126='Données projet'!$A$192,'Données projet'!$B$192,EJ125+EI126-ER125)))</f>
        <v>252.49600000000018</v>
      </c>
      <c r="EK126" s="17">
        <f>EJ126*VLOOKUP('Données projet'!$B$15,Paramètres!$A$1:$I$89,3,0)*VLOOKUP('Données projet'!$B$15,Paramètres!$A$1:$I$89,5,0)</f>
        <v>118.16812800000008</v>
      </c>
      <c r="EL126" s="13">
        <f t="shared" si="99"/>
        <v>31.247363461606096</v>
      </c>
      <c r="EM126" s="20">
        <f t="shared" si="73"/>
        <v>260.23198096229737</v>
      </c>
      <c r="EN126" s="59">
        <f t="shared" si="74"/>
        <v>542.91426077914798</v>
      </c>
      <c r="EO126" s="59">
        <f ca="1">AVERAGE(OFFSET($EN$3,0,0,'Données projet'!$E$15+1,1))-AVERAGE(OFFSET($H$3,0,0,'Données projet'!$E$15+1,1))</f>
        <v>374.38106339726073</v>
      </c>
      <c r="EP126" s="59">
        <f t="shared" si="100"/>
        <v>296.53283288925957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98.801818376814666</v>
      </c>
      <c r="EW126" s="21">
        <f>EXP(-LN(2)/25)*EW125+(1-EXP(-LN(2)/25))/(LN(2)/25)*Calculateur!ER126*Calculateur!ET126*VLOOKUP('Données projet'!$B$15,Paramètres!$A$1:$I$89,3,0)*0.475*44/12</f>
        <v>30.731227521346774</v>
      </c>
      <c r="EX126" s="21">
        <f>EXP(-LN(2)/2)*EX125+(1-EXP(-LN(2)/2))/(LN(2)/2)*ER126*EU126*VLOOKUP('Données projet'!$B$15,Paramètres!$A$1:$I$89,3,0)*0.475*44/12</f>
        <v>12.629967146162498</v>
      </c>
      <c r="EY126" s="22">
        <f t="shared" si="75"/>
        <v>142.16301304432395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9">
        <f t="shared" si="55"/>
        <v>1157.8979293861935</v>
      </c>
      <c r="S127" s="59">
        <f ca="1">AVERAGE(OFFSET($R$3,0,0,'Données projet'!$E$9+1,1))-AVERAGE(OFFSET($H$3,0,0,'Données projet'!$E$9+1,1))</f>
        <v>681.47578137804555</v>
      </c>
      <c r="T127" s="59">
        <f t="shared" si="88"/>
        <v>300.88511065995885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1.0818439477588981E-13</v>
      </c>
      <c r="AK127" s="13">
        <f t="shared" si="89"/>
        <v>1.6104228458716316E-12</v>
      </c>
      <c r="AL127" s="20">
        <f t="shared" si="58"/>
        <v>2.9932409441277661E-12</v>
      </c>
      <c r="AM127" s="59">
        <f t="shared" si="59"/>
        <v>282.86705178317635</v>
      </c>
      <c r="AN127" s="59">
        <f ca="1">AVERAGE(OFFSET($AM$3,0,0,'Données projet'!$E$10+1,1))-AVERAGE(OFFSET($H$3,0,0,'Données projet'!$E$10+1,1))</f>
        <v>423.80243030843661</v>
      </c>
      <c r="AO127" s="59">
        <f t="shared" si="90"/>
        <v>260.29028006191834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42.489306997135415</v>
      </c>
      <c r="AV127" s="21">
        <f>EXP(-LN(2)/25)*AV126+(1-EXP(-LN(2)/25))/(LN(2)/25)*Calculateur!AQ127*Calculateur!AS127*VLOOKUP('Données projet'!$B$10,Paramètres!$A$1:$I$89,3,0)*0.475*44/12</f>
        <v>41.371683099488294</v>
      </c>
      <c r="AW127" s="21">
        <f>EXP(-LN(2)/2)*AW126+(1-EXP(-LN(2)/2))/(LN(2)/2)*AQ127*AT127*VLOOKUP('Données projet'!$B$10,Paramètres!$A$1:$I$89,3,0)*0.475*44/12</f>
        <v>16.212612888526177</v>
      </c>
      <c r="AX127" s="21">
        <f t="shared" si="60"/>
        <v>100.07360298514989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-1.3596945791505279E-13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373.61861223558259</v>
      </c>
      <c r="BJ127" s="59">
        <f t="shared" si="92"/>
        <v>277.62293009761049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64.122770847200073</v>
      </c>
      <c r="BQ127" s="21">
        <f>EXP(-LN(2)/25)*BQ126+(1-EXP(-LN(2)/25))/(LN(2)/25)*Calculateur!BL127*Calculateur!BN127*VLOOKUP('Données projet'!$B$11,Paramètres!$A$1:$I$89,3,0)*0.475*44/12</f>
        <v>15.277431130360956</v>
      </c>
      <c r="BR127" s="21">
        <f>EXP(-LN(2)/2)*BR126+(1-EXP(-LN(2)/2))/(LN(2)/2)*BL127*BO127*VLOOKUP('Données projet'!$B$11,Paramètres!$A$1:$I$89,3,0)*0.475*44/12</f>
        <v>1.6860161495496918E-5</v>
      </c>
      <c r="BS127" s="22">
        <f t="shared" si="63"/>
        <v>79.40021883772252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8.5265128291212022E-14</v>
      </c>
      <c r="BZ127" s="13">
        <f>BY127*VLOOKUP('Données projet'!$B$12,Paramètres!$A$1:$I$89,3,0)*VLOOKUP('Données projet'!$B$12,Paramètres!$A$1:$I$89,5,0)</f>
        <v>7.4487616075202836E-14</v>
      </c>
      <c r="CA127" s="13">
        <f t="shared" si="93"/>
        <v>1.1580453144473142E-12</v>
      </c>
      <c r="CB127" s="20">
        <f t="shared" si="64"/>
        <v>2.1466615206600508E-12</v>
      </c>
      <c r="CC127" s="59">
        <f t="shared" si="65"/>
        <v>282.8670517831755</v>
      </c>
      <c r="CD127" s="59">
        <f ca="1">AVERAGE(OFFSET($CC$3,0,0,'Données projet'!$E$12+1,1))-AVERAGE(OFFSET($H$3,0,0,'Données projet'!$E$12+1,1))</f>
        <v>251.30277097589737</v>
      </c>
      <c r="CE127" s="59">
        <f t="shared" si="94"/>
        <v>224.11983819941796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9.249006822983791</v>
      </c>
      <c r="CL127" s="21">
        <f>EXP(-LN(2)/25)*CL126+(1-EXP(-LN(2)/25))/(LN(2)/25)*Calculateur!CG127*Calculateur!CI127*VLOOKUP('Données projet'!$B$12,Paramètres!$A$1:$I$89,3,0)*0.475*44/12</f>
        <v>19.526620718754803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28.775627541738594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2.8421709430404007E-14</v>
      </c>
      <c r="CU127" s="17">
        <f>CT127*VLOOKUP('Données projet'!$B$13,Paramètres!$A$1:$I$89,3,0)*VLOOKUP('Données projet'!$B$13,Paramètres!$A$1:$I$89,5,0)</f>
        <v>2.4829205358400945E-14</v>
      </c>
      <c r="CV127" s="13">
        <f t="shared" si="95"/>
        <v>4.3867331143352915E-13</v>
      </c>
      <c r="CW127" s="20">
        <f t="shared" si="67"/>
        <v>8.0726688341261168E-13</v>
      </c>
      <c r="CX127" s="59">
        <f t="shared" si="68"/>
        <v>282.86705178317413</v>
      </c>
      <c r="CY127" s="59">
        <f ca="1">AVERAGE(OFFSET($CX$3,0,0,'Données projet'!$E$13+1,1))-AVERAGE(OFFSET($H$3,0,0,'Données projet'!$E$13+1,1))</f>
        <v>287.28439432670405</v>
      </c>
      <c r="CZ127" s="59">
        <f t="shared" si="96"/>
        <v>276.01618888357268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13.800492764965774</v>
      </c>
      <c r="DG127" s="21">
        <f>EXP(-LN(2)/25)*DG126+(1-EXP(-LN(2)/25))/(LN(2)/25)*Calculateur!DB127*Calculateur!DD127*VLOOKUP('Données projet'!$B$13,Paramètres!$A$1:$I$89,3,0)*0.475*44/12</f>
        <v>10.775368512905008</v>
      </c>
      <c r="DH127" s="21">
        <f>EXP(-LN(2)/2)*DH126+(1-EXP(-LN(2)/2))/(LN(2)/2)*DB127*DE127*VLOOKUP('Données projet'!$B$13,Paramètres!$A$1:$I$89,3,0)*0.475*44/12</f>
        <v>1.083527604118064E-5</v>
      </c>
      <c r="DI127" s="22">
        <f t="shared" si="69"/>
        <v>24.575872113146822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-9.9475983006414026E-14</v>
      </c>
      <c r="DP127" s="17">
        <f>DO127*VLOOKUP('Données projet'!$B$14,Paramètres!$A$1:$I$89,3,0)*VLOOKUP('Données projet'!$B$14,Paramètres!$A$1:$I$89,5,0)</f>
        <v>-9.6213170763803652E-14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206.5245935130306</v>
      </c>
      <c r="DU127" s="59">
        <f t="shared" si="98"/>
        <v>130.57011290898546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13.001013322150865</v>
      </c>
      <c r="EB127" s="21">
        <f>EXP(-LN(2)/25)*EB126+(1-EXP(-LN(2)/25))/(LN(2)/25)*Calculateur!DW127*Calculateur!DY127*VLOOKUP('Données projet'!$B$14,Paramètres!$A$1:$I$89,3,0)*0.475*44/12</f>
        <v>16.463292396669225</v>
      </c>
      <c r="EC127" s="21">
        <f>EXP(-LN(2)/2)*EC126+(1-EXP(-LN(2)/2))/(LN(2)/2)*DW127*DZ127*VLOOKUP('Données projet'!$B$14,Paramètres!$A$1:$I$89,3,0)*0.475*44/12</f>
        <v>7.0617467267039338</v>
      </c>
      <c r="ED127" s="22">
        <f t="shared" si="72"/>
        <v>36.526052445524023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5.7330000000000014</v>
      </c>
      <c r="EJ127" s="12">
        <f>IF('Données projet'!$A$192&gt;35,EJ126+EI127-ER126,IF(A127&lt;'Données projet'!$A$192,$EG$205^A127,IF(A127='Données projet'!$A$192,'Données projet'!$B$192,EJ126+EI127-ER126)))</f>
        <v>258.22900000000016</v>
      </c>
      <c r="EK127" s="17">
        <f>EJ127*VLOOKUP('Données projet'!$B$15,Paramètres!$A$1:$I$89,3,0)*VLOOKUP('Données projet'!$B$15,Paramètres!$A$1:$I$89,5,0)</f>
        <v>120.85117200000008</v>
      </c>
      <c r="EL127" s="13">
        <f t="shared" si="99"/>
        <v>31.873439447313004</v>
      </c>
      <c r="EM127" s="20">
        <f t="shared" si="73"/>
        <v>265.99536493740356</v>
      </c>
      <c r="EN127" s="59">
        <f t="shared" si="74"/>
        <v>548.8624167205769</v>
      </c>
      <c r="EO127" s="59">
        <f ca="1">AVERAGE(OFFSET($EN$3,0,0,'Données projet'!$E$15+1,1))-AVERAGE(OFFSET($H$3,0,0,'Données projet'!$E$15+1,1))</f>
        <v>374.38106339726073</v>
      </c>
      <c r="EP127" s="59">
        <f t="shared" si="100"/>
        <v>296.53283288925957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96.864374981604044</v>
      </c>
      <c r="EW127" s="21">
        <f>EXP(-LN(2)/25)*EW126+(1-EXP(-LN(2)/25))/(LN(2)/25)*Calculateur!ER127*Calculateur!ET127*VLOOKUP('Données projet'!$B$15,Paramètres!$A$1:$I$89,3,0)*0.475*44/12</f>
        <v>29.890880488690527</v>
      </c>
      <c r="EX127" s="21">
        <f>EXP(-LN(2)/2)*EX126+(1-EXP(-LN(2)/2))/(LN(2)/2)*ER127*EU127*VLOOKUP('Données projet'!$B$15,Paramètres!$A$1:$I$89,3,0)*0.475*44/12</f>
        <v>8.9307354152148104</v>
      </c>
      <c r="EY127" s="22">
        <f t="shared" si="75"/>
        <v>135.68599088550937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9">
        <f t="shared" si="55"/>
        <v>1065.5492352306719</v>
      </c>
      <c r="S128" s="59">
        <f ca="1">AVERAGE(OFFSET($R$3,0,0,'Données projet'!$E$9+1,1))-AVERAGE(OFFSET($H$3,0,0,'Données projet'!$E$9+1,1))</f>
        <v>681.47578137804555</v>
      </c>
      <c r="T128" s="59">
        <f t="shared" si="88"/>
        <v>300.88511065995885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1.0818439477588981E-13</v>
      </c>
      <c r="AK128" s="13">
        <f t="shared" si="89"/>
        <v>1.6104228458716316E-12</v>
      </c>
      <c r="AL128" s="20">
        <f t="shared" si="58"/>
        <v>2.9932409441277661E-12</v>
      </c>
      <c r="AM128" s="59">
        <f t="shared" si="59"/>
        <v>283.04861836897152</v>
      </c>
      <c r="AN128" s="59">
        <f ca="1">AVERAGE(OFFSET($AM$3,0,0,'Données projet'!$E$10+1,1))-AVERAGE(OFFSET($H$3,0,0,'Données projet'!$E$10+1,1))</f>
        <v>423.80243030843661</v>
      </c>
      <c r="AO128" s="59">
        <f t="shared" si="90"/>
        <v>260.29028006191834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41.656117602839871</v>
      </c>
      <c r="AV128" s="21">
        <f>EXP(-LN(2)/25)*AV127+(1-EXP(-LN(2)/25))/(LN(2)/25)*Calculateur!AQ128*Calculateur!AS128*VLOOKUP('Données projet'!$B$10,Paramètres!$A$1:$I$89,3,0)*0.475*44/12</f>
        <v>40.240372249490527</v>
      </c>
      <c r="AW128" s="21">
        <f>EXP(-LN(2)/2)*AW127+(1-EXP(-LN(2)/2))/(LN(2)/2)*AQ128*AT128*VLOOKUP('Données projet'!$B$10,Paramètres!$A$1:$I$89,3,0)*0.475*44/12</f>
        <v>11.46404851422928</v>
      </c>
      <c r="AX128" s="21">
        <f t="shared" si="60"/>
        <v>93.36053836655968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-1.3596945791505279E-13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373.61861223558259</v>
      </c>
      <c r="BJ128" s="59">
        <f t="shared" si="92"/>
        <v>277.62293009761049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62.865362421914803</v>
      </c>
      <c r="BQ128" s="21">
        <f>EXP(-LN(2)/25)*BQ127+(1-EXP(-LN(2)/25))/(LN(2)/25)*Calculateur!BL128*Calculateur!BN128*VLOOKUP('Données projet'!$B$11,Paramètres!$A$1:$I$89,3,0)*0.475*44/12</f>
        <v>14.859668972696049</v>
      </c>
      <c r="BR128" s="21">
        <f>EXP(-LN(2)/2)*BR127+(1-EXP(-LN(2)/2))/(LN(2)/2)*BL128*BO128*VLOOKUP('Données projet'!$B$11,Paramètres!$A$1:$I$89,3,0)*0.475*44/12</f>
        <v>1.1921934525366193E-5</v>
      </c>
      <c r="BS128" s="22">
        <f t="shared" si="63"/>
        <v>77.725043316545381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8.5265128291212022E-14</v>
      </c>
      <c r="BZ128" s="13">
        <f>BY128*VLOOKUP('Données projet'!$B$12,Paramètres!$A$1:$I$89,3,0)*VLOOKUP('Données projet'!$B$12,Paramètres!$A$1:$I$89,5,0)</f>
        <v>7.4487616075202836E-14</v>
      </c>
      <c r="CA128" s="13">
        <f t="shared" si="93"/>
        <v>1.1580453144473142E-12</v>
      </c>
      <c r="CB128" s="20">
        <f t="shared" si="64"/>
        <v>2.1466615206600508E-12</v>
      </c>
      <c r="CC128" s="59">
        <f t="shared" si="65"/>
        <v>283.04861836897066</v>
      </c>
      <c r="CD128" s="59">
        <f ca="1">AVERAGE(OFFSET($CC$3,0,0,'Données projet'!$E$12+1,1))-AVERAGE(OFFSET($H$3,0,0,'Données projet'!$E$12+1,1))</f>
        <v>251.30277097589737</v>
      </c>
      <c r="CE128" s="59">
        <f t="shared" si="94"/>
        <v>224.11983819941796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9.0676394405222052</v>
      </c>
      <c r="CL128" s="21">
        <f>EXP(-LN(2)/25)*CL127+(1-EXP(-LN(2)/25))/(LN(2)/25)*Calculateur!CG128*Calculateur!CI128*VLOOKUP('Données projet'!$B$12,Paramètres!$A$1:$I$89,3,0)*0.475*44/12</f>
        <v>18.992664248340098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28.060303688862305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2.8421709430404007E-14</v>
      </c>
      <c r="CU128" s="17">
        <f>CT128*VLOOKUP('Données projet'!$B$13,Paramètres!$A$1:$I$89,3,0)*VLOOKUP('Données projet'!$B$13,Paramètres!$A$1:$I$89,5,0)</f>
        <v>2.4829205358400945E-14</v>
      </c>
      <c r="CV128" s="13">
        <f t="shared" si="95"/>
        <v>4.3867331143352915E-13</v>
      </c>
      <c r="CW128" s="20">
        <f t="shared" si="67"/>
        <v>8.0726688341261168E-13</v>
      </c>
      <c r="CX128" s="59">
        <f t="shared" si="68"/>
        <v>283.0486183689693</v>
      </c>
      <c r="CY128" s="59">
        <f ca="1">AVERAGE(OFFSET($CX$3,0,0,'Données projet'!$E$13+1,1))-AVERAGE(OFFSET($H$3,0,0,'Données projet'!$E$13+1,1))</f>
        <v>287.28439432670405</v>
      </c>
      <c r="CZ128" s="59">
        <f t="shared" si="96"/>
        <v>276.01618888357268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13.529873519314226</v>
      </c>
      <c r="DG128" s="21">
        <f>EXP(-LN(2)/25)*DG127+(1-EXP(-LN(2)/25))/(LN(2)/25)*Calculateur!DB128*Calculateur!DD128*VLOOKUP('Données projet'!$B$13,Paramètres!$A$1:$I$89,3,0)*0.475*44/12</f>
        <v>10.480715494267617</v>
      </c>
      <c r="DH128" s="21">
        <f>EXP(-LN(2)/2)*DH127+(1-EXP(-LN(2)/2))/(LN(2)/2)*DB128*DE128*VLOOKUP('Données projet'!$B$13,Paramètres!$A$1:$I$89,3,0)*0.475*44/12</f>
        <v>7.6616971647469595E-6</v>
      </c>
      <c r="DI128" s="22">
        <f t="shared" si="69"/>
        <v>24.010596675279007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-9.9475983006414026E-14</v>
      </c>
      <c r="DP128" s="17">
        <f>DO128*VLOOKUP('Données projet'!$B$14,Paramètres!$A$1:$I$89,3,0)*VLOOKUP('Données projet'!$B$14,Paramètres!$A$1:$I$89,5,0)</f>
        <v>-9.6213170763803652E-14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206.5245935130306</v>
      </c>
      <c r="DU128" s="59">
        <f t="shared" si="98"/>
        <v>130.57011290898546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12.746071380738606</v>
      </c>
      <c r="EB128" s="21">
        <f>EXP(-LN(2)/25)*EB127+(1-EXP(-LN(2)/25))/(LN(2)/25)*Calculateur!DW128*Calculateur!DY128*VLOOKUP('Données projet'!$B$14,Paramètres!$A$1:$I$89,3,0)*0.475*44/12</f>
        <v>16.013102800315384</v>
      </c>
      <c r="EC128" s="21">
        <f>EXP(-LN(2)/2)*EC127+(1-EXP(-LN(2)/2))/(LN(2)/2)*DW128*DZ128*VLOOKUP('Données projet'!$B$14,Paramètres!$A$1:$I$89,3,0)*0.475*44/12</f>
        <v>4.9934089974742575</v>
      </c>
      <c r="ED128" s="22">
        <f t="shared" si="72"/>
        <v>33.752583178528248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5.7330000000000014</v>
      </c>
      <c r="EJ128" s="12">
        <f>IF('Données projet'!$A$192&gt;35,EJ127+EI128-ER127,IF(A128&lt;'Données projet'!$A$192,$EG$205^A128,IF(A128='Données projet'!$A$192,'Données projet'!$B$192,EJ127+EI128-ER127)))</f>
        <v>263.96200000000016</v>
      </c>
      <c r="EK128" s="17">
        <f>EJ128*VLOOKUP('Données projet'!$B$15,Paramètres!$A$1:$I$89,3,0)*VLOOKUP('Données projet'!$B$15,Paramètres!$A$1:$I$89,5,0)</f>
        <v>123.53421600000007</v>
      </c>
      <c r="EL128" s="13">
        <f t="shared" si="99"/>
        <v>32.497899461772079</v>
      </c>
      <c r="EM128" s="20">
        <f t="shared" si="73"/>
        <v>271.75593442925316</v>
      </c>
      <c r="EN128" s="59">
        <f t="shared" si="74"/>
        <v>554.80455279822172</v>
      </c>
      <c r="EO128" s="59">
        <f ca="1">AVERAGE(OFFSET($EN$3,0,0,'Données projet'!$E$15+1,1))-AVERAGE(OFFSET($H$3,0,0,'Données projet'!$E$15+1,1))</f>
        <v>374.38106339726073</v>
      </c>
      <c r="EP128" s="59">
        <f t="shared" si="100"/>
        <v>296.53283288925957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94.964923669649721</v>
      </c>
      <c r="EW128" s="21">
        <f>EXP(-LN(2)/25)*EW127+(1-EXP(-LN(2)/25))/(LN(2)/25)*Calculateur!ER128*Calculateur!ET128*VLOOKUP('Données projet'!$B$15,Paramètres!$A$1:$I$89,3,0)*0.475*44/12</f>
        <v>29.073512789834197</v>
      </c>
      <c r="EX128" s="21">
        <f>EXP(-LN(2)/2)*EX127+(1-EXP(-LN(2)/2))/(LN(2)/2)*ER128*EU128*VLOOKUP('Données projet'!$B$15,Paramètres!$A$1:$I$89,3,0)*0.475*44/12</f>
        <v>6.3149835730812498</v>
      </c>
      <c r="EY128" s="22">
        <f t="shared" si="75"/>
        <v>130.35342003256517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9">
        <f t="shared" si="55"/>
        <v>1082.8567203626926</v>
      </c>
      <c r="S129" s="59">
        <f ca="1">AVERAGE(OFFSET($R$3,0,0,'Données projet'!$E$9+1,1))-AVERAGE(OFFSET($H$3,0,0,'Données projet'!$E$9+1,1))</f>
        <v>681.47578137804555</v>
      </c>
      <c r="T129" s="59">
        <f t="shared" si="88"/>
        <v>300.88511065995885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1.0818439477588981E-13</v>
      </c>
      <c r="AK129" s="13">
        <f t="shared" si="89"/>
        <v>1.6104228458716316E-12</v>
      </c>
      <c r="AL129" s="20">
        <f t="shared" si="58"/>
        <v>2.9932409441277661E-12</v>
      </c>
      <c r="AM129" s="59">
        <f t="shared" si="59"/>
        <v>283.22703518042522</v>
      </c>
      <c r="AN129" s="59">
        <f ca="1">AVERAGE(OFFSET($AM$3,0,0,'Données projet'!$E$10+1,1))-AVERAGE(OFFSET($H$3,0,0,'Données projet'!$E$10+1,1))</f>
        <v>423.80243030843661</v>
      </c>
      <c r="AO129" s="59">
        <f t="shared" si="90"/>
        <v>260.29028006191834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40.839266544371114</v>
      </c>
      <c r="AV129" s="21">
        <f>EXP(-LN(2)/25)*AV128+(1-EXP(-LN(2)/25))/(LN(2)/25)*Calculateur!AQ129*Calculateur!AS129*VLOOKUP('Données projet'!$B$10,Paramètres!$A$1:$I$89,3,0)*0.475*44/12</f>
        <v>39.139997154178999</v>
      </c>
      <c r="AW129" s="21">
        <f>EXP(-LN(2)/2)*AW128+(1-EXP(-LN(2)/2))/(LN(2)/2)*AQ129*AT129*VLOOKUP('Données projet'!$B$10,Paramètres!$A$1:$I$89,3,0)*0.475*44/12</f>
        <v>8.1063064442630886</v>
      </c>
      <c r="AX129" s="21">
        <f t="shared" si="60"/>
        <v>88.085570142813197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-1.3596945791505279E-13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373.61861223558259</v>
      </c>
      <c r="BJ129" s="59">
        <f t="shared" si="92"/>
        <v>277.62293009761049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61.632611008905968</v>
      </c>
      <c r="BQ129" s="21">
        <f>EXP(-LN(2)/25)*BQ128+(1-EXP(-LN(2)/25))/(LN(2)/25)*Calculateur!BL129*Calculateur!BN129*VLOOKUP('Données projet'!$B$11,Paramètres!$A$1:$I$89,3,0)*0.475*44/12</f>
        <v>14.453330543201647</v>
      </c>
      <c r="BR129" s="21">
        <f>EXP(-LN(2)/2)*BR128+(1-EXP(-LN(2)/2))/(LN(2)/2)*BL129*BO129*VLOOKUP('Données projet'!$B$11,Paramètres!$A$1:$I$89,3,0)*0.475*44/12</f>
        <v>8.4300807477484592E-6</v>
      </c>
      <c r="BS129" s="22">
        <f t="shared" si="63"/>
        <v>76.085949982188367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8.5265128291212022E-14</v>
      </c>
      <c r="BZ129" s="13">
        <f>BY129*VLOOKUP('Données projet'!$B$12,Paramètres!$A$1:$I$89,3,0)*VLOOKUP('Données projet'!$B$12,Paramètres!$A$1:$I$89,5,0)</f>
        <v>7.4487616075202836E-14</v>
      </c>
      <c r="CA129" s="13">
        <f t="shared" si="93"/>
        <v>1.1580453144473142E-12</v>
      </c>
      <c r="CB129" s="20">
        <f t="shared" si="64"/>
        <v>2.1466615206600508E-12</v>
      </c>
      <c r="CC129" s="59">
        <f t="shared" si="65"/>
        <v>283.22703518042437</v>
      </c>
      <c r="CD129" s="59">
        <f ca="1">AVERAGE(OFFSET($CC$3,0,0,'Données projet'!$E$12+1,1))-AVERAGE(OFFSET($H$3,0,0,'Données projet'!$E$12+1,1))</f>
        <v>251.30277097589737</v>
      </c>
      <c r="CE129" s="59">
        <f t="shared" si="94"/>
        <v>224.11983819941796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8.8898285618075104</v>
      </c>
      <c r="CL129" s="21">
        <f>EXP(-LN(2)/25)*CL128+(1-EXP(-LN(2)/25))/(LN(2)/25)*Calculateur!CG129*Calculateur!CI129*VLOOKUP('Données projet'!$B$12,Paramètres!$A$1:$I$89,3,0)*0.475*44/12</f>
        <v>18.473308845688432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27.363137407495941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2.8421709430404007E-14</v>
      </c>
      <c r="CU129" s="17">
        <f>CT129*VLOOKUP('Données projet'!$B$13,Paramètres!$A$1:$I$89,3,0)*VLOOKUP('Données projet'!$B$13,Paramètres!$A$1:$I$89,5,0)</f>
        <v>2.4829205358400945E-14</v>
      </c>
      <c r="CV129" s="13">
        <f t="shared" si="95"/>
        <v>4.3867331143352915E-13</v>
      </c>
      <c r="CW129" s="20">
        <f t="shared" si="67"/>
        <v>8.0726688341261168E-13</v>
      </c>
      <c r="CX129" s="59">
        <f t="shared" si="68"/>
        <v>283.227035180423</v>
      </c>
      <c r="CY129" s="59">
        <f ca="1">AVERAGE(OFFSET($CX$3,0,0,'Données projet'!$E$13+1,1))-AVERAGE(OFFSET($H$3,0,0,'Données projet'!$E$13+1,1))</f>
        <v>287.28439432670405</v>
      </c>
      <c r="CZ129" s="59">
        <f t="shared" si="96"/>
        <v>276.01618888357268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13.264560952008463</v>
      </c>
      <c r="DG129" s="21">
        <f>EXP(-LN(2)/25)*DG128+(1-EXP(-LN(2)/25))/(LN(2)/25)*Calculateur!DB129*Calculateur!DD129*VLOOKUP('Données projet'!$B$13,Paramètres!$A$1:$I$89,3,0)*0.475*44/12</f>
        <v>10.194119777919996</v>
      </c>
      <c r="DH129" s="21">
        <f>EXP(-LN(2)/2)*DH128+(1-EXP(-LN(2)/2))/(LN(2)/2)*DB129*DE129*VLOOKUP('Données projet'!$B$13,Paramètres!$A$1:$I$89,3,0)*0.475*44/12</f>
        <v>5.41763802059032E-6</v>
      </c>
      <c r="DI129" s="22">
        <f t="shared" si="69"/>
        <v>23.458686147566482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-9.9475983006414026E-14</v>
      </c>
      <c r="DP129" s="17">
        <f>DO129*VLOOKUP('Données projet'!$B$14,Paramètres!$A$1:$I$89,3,0)*VLOOKUP('Données projet'!$B$14,Paramètres!$A$1:$I$89,5,0)</f>
        <v>-9.6213170763803652E-14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206.5245935130306</v>
      </c>
      <c r="DU129" s="59">
        <f t="shared" si="98"/>
        <v>130.57011290898546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12.496128695298212</v>
      </c>
      <c r="EB129" s="21">
        <f>EXP(-LN(2)/25)*EB128+(1-EXP(-LN(2)/25))/(LN(2)/25)*Calculateur!DW129*Calculateur!DY129*VLOOKUP('Données projet'!$B$14,Paramètres!$A$1:$I$89,3,0)*0.475*44/12</f>
        <v>15.575223662148282</v>
      </c>
      <c r="EC129" s="21">
        <f>EXP(-LN(2)/2)*EC128+(1-EXP(-LN(2)/2))/(LN(2)/2)*DW129*DZ129*VLOOKUP('Données projet'!$B$14,Paramètres!$A$1:$I$89,3,0)*0.475*44/12</f>
        <v>3.5308733633519678</v>
      </c>
      <c r="ED129" s="22">
        <f t="shared" si="72"/>
        <v>31.602225720798462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5.7330000000000014</v>
      </c>
      <c r="EJ129" s="12">
        <f>IF('Données projet'!$A$192&gt;35,EJ128+EI129-ER128,IF(A129&lt;'Données projet'!$A$192,$EG$205^A129,IF(A129='Données projet'!$A$192,'Données projet'!$B$192,EJ128+EI129-ER128)))</f>
        <v>269.69500000000016</v>
      </c>
      <c r="EK129" s="17">
        <f>EJ129*VLOOKUP('Données projet'!$B$15,Paramètres!$A$1:$I$89,3,0)*VLOOKUP('Données projet'!$B$15,Paramètres!$A$1:$I$89,5,0)</f>
        <v>126.21726000000007</v>
      </c>
      <c r="EL129" s="13">
        <f t="shared" si="99"/>
        <v>33.120782644378309</v>
      </c>
      <c r="EM129" s="20">
        <f t="shared" si="73"/>
        <v>277.5137576056257</v>
      </c>
      <c r="EN129" s="59">
        <f t="shared" si="74"/>
        <v>560.7407927860479</v>
      </c>
      <c r="EO129" s="59">
        <f ca="1">AVERAGE(OFFSET($EN$3,0,0,'Données projet'!$E$15+1,1))-AVERAGE(OFFSET($H$3,0,0,'Données projet'!$E$15+1,1))</f>
        <v>374.38106339726073</v>
      </c>
      <c r="EP129" s="59">
        <f t="shared" si="100"/>
        <v>296.53283288925957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93.102719439371924</v>
      </c>
      <c r="EW129" s="21">
        <f>EXP(-LN(2)/25)*EW128+(1-EXP(-LN(2)/25))/(LN(2)/25)*Calculateur!ER129*Calculateur!ET129*VLOOKUP('Données projet'!$B$15,Paramètres!$A$1:$I$89,3,0)*0.475*44/12</f>
        <v>28.278496053686592</v>
      </c>
      <c r="EX129" s="21">
        <f>EXP(-LN(2)/2)*EX128+(1-EXP(-LN(2)/2))/(LN(2)/2)*ER129*EU129*VLOOKUP('Données projet'!$B$15,Paramètres!$A$1:$I$89,3,0)*0.475*44/12</f>
        <v>4.4653677076074061</v>
      </c>
      <c r="EY129" s="22">
        <f t="shared" si="75"/>
        <v>125.84658320066592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9">
        <f t="shared" si="55"/>
        <v>1100.153702474631</v>
      </c>
      <c r="S130" s="59">
        <f ca="1">AVERAGE(OFFSET($R$3,0,0,'Données projet'!$E$9+1,1))-AVERAGE(OFFSET($H$3,0,0,'Données projet'!$E$9+1,1))</f>
        <v>681.47578137804555</v>
      </c>
      <c r="T130" s="59">
        <f t="shared" si="88"/>
        <v>300.88511065995885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1.0818439477588981E-13</v>
      </c>
      <c r="AK130" s="13">
        <f t="shared" si="89"/>
        <v>1.6104228458716316E-12</v>
      </c>
      <c r="AL130" s="20">
        <f t="shared" si="58"/>
        <v>2.9932409441277661E-12</v>
      </c>
      <c r="AM130" s="59">
        <f t="shared" si="59"/>
        <v>283.40235685908044</v>
      </c>
      <c r="AN130" s="59">
        <f ca="1">AVERAGE(OFFSET($AM$3,0,0,'Données projet'!$E$10+1,1))-AVERAGE(OFFSET($H$3,0,0,'Données projet'!$E$10+1,1))</f>
        <v>423.80243030843661</v>
      </c>
      <c r="AO130" s="59">
        <f t="shared" si="90"/>
        <v>260.29028006191834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40.038433436928983</v>
      </c>
      <c r="AV130" s="21">
        <f>EXP(-LN(2)/25)*AV129+(1-EXP(-LN(2)/25))/(LN(2)/25)*Calculateur!AQ130*Calculateur!AS130*VLOOKUP('Données projet'!$B$10,Paramètres!$A$1:$I$89,3,0)*0.475*44/12</f>
        <v>38.069711873714979</v>
      </c>
      <c r="AW130" s="21">
        <f>EXP(-LN(2)/2)*AW129+(1-EXP(-LN(2)/2))/(LN(2)/2)*AQ130*AT130*VLOOKUP('Données projet'!$B$10,Paramètres!$A$1:$I$89,3,0)*0.475*44/12</f>
        <v>5.7320242571146398</v>
      </c>
      <c r="AX130" s="21">
        <f t="shared" si="60"/>
        <v>83.840169567758608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-1.3596945791505279E-13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373.61861223558259</v>
      </c>
      <c r="BJ130" s="59">
        <f t="shared" si="92"/>
        <v>277.62293009761049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60.42403309920212</v>
      </c>
      <c r="BQ130" s="21">
        <f>EXP(-LN(2)/25)*BQ129+(1-EXP(-LN(2)/25))/(LN(2)/25)*Calculateur!BL130*Calculateur!BN130*VLOOKUP('Données projet'!$B$11,Paramètres!$A$1:$I$89,3,0)*0.475*44/12</f>
        <v>14.058103459430178</v>
      </c>
      <c r="BR130" s="21">
        <f>EXP(-LN(2)/2)*BR129+(1-EXP(-LN(2)/2))/(LN(2)/2)*BL130*BO130*VLOOKUP('Données projet'!$B$11,Paramètres!$A$1:$I$89,3,0)*0.475*44/12</f>
        <v>5.9609672626830967E-6</v>
      </c>
      <c r="BS130" s="22">
        <f t="shared" si="63"/>
        <v>74.482142519599563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8.5265128291212022E-14</v>
      </c>
      <c r="BZ130" s="13">
        <f>BY130*VLOOKUP('Données projet'!$B$12,Paramètres!$A$1:$I$89,3,0)*VLOOKUP('Données projet'!$B$12,Paramètres!$A$1:$I$89,5,0)</f>
        <v>7.4487616075202836E-14</v>
      </c>
      <c r="CA130" s="13">
        <f t="shared" si="93"/>
        <v>1.1580453144473142E-12</v>
      </c>
      <c r="CB130" s="20">
        <f t="shared" si="64"/>
        <v>2.1466615206600508E-12</v>
      </c>
      <c r="CC130" s="59">
        <f t="shared" si="65"/>
        <v>283.40235685907959</v>
      </c>
      <c r="CD130" s="59">
        <f ca="1">AVERAGE(OFFSET($CC$3,0,0,'Données projet'!$E$12+1,1))-AVERAGE(OFFSET($H$3,0,0,'Données projet'!$E$12+1,1))</f>
        <v>251.30277097589737</v>
      </c>
      <c r="CE130" s="59">
        <f t="shared" si="94"/>
        <v>224.11983819941796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8.7155044459704847</v>
      </c>
      <c r="CL130" s="21">
        <f>EXP(-LN(2)/25)*CL129+(1-EXP(-LN(2)/25))/(LN(2)/25)*Calculateur!CG130*Calculateur!CI130*VLOOKUP('Données projet'!$B$12,Paramètres!$A$1:$I$89,3,0)*0.475*44/12</f>
        <v>17.968155243833991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26.683659689804475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2.8421709430404007E-14</v>
      </c>
      <c r="CU130" s="17">
        <f>CT130*VLOOKUP('Données projet'!$B$13,Paramètres!$A$1:$I$89,3,0)*VLOOKUP('Données projet'!$B$13,Paramètres!$A$1:$I$89,5,0)</f>
        <v>2.4829205358400945E-14</v>
      </c>
      <c r="CV130" s="13">
        <f t="shared" si="95"/>
        <v>4.3867331143352915E-13</v>
      </c>
      <c r="CW130" s="20">
        <f t="shared" si="67"/>
        <v>8.0726688341261168E-13</v>
      </c>
      <c r="CX130" s="59">
        <f t="shared" si="68"/>
        <v>283.40235685907822</v>
      </c>
      <c r="CY130" s="59">
        <f ca="1">AVERAGE(OFFSET($CX$3,0,0,'Données projet'!$E$13+1,1))-AVERAGE(OFFSET($H$3,0,0,'Données projet'!$E$13+1,1))</f>
        <v>287.28439432670405</v>
      </c>
      <c r="CZ130" s="59">
        <f t="shared" si="96"/>
        <v>276.01618888357268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13.004451002322879</v>
      </c>
      <c r="DG130" s="21">
        <f>EXP(-LN(2)/25)*DG129+(1-EXP(-LN(2)/25))/(LN(2)/25)*Calculateur!DB130*Calculateur!DD130*VLOOKUP('Données projet'!$B$13,Paramètres!$A$1:$I$89,3,0)*0.475*44/12</f>
        <v>9.9153610365073135</v>
      </c>
      <c r="DH130" s="21">
        <f>EXP(-LN(2)/2)*DH129+(1-EXP(-LN(2)/2))/(LN(2)/2)*DB130*DE130*VLOOKUP('Données projet'!$B$13,Paramètres!$A$1:$I$89,3,0)*0.475*44/12</f>
        <v>3.8308485823734798E-6</v>
      </c>
      <c r="DI130" s="22">
        <f t="shared" si="69"/>
        <v>22.919815869678779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-9.9475983006414026E-14</v>
      </c>
      <c r="DP130" s="17">
        <f>DO130*VLOOKUP('Données projet'!$B$14,Paramètres!$A$1:$I$89,3,0)*VLOOKUP('Données projet'!$B$14,Paramètres!$A$1:$I$89,5,0)</f>
        <v>-9.6213170763803652E-14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206.5245935130306</v>
      </c>
      <c r="DU130" s="59">
        <f t="shared" si="98"/>
        <v>130.57011290898546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12.25108723346932</v>
      </c>
      <c r="EB130" s="21">
        <f>EXP(-LN(2)/25)*EB129+(1-EXP(-LN(2)/25))/(LN(2)/25)*Calculateur!DW130*Calculateur!DY130*VLOOKUP('Données projet'!$B$14,Paramètres!$A$1:$I$89,3,0)*0.475*44/12</f>
        <v>15.149318352041423</v>
      </c>
      <c r="EC130" s="21">
        <f>EXP(-LN(2)/2)*EC129+(1-EXP(-LN(2)/2))/(LN(2)/2)*DW130*DZ130*VLOOKUP('Données projet'!$B$14,Paramètres!$A$1:$I$89,3,0)*0.475*44/12</f>
        <v>2.4967044987371292</v>
      </c>
      <c r="ED130" s="22">
        <f t="shared" si="72"/>
        <v>29.897110084247871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5.7330000000000014</v>
      </c>
      <c r="EJ130" s="12">
        <f>IF('Données projet'!$A$192&gt;35,EJ129+EI130-ER129,IF(A130&lt;'Données projet'!$A$192,$EG$205^A130,IF(A130='Données projet'!$A$192,'Données projet'!$B$192,EJ129+EI130-ER129)))</f>
        <v>275.42800000000017</v>
      </c>
      <c r="EK130" s="17">
        <f>EJ130*VLOOKUP('Données projet'!$B$15,Paramètres!$A$1:$I$89,3,0)*VLOOKUP('Données projet'!$B$15,Paramètres!$A$1:$I$89,5,0)</f>
        <v>128.90030400000006</v>
      </c>
      <c r="EL130" s="13">
        <f t="shared" si="99"/>
        <v>33.74212637546124</v>
      </c>
      <c r="EM130" s="20">
        <f t="shared" si="73"/>
        <v>283.26889957059507</v>
      </c>
      <c r="EN130" s="59">
        <f t="shared" si="74"/>
        <v>566.67125642967244</v>
      </c>
      <c r="EO130" s="59">
        <f ca="1">AVERAGE(OFFSET($EN$3,0,0,'Données projet'!$E$15+1,1))-AVERAGE(OFFSET($H$3,0,0,'Données projet'!$E$15+1,1))</f>
        <v>374.38106339726073</v>
      </c>
      <c r="EP130" s="59">
        <f t="shared" si="100"/>
        <v>296.53283288925957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91.277031898217444</v>
      </c>
      <c r="EW130" s="21">
        <f>EXP(-LN(2)/25)*EW129+(1-EXP(-LN(2)/25))/(LN(2)/25)*Calculateur!ER130*Calculateur!ET130*VLOOKUP('Données projet'!$B$15,Paramètres!$A$1:$I$89,3,0)*0.475*44/12</f>
        <v>27.505219091997056</v>
      </c>
      <c r="EX130" s="21">
        <f>EXP(-LN(2)/2)*EX129+(1-EXP(-LN(2)/2))/(LN(2)/2)*ER130*EU130*VLOOKUP('Données projet'!$B$15,Paramètres!$A$1:$I$89,3,0)*0.475*44/12</f>
        <v>3.1574917865406258</v>
      </c>
      <c r="EY130" s="22">
        <f t="shared" si="75"/>
        <v>121.93974277675512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9">
        <f t="shared" ref="R131:R194" si="109">Q131+(I131+J131)*44/12</f>
        <v>1117.4404122653002</v>
      </c>
      <c r="S131" s="59">
        <f ca="1">AVERAGE(OFFSET($R$3,0,0,'Données projet'!$E$9+1,1))-AVERAGE(OFFSET($H$3,0,0,'Données projet'!$E$9+1,1))</f>
        <v>681.47578137804555</v>
      </c>
      <c r="T131" s="59">
        <f t="shared" si="88"/>
        <v>300.88511065995885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1.0818439477588981E-13</v>
      </c>
      <c r="AK131" s="13">
        <f t="shared" si="89"/>
        <v>1.6104228458716316E-12</v>
      </c>
      <c r="AL131" s="20">
        <f t="shared" si="58"/>
        <v>2.9932409441277661E-12</v>
      </c>
      <c r="AM131" s="59">
        <f t="shared" si="59"/>
        <v>283.57463709857154</v>
      </c>
      <c r="AN131" s="59">
        <f ca="1">AVERAGE(OFFSET($AM$3,0,0,'Données projet'!$E$10+1,1))-AVERAGE(OFFSET($H$3,0,0,'Données projet'!$E$10+1,1))</f>
        <v>423.80243030843661</v>
      </c>
      <c r="AO131" s="59">
        <f t="shared" si="90"/>
        <v>260.29028006191834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39.253304178263825</v>
      </c>
      <c r="AV131" s="21">
        <f>EXP(-LN(2)/25)*AV130+(1-EXP(-LN(2)/25))/(LN(2)/25)*Calculateur!AQ131*Calculateur!AS131*VLOOKUP('Données projet'!$B$10,Paramètres!$A$1:$I$89,3,0)*0.475*44/12</f>
        <v>37.028693600529103</v>
      </c>
      <c r="AW131" s="21">
        <f>EXP(-LN(2)/2)*AW130+(1-EXP(-LN(2)/2))/(LN(2)/2)*AQ131*AT131*VLOOKUP('Données projet'!$B$10,Paramètres!$A$1:$I$89,3,0)*0.475*44/12</f>
        <v>4.0531532221315443</v>
      </c>
      <c r="AX131" s="21">
        <f t="shared" si="60"/>
        <v>80.335151000924469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-1.3596945791505279E-13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373.61861223558259</v>
      </c>
      <c r="BJ131" s="59">
        <f t="shared" si="92"/>
        <v>277.62293009761049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59.239154665147829</v>
      </c>
      <c r="BQ131" s="21">
        <f>EXP(-LN(2)/25)*BQ130+(1-EXP(-LN(2)/25))/(LN(2)/25)*Calculateur!BL131*Calculateur!BN131*VLOOKUP('Données projet'!$B$11,Paramètres!$A$1:$I$89,3,0)*0.475*44/12</f>
        <v>13.673683881048529</v>
      </c>
      <c r="BR131" s="21">
        <f>EXP(-LN(2)/2)*BR130+(1-EXP(-LN(2)/2))/(LN(2)/2)*BL131*BO131*VLOOKUP('Données projet'!$B$11,Paramètres!$A$1:$I$89,3,0)*0.475*44/12</f>
        <v>4.2150403738742296E-6</v>
      </c>
      <c r="BS131" s="22">
        <f t="shared" si="63"/>
        <v>72.912842761236732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8.5265128291212022E-14</v>
      </c>
      <c r="BZ131" s="13">
        <f>BY131*VLOOKUP('Données projet'!$B$12,Paramètres!$A$1:$I$89,3,0)*VLOOKUP('Données projet'!$B$12,Paramètres!$A$1:$I$89,5,0)</f>
        <v>7.4487616075202836E-14</v>
      </c>
      <c r="CA131" s="13">
        <f t="shared" si="93"/>
        <v>1.1580453144473142E-12</v>
      </c>
      <c r="CB131" s="20">
        <f t="shared" si="64"/>
        <v>2.1466615206600508E-12</v>
      </c>
      <c r="CC131" s="59">
        <f t="shared" si="65"/>
        <v>283.57463709857069</v>
      </c>
      <c r="CD131" s="59">
        <f ca="1">AVERAGE(OFFSET($CC$3,0,0,'Données projet'!$E$12+1,1))-AVERAGE(OFFSET($H$3,0,0,'Données projet'!$E$12+1,1))</f>
        <v>251.30277097589737</v>
      </c>
      <c r="CE131" s="59">
        <f t="shared" si="94"/>
        <v>224.11983819941796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8.5445987197178113</v>
      </c>
      <c r="CL131" s="21">
        <f>EXP(-LN(2)/25)*CL130+(1-EXP(-LN(2)/25))/(LN(2)/25)*Calculateur!CG131*Calculateur!CI131*VLOOKUP('Données projet'!$B$12,Paramètres!$A$1:$I$89,3,0)*0.475*44/12</f>
        <v>17.476815093787131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26.021413813504942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2.8421709430404007E-14</v>
      </c>
      <c r="CU131" s="17">
        <f>CT131*VLOOKUP('Données projet'!$B$13,Paramètres!$A$1:$I$89,3,0)*VLOOKUP('Données projet'!$B$13,Paramètres!$A$1:$I$89,5,0)</f>
        <v>2.4829205358400945E-14</v>
      </c>
      <c r="CV131" s="13">
        <f t="shared" si="95"/>
        <v>4.3867331143352915E-13</v>
      </c>
      <c r="CW131" s="20">
        <f t="shared" si="67"/>
        <v>8.0726688341261168E-13</v>
      </c>
      <c r="CX131" s="59">
        <f t="shared" si="68"/>
        <v>283.57463709856933</v>
      </c>
      <c r="CY131" s="59">
        <f ca="1">AVERAGE(OFFSET($CX$3,0,0,'Données projet'!$E$13+1,1))-AVERAGE(OFFSET($H$3,0,0,'Données projet'!$E$13+1,1))</f>
        <v>287.28439432670405</v>
      </c>
      <c r="CZ131" s="59">
        <f t="shared" si="96"/>
        <v>276.01618888357268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12.749441650099225</v>
      </c>
      <c r="DG131" s="21">
        <f>EXP(-LN(2)/25)*DG130+(1-EXP(-LN(2)/25))/(LN(2)/25)*Calculateur!DB131*Calculateur!DD131*VLOOKUP('Données projet'!$B$13,Paramètres!$A$1:$I$89,3,0)*0.475*44/12</f>
        <v>9.6442249675378466</v>
      </c>
      <c r="DH131" s="21">
        <f>EXP(-LN(2)/2)*DH130+(1-EXP(-LN(2)/2))/(LN(2)/2)*DB131*DE131*VLOOKUP('Données projet'!$B$13,Paramètres!$A$1:$I$89,3,0)*0.475*44/12</f>
        <v>2.70881901029516E-6</v>
      </c>
      <c r="DI131" s="22">
        <f t="shared" si="69"/>
        <v>22.393669326456084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-9.9475983006414026E-14</v>
      </c>
      <c r="DP131" s="17">
        <f>DO131*VLOOKUP('Données projet'!$B$14,Paramètres!$A$1:$I$89,3,0)*VLOOKUP('Données projet'!$B$14,Paramètres!$A$1:$I$89,5,0)</f>
        <v>-9.6213170763803652E-14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206.5245935130306</v>
      </c>
      <c r="DU131" s="59">
        <f t="shared" si="98"/>
        <v>130.57011290898546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12.010850885246359</v>
      </c>
      <c r="EB131" s="21">
        <f>EXP(-LN(2)/25)*EB130+(1-EXP(-LN(2)/25))/(LN(2)/25)*Calculateur!DW131*Calculateur!DY131*VLOOKUP('Données projet'!$B$14,Paramètres!$A$1:$I$89,3,0)*0.475*44/12</f>
        <v>14.735059445036821</v>
      </c>
      <c r="EC131" s="21">
        <f>EXP(-LN(2)/2)*EC130+(1-EXP(-LN(2)/2))/(LN(2)/2)*DW131*DZ131*VLOOKUP('Données projet'!$B$14,Paramètres!$A$1:$I$89,3,0)*0.475*44/12</f>
        <v>1.7654366816759841</v>
      </c>
      <c r="ED131" s="22">
        <f t="shared" si="72"/>
        <v>28.511347011959163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5.7330000000000014</v>
      </c>
      <c r="EJ131" s="12">
        <f>IF('Données projet'!$A$192&gt;35,EJ130+EI131-ER130,IF(A131&lt;'Données projet'!$A$192,$EG$205^A131,IF(A131='Données projet'!$A$192,'Données projet'!$B$192,EJ130+EI131-ER130)))</f>
        <v>281.16100000000017</v>
      </c>
      <c r="EK131" s="17">
        <f>EJ131*VLOOKUP('Données projet'!$B$15,Paramètres!$A$1:$I$89,3,0)*VLOOKUP('Données projet'!$B$15,Paramètres!$A$1:$I$89,5,0)</f>
        <v>131.58334800000009</v>
      </c>
      <c r="EL131" s="13">
        <f t="shared" si="99"/>
        <v>34.361966390286234</v>
      </c>
      <c r="EM131" s="20">
        <f t="shared" si="73"/>
        <v>289.02142256308201</v>
      </c>
      <c r="EN131" s="59">
        <f t="shared" si="74"/>
        <v>572.59605966165054</v>
      </c>
      <c r="EO131" s="59">
        <f ca="1">AVERAGE(OFFSET($EN$3,0,0,'Données projet'!$E$15+1,1))-AVERAGE(OFFSET($H$3,0,0,'Données projet'!$E$15+1,1))</f>
        <v>374.38106339726073</v>
      </c>
      <c r="EP131" s="59">
        <f t="shared" si="100"/>
        <v>296.53283288925957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89.487144976185562</v>
      </c>
      <c r="EW131" s="21">
        <f>EXP(-LN(2)/25)*EW130+(1-EXP(-LN(2)/25))/(LN(2)/25)*Calculateur!ER131*Calculateur!ET131*VLOOKUP('Données projet'!$B$15,Paramètres!$A$1:$I$89,3,0)*0.475*44/12</f>
        <v>26.753087429489788</v>
      </c>
      <c r="EX131" s="21">
        <f>EXP(-LN(2)/2)*EX130+(1-EXP(-LN(2)/2))/(LN(2)/2)*ER131*EU131*VLOOKUP('Données projet'!$B$15,Paramètres!$A$1:$I$89,3,0)*0.475*44/12</f>
        <v>2.2326838538037035</v>
      </c>
      <c r="EY131" s="22">
        <f t="shared" si="75"/>
        <v>118.47291625947906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9">
        <f t="shared" si="109"/>
        <v>1134.717071651711</v>
      </c>
      <c r="S132" s="59">
        <f ca="1">AVERAGE(OFFSET($R$3,0,0,'Données projet'!$E$9+1,1))-AVERAGE(OFFSET($H$3,0,0,'Données projet'!$E$9+1,1))</f>
        <v>681.47578137804555</v>
      </c>
      <c r="T132" s="59">
        <f t="shared" si="88"/>
        <v>300.88511065995885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1.0818439477588981E-13</v>
      </c>
      <c r="AK132" s="13">
        <f t="shared" si="89"/>
        <v>1.6104228458716316E-12</v>
      </c>
      <c r="AL132" s="20">
        <f t="shared" ref="AL132:AL153" si="112">(AJ132+AK132)*0.475*44/12</f>
        <v>2.9932409441277661E-12</v>
      </c>
      <c r="AM132" s="59">
        <f t="shared" ref="AM132:AM195" si="113">AL132+(AD132+AE132)*44/12</f>
        <v>283.74392866106837</v>
      </c>
      <c r="AN132" s="59">
        <f ca="1">AVERAGE(OFFSET($AM$3,0,0,'Données projet'!$E$10+1,1))-AVERAGE(OFFSET($H$3,0,0,'Données projet'!$E$10+1,1))</f>
        <v>423.80243030843661</v>
      </c>
      <c r="AO132" s="59">
        <f t="shared" si="90"/>
        <v>260.29028006191834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38.483570825479532</v>
      </c>
      <c r="AV132" s="21">
        <f>EXP(-LN(2)/25)*AV131+(1-EXP(-LN(2)/25))/(LN(2)/25)*Calculateur!AQ132*Calculateur!AS132*VLOOKUP('Données projet'!$B$10,Paramètres!$A$1:$I$89,3,0)*0.475*44/12</f>
        <v>36.016142026768271</v>
      </c>
      <c r="AW132" s="21">
        <f>EXP(-LN(2)/2)*AW131+(1-EXP(-LN(2)/2))/(LN(2)/2)*AQ132*AT132*VLOOKUP('Données projet'!$B$10,Paramètres!$A$1:$I$89,3,0)*0.475*44/12</f>
        <v>2.8660121285573199</v>
      </c>
      <c r="AX132" s="21">
        <f t="shared" ref="AX132:AX153" si="114">SUM(AU132:AW132)</f>
        <v>77.365724980805112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-1.3596945791505279E-13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373.61861223558259</v>
      </c>
      <c r="BJ132" s="59">
        <f t="shared" si="92"/>
        <v>277.62293009761049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58.077510974480859</v>
      </c>
      <c r="BQ132" s="21">
        <f>EXP(-LN(2)/25)*BQ131+(1-EXP(-LN(2)/25))/(LN(2)/25)*Calculateur!BL132*Calculateur!BN132*VLOOKUP('Données projet'!$B$11,Paramètres!$A$1:$I$89,3,0)*0.475*44/12</f>
        <v>13.299776276253473</v>
      </c>
      <c r="BR132" s="21">
        <f>EXP(-LN(2)/2)*BR131+(1-EXP(-LN(2)/2))/(LN(2)/2)*BL132*BO132*VLOOKUP('Données projet'!$B$11,Paramètres!$A$1:$I$89,3,0)*0.475*44/12</f>
        <v>2.9804836313415484E-6</v>
      </c>
      <c r="BS132" s="22">
        <f t="shared" ref="BS132:BS153" si="117">SUM(BP132:BR132)</f>
        <v>71.377290231217955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8.5265128291212022E-14</v>
      </c>
      <c r="BZ132" s="13">
        <f>BY132*VLOOKUP('Données projet'!$B$12,Paramètres!$A$1:$I$89,3,0)*VLOOKUP('Données projet'!$B$12,Paramètres!$A$1:$I$89,5,0)</f>
        <v>7.4487616075202836E-14</v>
      </c>
      <c r="CA132" s="13">
        <f t="shared" si="93"/>
        <v>1.1580453144473142E-12</v>
      </c>
      <c r="CB132" s="20">
        <f t="shared" ref="CB132:CB153" si="118">(BZ132+CA132)*0.475*44/12</f>
        <v>2.1466615206600508E-12</v>
      </c>
      <c r="CC132" s="59">
        <f t="shared" ref="CC132:CC195" si="119">CB132+(BT132+BU132)*44/12</f>
        <v>283.74392866106751</v>
      </c>
      <c r="CD132" s="59">
        <f ca="1">AVERAGE(OFFSET($CC$3,0,0,'Données projet'!$E$12+1,1))-AVERAGE(OFFSET($H$3,0,0,'Données projet'!$E$12+1,1))</f>
        <v>251.30277097589737</v>
      </c>
      <c r="CE132" s="59">
        <f t="shared" si="94"/>
        <v>224.11983819941796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8.3770443505147529</v>
      </c>
      <c r="CL132" s="21">
        <f>EXP(-LN(2)/25)*CL131+(1-EXP(-LN(2)/25))/(LN(2)/25)*Calculateur!CG132*Calculateur!CI132*VLOOKUP('Données projet'!$B$12,Paramètres!$A$1:$I$89,3,0)*0.475*44/12</f>
        <v>16.998910665981761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25.375955016496512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2.8421709430404007E-14</v>
      </c>
      <c r="CU132" s="17">
        <f>CT132*VLOOKUP('Données projet'!$B$13,Paramètres!$A$1:$I$89,3,0)*VLOOKUP('Données projet'!$B$13,Paramètres!$A$1:$I$89,5,0)</f>
        <v>2.4829205358400945E-14</v>
      </c>
      <c r="CV132" s="13">
        <f t="shared" si="95"/>
        <v>4.3867331143352915E-13</v>
      </c>
      <c r="CW132" s="20">
        <f t="shared" ref="CW132:CW153" si="121">(CU132+CV132)*0.475*44/12</f>
        <v>8.0726688341261168E-13</v>
      </c>
      <c r="CX132" s="59">
        <f t="shared" ref="CX132:CX195" si="122">CW132+(CO132+CP132)*44/12</f>
        <v>283.74392866106615</v>
      </c>
      <c r="CY132" s="59">
        <f ca="1">AVERAGE(OFFSET($CX$3,0,0,'Données projet'!$E$13+1,1))-AVERAGE(OFFSET($H$3,0,0,'Données projet'!$E$13+1,1))</f>
        <v>287.28439432670405</v>
      </c>
      <c r="CZ132" s="59">
        <f t="shared" si="96"/>
        <v>276.01618888357268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12.499432875732332</v>
      </c>
      <c r="DG132" s="21">
        <f>EXP(-LN(2)/25)*DG131+(1-EXP(-LN(2)/25))/(LN(2)/25)*Calculateur!DB132*Calculateur!DD132*VLOOKUP('Données projet'!$B$13,Paramètres!$A$1:$I$89,3,0)*0.475*44/12</f>
        <v>9.3805031286327747</v>
      </c>
      <c r="DH132" s="21">
        <f>EXP(-LN(2)/2)*DH131+(1-EXP(-LN(2)/2))/(LN(2)/2)*DB132*DE132*VLOOKUP('Données projet'!$B$13,Paramètres!$A$1:$I$89,3,0)*0.475*44/12</f>
        <v>1.9154242911867399E-6</v>
      </c>
      <c r="DI132" s="22">
        <f t="shared" ref="DI132:DI153" si="123">SUM(DF132:DH132)</f>
        <v>21.879937919789398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-9.9475983006414026E-14</v>
      </c>
      <c r="DP132" s="17">
        <f>DO132*VLOOKUP('Données projet'!$B$14,Paramètres!$A$1:$I$89,3,0)*VLOOKUP('Données projet'!$B$14,Paramètres!$A$1:$I$89,5,0)</f>
        <v>-9.6213170763803652E-14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206.5245935130306</v>
      </c>
      <c r="DU132" s="59">
        <f t="shared" si="98"/>
        <v>130.57011290898546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11.775325425282347</v>
      </c>
      <c r="EB132" s="21">
        <f>EXP(-LN(2)/25)*EB131+(1-EXP(-LN(2)/25))/(LN(2)/25)*Calculateur!DW132*Calculateur!DY132*VLOOKUP('Données projet'!$B$14,Paramètres!$A$1:$I$89,3,0)*0.475*44/12</f>
        <v>14.332128469629192</v>
      </c>
      <c r="EC132" s="21">
        <f>EXP(-LN(2)/2)*EC131+(1-EXP(-LN(2)/2))/(LN(2)/2)*DW132*DZ132*VLOOKUP('Données projet'!$B$14,Paramètres!$A$1:$I$89,3,0)*0.475*44/12</f>
        <v>1.2483522493685648</v>
      </c>
      <c r="ED132" s="22">
        <f t="shared" ref="ED132:ED153" si="126">SUM(EA132:EC132)</f>
        <v>27.355806144280102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5.7330000000000014</v>
      </c>
      <c r="EJ132" s="12">
        <f>IF('Données projet'!$A$192&gt;35,EJ131+EI132-ER131,IF(A132&lt;'Données projet'!$A$192,$EG$205^A132,IF(A132='Données projet'!$A$192,'Données projet'!$B$192,EJ131+EI132-ER131)))</f>
        <v>286.89400000000018</v>
      </c>
      <c r="EK132" s="17">
        <f>EJ132*VLOOKUP('Données projet'!$B$15,Paramètres!$A$1:$I$89,3,0)*VLOOKUP('Données projet'!$B$15,Paramètres!$A$1:$I$89,5,0)</f>
        <v>134.26639200000008</v>
      </c>
      <c r="EL132" s="13">
        <f t="shared" si="99"/>
        <v>34.980336883494694</v>
      </c>
      <c r="EM132" s="20">
        <f t="shared" ref="EM132:EM153" si="127">(EK132+EL132)*0.475*44/12</f>
        <v>294.77138613875337</v>
      </c>
      <c r="EN132" s="59">
        <f t="shared" ref="EN132:EN195" si="128">EM132+(EE132+EF132)*44/12</f>
        <v>578.51531479981873</v>
      </c>
      <c r="EO132" s="59">
        <f ca="1">AVERAGE(OFFSET($EN$3,0,0,'Données projet'!$E$15+1,1))-AVERAGE(OFFSET($H$3,0,0,'Données projet'!$E$15+1,1))</f>
        <v>374.38106339726073</v>
      </c>
      <c r="EP132" s="59">
        <f t="shared" si="100"/>
        <v>296.53283288925957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87.732356644971503</v>
      </c>
      <c r="EW132" s="21">
        <f>EXP(-LN(2)/25)*EW131+(1-EXP(-LN(2)/25))/(LN(2)/25)*Calculateur!ER132*Calculateur!ET132*VLOOKUP('Données projet'!$B$15,Paramètres!$A$1:$I$89,3,0)*0.475*44/12</f>
        <v>26.021522846846668</v>
      </c>
      <c r="EX132" s="21">
        <f>EXP(-LN(2)/2)*EX131+(1-EXP(-LN(2)/2))/(LN(2)/2)*ER132*EU132*VLOOKUP('Données projet'!$B$15,Paramètres!$A$1:$I$89,3,0)*0.475*44/12</f>
        <v>1.5787458932703131</v>
      </c>
      <c r="EY132" s="22">
        <f t="shared" ref="EY132:EY153" si="129">SUM(EV132:EX132)</f>
        <v>115.33262538508848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9">
        <f t="shared" si="109"/>
        <v>1151.9838942874203</v>
      </c>
      <c r="S133" s="59">
        <f ca="1">AVERAGE(OFFSET($R$3,0,0,'Données projet'!$E$9+1,1))-AVERAGE(OFFSET($H$3,0,0,'Données projet'!$E$9+1,1))</f>
        <v>681.47578137804555</v>
      </c>
      <c r="T133" s="59">
        <f t="shared" ref="T133:T196" si="142">$T$3</f>
        <v>300.88511065995885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1.0818439477588981E-13</v>
      </c>
      <c r="AK133" s="13">
        <f t="shared" ref="AK133:AK153" si="143">EXP(-1.0587+0.8836*LN(AJ133)+0.284)</f>
        <v>1.6104228458716316E-12</v>
      </c>
      <c r="AL133" s="20">
        <f t="shared" si="112"/>
        <v>2.9932409441277661E-12</v>
      </c>
      <c r="AM133" s="59">
        <f t="shared" si="113"/>
        <v>283.91028339343512</v>
      </c>
      <c r="AN133" s="59">
        <f ca="1">AVERAGE(OFFSET($AM$3,0,0,'Données projet'!$E$10+1,1))-AVERAGE(OFFSET($H$3,0,0,'Données projet'!$E$10+1,1))</f>
        <v>423.80243030843661</v>
      </c>
      <c r="AO133" s="59">
        <f t="shared" ref="AO133:AO196" si="144">$AO$3</f>
        <v>260.29028006191834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37.728931474252349</v>
      </c>
      <c r="AV133" s="21">
        <f>EXP(-LN(2)/25)*AV132+(1-EXP(-LN(2)/25))/(LN(2)/25)*Calculateur!AQ133*Calculateur!AS133*VLOOKUP('Données projet'!$B$10,Paramètres!$A$1:$I$89,3,0)*0.475*44/12</f>
        <v>35.031278729039698</v>
      </c>
      <c r="AW133" s="21">
        <f>EXP(-LN(2)/2)*AW132+(1-EXP(-LN(2)/2))/(LN(2)/2)*AQ133*AT133*VLOOKUP('Données projet'!$B$10,Paramètres!$A$1:$I$89,3,0)*0.475*44/12</f>
        <v>2.0265766110657721</v>
      </c>
      <c r="AX133" s="21">
        <f t="shared" si="114"/>
        <v>74.786786814357825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-1.3596945791505279E-13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373.61861223558259</v>
      </c>
      <c r="BJ133" s="59">
        <f t="shared" ref="BJ133:BJ196" si="146">$BJ$3</f>
        <v>277.62293009761049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56.938646408055178</v>
      </c>
      <c r="BQ133" s="21">
        <f>EXP(-LN(2)/25)*BQ132+(1-EXP(-LN(2)/25))/(LN(2)/25)*Calculateur!BL133*Calculateur!BN133*VLOOKUP('Données projet'!$B$11,Paramètres!$A$1:$I$89,3,0)*0.475*44/12</f>
        <v>12.936093194574484</v>
      </c>
      <c r="BR133" s="21">
        <f>EXP(-LN(2)/2)*BR132+(1-EXP(-LN(2)/2))/(LN(2)/2)*BL133*BO133*VLOOKUP('Données projet'!$B$11,Paramètres!$A$1:$I$89,3,0)*0.475*44/12</f>
        <v>2.1075201869371148E-6</v>
      </c>
      <c r="BS133" s="22">
        <f t="shared" si="117"/>
        <v>69.874741710149848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8.5265128291212022E-14</v>
      </c>
      <c r="BZ133" s="13">
        <f>BY133*VLOOKUP('Données projet'!$B$12,Paramètres!$A$1:$I$89,3,0)*VLOOKUP('Données projet'!$B$12,Paramètres!$A$1:$I$89,5,0)</f>
        <v>7.4487616075202836E-14</v>
      </c>
      <c r="CA133" s="13">
        <f t="shared" ref="CA133:CA153" si="147">EXP(-1.0587+0.8836*LN(BZ133)+0.284)</f>
        <v>1.1580453144473142E-12</v>
      </c>
      <c r="CB133" s="20">
        <f t="shared" si="118"/>
        <v>2.1466615206600508E-12</v>
      </c>
      <c r="CC133" s="59">
        <f t="shared" si="119"/>
        <v>283.91028339343427</v>
      </c>
      <c r="CD133" s="59">
        <f ca="1">AVERAGE(OFFSET($CC$3,0,0,'Données projet'!$E$12+1,1))-AVERAGE(OFFSET($H$3,0,0,'Données projet'!$E$12+1,1))</f>
        <v>251.30277097589737</v>
      </c>
      <c r="CE133" s="59">
        <f t="shared" ref="CE133:CE196" si="148">$CE$3</f>
        <v>224.11983819941796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8.2127756202936926</v>
      </c>
      <c r="CL133" s="21">
        <f>EXP(-LN(2)/25)*CL132+(1-EXP(-LN(2)/25))/(LN(2)/25)*Calculateur!CG133*Calculateur!CI133*VLOOKUP('Données projet'!$B$12,Paramètres!$A$1:$I$89,3,0)*0.475*44/12</f>
        <v>16.53407455988663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24.746850180180324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2.8421709430404007E-14</v>
      </c>
      <c r="CU133" s="17">
        <f>CT133*VLOOKUP('Données projet'!$B$13,Paramètres!$A$1:$I$89,3,0)*VLOOKUP('Données projet'!$B$13,Paramètres!$A$1:$I$89,5,0)</f>
        <v>2.4829205358400945E-14</v>
      </c>
      <c r="CV133" s="13">
        <f t="shared" ref="CV133:CV153" si="149">EXP(-1.0587+0.8836*LN(CU133)+0.284)</f>
        <v>4.3867331143352915E-13</v>
      </c>
      <c r="CW133" s="20">
        <f t="shared" si="121"/>
        <v>8.0726688341261168E-13</v>
      </c>
      <c r="CX133" s="59">
        <f t="shared" si="122"/>
        <v>283.91028339343291</v>
      </c>
      <c r="CY133" s="59">
        <f ca="1">AVERAGE(OFFSET($CX$3,0,0,'Données projet'!$E$13+1,1))-AVERAGE(OFFSET($H$3,0,0,'Données projet'!$E$13+1,1))</f>
        <v>287.28439432670405</v>
      </c>
      <c r="CZ133" s="59">
        <f t="shared" ref="CZ133:CZ196" si="150">$CZ$3</f>
        <v>276.01618888357268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12.254326620940477</v>
      </c>
      <c r="DG133" s="21">
        <f>EXP(-LN(2)/25)*DG132+(1-EXP(-LN(2)/25))/(LN(2)/25)*Calculateur!DB133*Calculateur!DD133*VLOOKUP('Données projet'!$B$13,Paramètres!$A$1:$I$89,3,0)*0.475*44/12</f>
        <v>9.1239927772810905</v>
      </c>
      <c r="DH133" s="21">
        <f>EXP(-LN(2)/2)*DH132+(1-EXP(-LN(2)/2))/(LN(2)/2)*DB133*DE133*VLOOKUP('Données projet'!$B$13,Paramètres!$A$1:$I$89,3,0)*0.475*44/12</f>
        <v>1.35440950514758E-6</v>
      </c>
      <c r="DI133" s="22">
        <f t="shared" si="123"/>
        <v>21.378320752631073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-9.9475983006414026E-14</v>
      </c>
      <c r="DP133" s="17">
        <f>DO133*VLOOKUP('Données projet'!$B$14,Paramètres!$A$1:$I$89,3,0)*VLOOKUP('Données projet'!$B$14,Paramètres!$A$1:$I$89,5,0)</f>
        <v>-9.6213170763803652E-14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206.5245935130306</v>
      </c>
      <c r="DU133" s="59">
        <f t="shared" ref="DU133:DU196" si="152">$DU$3</f>
        <v>130.57011290898546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11.544418475931883</v>
      </c>
      <c r="EB133" s="21">
        <f>EXP(-LN(2)/25)*EB132+(1-EXP(-LN(2)/25))/(LN(2)/25)*Calculateur!DW133*Calculateur!DY133*VLOOKUP('Données projet'!$B$14,Paramètres!$A$1:$I$89,3,0)*0.475*44/12</f>
        <v>13.940215662933301</v>
      </c>
      <c r="EC133" s="21">
        <f>EXP(-LN(2)/2)*EC132+(1-EXP(-LN(2)/2))/(LN(2)/2)*DW133*DZ133*VLOOKUP('Données projet'!$B$14,Paramètres!$A$1:$I$89,3,0)*0.475*44/12</f>
        <v>0.88271834083799228</v>
      </c>
      <c r="ED133" s="22">
        <f t="shared" si="126"/>
        <v>26.367352479703175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5.7330000000000014</v>
      </c>
      <c r="EJ133" s="12">
        <f>IF('Données projet'!$A$192&gt;35,EJ132+EI133-ER132,IF(A133&lt;'Données projet'!$A$192,$EG$205^A133,IF(A133='Données projet'!$A$192,'Données projet'!$B$192,EJ132+EI133-ER132)))</f>
        <v>292.62700000000018</v>
      </c>
      <c r="EK133" s="17">
        <f>EJ133*VLOOKUP('Données projet'!$B$15,Paramètres!$A$1:$I$89,3,0)*VLOOKUP('Données projet'!$B$15,Paramètres!$A$1:$I$89,5,0)</f>
        <v>136.94943600000008</v>
      </c>
      <c r="EL133" s="13">
        <f t="shared" ref="EL133:EL153" si="153">EXP(-1.0587+0.8836*LN(EK133)+0.284)</f>
        <v>35.59727060496035</v>
      </c>
      <c r="EM133" s="20">
        <f t="shared" si="127"/>
        <v>300.51884733697273</v>
      </c>
      <c r="EN133" s="59">
        <f t="shared" si="128"/>
        <v>584.42913073040484</v>
      </c>
      <c r="EO133" s="59">
        <f ca="1">AVERAGE(OFFSET($EN$3,0,0,'Données projet'!$E$15+1,1))-AVERAGE(OFFSET($H$3,0,0,'Données projet'!$E$15+1,1))</f>
        <v>374.38106339726073</v>
      </c>
      <c r="EP133" s="59">
        <f t="shared" ref="EP133:EP196" si="154">$EP$3</f>
        <v>296.53283288925957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86.01197864261735</v>
      </c>
      <c r="EW133" s="21">
        <f>EXP(-LN(2)/25)*EW132+(1-EXP(-LN(2)/25))/(LN(2)/25)*Calculateur!ER133*Calculateur!ET133*VLOOKUP('Données projet'!$B$15,Paramètres!$A$1:$I$89,3,0)*0.475*44/12</f>
        <v>25.309962936187233</v>
      </c>
      <c r="EX133" s="21">
        <f>EXP(-LN(2)/2)*EX132+(1-EXP(-LN(2)/2))/(LN(2)/2)*ER133*EU133*VLOOKUP('Données projet'!$B$15,Paramètres!$A$1:$I$89,3,0)*0.475*44/12</f>
        <v>1.116341926901852</v>
      </c>
      <c r="EY133" s="22">
        <f t="shared" si="129"/>
        <v>112.43828350570644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9">
        <f t="shared" si="109"/>
        <v>1169.2410860390162</v>
      </c>
      <c r="S134" s="59">
        <f ca="1">AVERAGE(OFFSET($R$3,0,0,'Données projet'!$E$9+1,1))-AVERAGE(OFFSET($H$3,0,0,'Données projet'!$E$9+1,1))</f>
        <v>681.47578137804555</v>
      </c>
      <c r="T134" s="59">
        <f t="shared" si="142"/>
        <v>300.88511065995885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1.0818439477588981E-13</v>
      </c>
      <c r="AK134" s="13">
        <f t="shared" si="143"/>
        <v>1.6104228458716316E-12</v>
      </c>
      <c r="AL134" s="20">
        <f t="shared" si="112"/>
        <v>2.9932409441277661E-12</v>
      </c>
      <c r="AM134" s="59">
        <f t="shared" si="113"/>
        <v>284.07375224310874</v>
      </c>
      <c r="AN134" s="59">
        <f ca="1">AVERAGE(OFFSET($AM$3,0,0,'Données projet'!$E$10+1,1))-AVERAGE(OFFSET($H$3,0,0,'Données projet'!$E$10+1,1))</f>
        <v>423.80243030843661</v>
      </c>
      <c r="AO134" s="59">
        <f t="shared" si="144"/>
        <v>260.29028006191834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36.989090140418178</v>
      </c>
      <c r="AV134" s="21">
        <f>EXP(-LN(2)/25)*AV133+(1-EXP(-LN(2)/25))/(LN(2)/25)*Calculateur!AQ134*Calculateur!AS134*VLOOKUP('Données projet'!$B$10,Paramètres!$A$1:$I$89,3,0)*0.475*44/12</f>
        <v>34.073346569979222</v>
      </c>
      <c r="AW134" s="21">
        <f>EXP(-LN(2)/2)*AW133+(1-EXP(-LN(2)/2))/(LN(2)/2)*AQ134*AT134*VLOOKUP('Données projet'!$B$10,Paramètres!$A$1:$I$89,3,0)*0.475*44/12</f>
        <v>1.43300606427866</v>
      </c>
      <c r="AX134" s="21">
        <f t="shared" si="114"/>
        <v>72.495442774676064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-1.3596945791505279E-13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373.61861223558259</v>
      </c>
      <c r="BJ134" s="59">
        <f t="shared" si="146"/>
        <v>277.62293009761049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55.822114281138305</v>
      </c>
      <c r="BQ134" s="21">
        <f>EXP(-LN(2)/25)*BQ133+(1-EXP(-LN(2)/25))/(LN(2)/25)*Calculateur!BL134*Calculateur!BN134*VLOOKUP('Données projet'!$B$11,Paramètres!$A$1:$I$89,3,0)*0.475*44/12</f>
        <v>12.582355045889269</v>
      </c>
      <c r="BR134" s="21">
        <f>EXP(-LN(2)/2)*BR133+(1-EXP(-LN(2)/2))/(LN(2)/2)*BL134*BO134*VLOOKUP('Données projet'!$B$11,Paramètres!$A$1:$I$89,3,0)*0.475*44/12</f>
        <v>1.4902418156707742E-6</v>
      </c>
      <c r="BS134" s="22">
        <f t="shared" si="117"/>
        <v>68.404470817269384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8.5265128291212022E-14</v>
      </c>
      <c r="BZ134" s="13">
        <f>BY134*VLOOKUP('Données projet'!$B$12,Paramètres!$A$1:$I$89,3,0)*VLOOKUP('Données projet'!$B$12,Paramètres!$A$1:$I$89,5,0)</f>
        <v>7.4487616075202836E-14</v>
      </c>
      <c r="CA134" s="13">
        <f t="shared" si="147"/>
        <v>1.1580453144473142E-12</v>
      </c>
      <c r="CB134" s="20">
        <f t="shared" si="118"/>
        <v>2.1466615206600508E-12</v>
      </c>
      <c r="CC134" s="59">
        <f t="shared" si="119"/>
        <v>284.07375224310789</v>
      </c>
      <c r="CD134" s="59">
        <f ca="1">AVERAGE(OFFSET($CC$3,0,0,'Données projet'!$E$12+1,1))-AVERAGE(OFFSET($H$3,0,0,'Données projet'!$E$12+1,1))</f>
        <v>251.30277097589737</v>
      </c>
      <c r="CE134" s="59">
        <f t="shared" si="148"/>
        <v>224.11983819941796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8.0517280996782343</v>
      </c>
      <c r="CL134" s="21">
        <f>EXP(-LN(2)/25)*CL133+(1-EXP(-LN(2)/25))/(LN(2)/25)*Calculateur!CG134*Calculateur!CI134*VLOOKUP('Données projet'!$B$12,Paramètres!$A$1:$I$89,3,0)*0.475*44/12</f>
        <v>16.081949421557336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24.133677521235569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2.8421709430404007E-14</v>
      </c>
      <c r="CU134" s="17">
        <f>CT134*VLOOKUP('Données projet'!$B$13,Paramètres!$A$1:$I$89,3,0)*VLOOKUP('Données projet'!$B$13,Paramètres!$A$1:$I$89,5,0)</f>
        <v>2.4829205358400945E-14</v>
      </c>
      <c r="CV134" s="13">
        <f t="shared" si="149"/>
        <v>4.3867331143352915E-13</v>
      </c>
      <c r="CW134" s="20">
        <f t="shared" si="121"/>
        <v>8.0726688341261168E-13</v>
      </c>
      <c r="CX134" s="59">
        <f t="shared" si="122"/>
        <v>284.07375224310653</v>
      </c>
      <c r="CY134" s="59">
        <f ca="1">AVERAGE(OFFSET($CX$3,0,0,'Données projet'!$E$13+1,1))-AVERAGE(OFFSET($H$3,0,0,'Données projet'!$E$13+1,1))</f>
        <v>287.28439432670405</v>
      </c>
      <c r="CZ134" s="59">
        <f t="shared" si="150"/>
        <v>276.01618888357268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12.014026750305037</v>
      </c>
      <c r="DG134" s="21">
        <f>EXP(-LN(2)/25)*DG133+(1-EXP(-LN(2)/25))/(LN(2)/25)*Calculateur!DB134*Calculateur!DD134*VLOOKUP('Données projet'!$B$13,Paramètres!$A$1:$I$89,3,0)*0.475*44/12</f>
        <v>8.8744967149764129</v>
      </c>
      <c r="DH134" s="21">
        <f>EXP(-LN(2)/2)*DH133+(1-EXP(-LN(2)/2))/(LN(2)/2)*DB134*DE134*VLOOKUP('Données projet'!$B$13,Paramètres!$A$1:$I$89,3,0)*0.475*44/12</f>
        <v>9.5771214559336994E-7</v>
      </c>
      <c r="DI134" s="22">
        <f t="shared" si="123"/>
        <v>20.888524422993598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-9.9475983006414026E-14</v>
      </c>
      <c r="DP134" s="17">
        <f>DO134*VLOOKUP('Données projet'!$B$14,Paramètres!$A$1:$I$89,3,0)*VLOOKUP('Données projet'!$B$14,Paramètres!$A$1:$I$89,5,0)</f>
        <v>-9.6213170763803652E-14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206.5245935130306</v>
      </c>
      <c r="DU134" s="59">
        <f t="shared" si="152"/>
        <v>130.57011290898546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11.318039471018848</v>
      </c>
      <c r="EB134" s="21">
        <f>EXP(-LN(2)/25)*EB133+(1-EXP(-LN(2)/25))/(LN(2)/25)*Calculateur!DW134*Calculateur!DY134*VLOOKUP('Données projet'!$B$14,Paramètres!$A$1:$I$89,3,0)*0.475*44/12</f>
        <v>13.559019732546309</v>
      </c>
      <c r="EC134" s="21">
        <f>EXP(-LN(2)/2)*EC133+(1-EXP(-LN(2)/2))/(LN(2)/2)*DW134*DZ134*VLOOKUP('Données projet'!$B$14,Paramètres!$A$1:$I$89,3,0)*0.475*44/12</f>
        <v>0.62417612468428252</v>
      </c>
      <c r="ED134" s="22">
        <f t="shared" si="126"/>
        <v>25.50123532824944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>
        <f>VLOOKUP(A134,'Données projet'!$A$191:$I$211,2,0)</f>
        <v>298.36</v>
      </c>
      <c r="EH134" s="12">
        <f>VLOOKUP(A134,'Données projet'!$A$191:$I$211,9,0)</f>
        <v>5.7330000000000014</v>
      </c>
      <c r="EI134" s="12">
        <f t="array" ref="EI134">INDEX(EH:EH,MIN(IF(ISNUMBER(EH134:EH330),ROW(EH134:EH330),"")))</f>
        <v>5.7330000000000014</v>
      </c>
      <c r="EJ134" s="12">
        <f>IF('Données projet'!$A$192&gt;35,EJ133+EI134-ER133,IF(A134&lt;'Données projet'!$A$192,$EG$205^A134,IF(A134='Données projet'!$A$192,'Données projet'!$B$192,EJ133+EI134-ER133)))</f>
        <v>298.36000000000018</v>
      </c>
      <c r="EK134" s="17">
        <f>EJ134*VLOOKUP('Données projet'!$B$15,Paramètres!$A$1:$I$89,3,0)*VLOOKUP('Données projet'!$B$15,Paramètres!$A$1:$I$89,5,0)</f>
        <v>139.6324800000001</v>
      </c>
      <c r="EL134" s="13">
        <f t="shared" si="153"/>
        <v>36.212798947921591</v>
      </c>
      <c r="EM134" s="20">
        <f t="shared" si="127"/>
        <v>306.26386083429691</v>
      </c>
      <c r="EN134" s="59">
        <f t="shared" si="128"/>
        <v>590.33761307740269</v>
      </c>
      <c r="EO134" s="59">
        <f ca="1">AVERAGE(OFFSET($EN$3,0,0,'Données projet'!$E$15+1,1))-AVERAGE(OFFSET($H$3,0,0,'Données projet'!$E$15+1,1))</f>
        <v>374.38106339726073</v>
      </c>
      <c r="EP134" s="59">
        <f t="shared" si="154"/>
        <v>296.53283288925957</v>
      </c>
      <c r="EQ134" s="15">
        <f>IF(ISNA(VLOOKUP(A134,'Données projet'!$A$191:$I$211,3,0)),0,VLOOKUP(A134,'Données projet'!$A$191:$I$211,3,0))</f>
        <v>8</v>
      </c>
      <c r="ER134" s="15">
        <f>IF(ISNA(VLOOKUP(A134,'Données projet'!$A$191:$I$211,4,0)),0,VLOOKUP(A134,'Données projet'!$A$191:$I$211,4,0))</f>
        <v>298.36</v>
      </c>
      <c r="ES134" s="16">
        <f>IF(ISNA(VLOOKUP(A134,'Données projet'!$A$191:$I$211,5,0)),0%,VLOOKUP(A134,'Données projet'!$A$191:$I$211,5,0)*VLOOKUP('Données projet'!$B$15,Paramètres!$A$1:$I$89,7,0))</f>
        <v>0.33</v>
      </c>
      <c r="ET134" s="16">
        <f>IF(ISNA(VLOOKUP(A134,'Données projet'!$A$191:$I$211,6,0)),0%,VLOOKUP(A134,'Données projet'!$A$191:$I$211,6,0)*VLOOKUP('Données projet'!$B$15,Paramètres!$A$1:$I$89,7,0))</f>
        <v>0.11000000000000001</v>
      </c>
      <c r="EU134" s="16">
        <f>IF(ISNA(VLOOKUP(A134,'Données projet'!$A$191:$I$211,7,0)),0%,VLOOKUP(A134,'Données projet'!$A$191:$I$211,7,0))</f>
        <v>0.2</v>
      </c>
      <c r="EV134" s="21">
        <f>EXP(-LN(2)/35)*EV133+(1-EXP(-LN(2)/35))/(LN(2)/35)*ER134*ES134*VLOOKUP('Données projet'!$B$15,Paramètres!$A$1:$I$89,3,0)*0.475*44/12</f>
        <v>145.4517261852103</v>
      </c>
      <c r="EW134" s="21">
        <f>EXP(-LN(2)/25)*EW133+(1-EXP(-LN(2)/25))/(LN(2)/25)*Calculateur!ER134*Calculateur!ET134*VLOOKUP('Données projet'!$B$15,Paramètres!$A$1:$I$89,3,0)*0.475*44/12</f>
        <v>44.913098033140628</v>
      </c>
      <c r="EX134" s="21">
        <f>EXP(-LN(2)/2)*EX133+(1-EXP(-LN(2)/2))/(LN(2)/2)*ER134*EU134*VLOOKUP('Données projet'!$B$15,Paramètres!$A$1:$I$89,3,0)*0.475*44/12</f>
        <v>32.408653674578815</v>
      </c>
      <c r="EY134" s="22">
        <f t="shared" si="129"/>
        <v>222.77347789292975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9">
        <f t="shared" si="109"/>
        <v>1186.488845424941</v>
      </c>
      <c r="S135" s="59">
        <f ca="1">AVERAGE(OFFSET($R$3,0,0,'Données projet'!$E$9+1,1))-AVERAGE(OFFSET($H$3,0,0,'Données projet'!$E$9+1,1))</f>
        <v>681.47578137804555</v>
      </c>
      <c r="T135" s="59">
        <f t="shared" si="142"/>
        <v>300.88511065995885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1.0818439477588981E-13</v>
      </c>
      <c r="AK135" s="13">
        <f t="shared" si="143"/>
        <v>1.6104228458716316E-12</v>
      </c>
      <c r="AL135" s="20">
        <f t="shared" si="112"/>
        <v>2.9932409441277661E-12</v>
      </c>
      <c r="AM135" s="59">
        <f t="shared" si="113"/>
        <v>284.23438527370217</v>
      </c>
      <c r="AN135" s="59">
        <f ca="1">AVERAGE(OFFSET($AM$3,0,0,'Données projet'!$E$10+1,1))-AVERAGE(OFFSET($H$3,0,0,'Données projet'!$E$10+1,1))</f>
        <v>423.80243030843661</v>
      </c>
      <c r="AO135" s="59">
        <f t="shared" si="144"/>
        <v>260.29028006191834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36.263756643881834</v>
      </c>
      <c r="AV135" s="21">
        <f>EXP(-LN(2)/25)*AV134+(1-EXP(-LN(2)/25))/(LN(2)/25)*Calculateur!AQ135*Calculateur!AS135*VLOOKUP('Données projet'!$B$10,Paramètres!$A$1:$I$89,3,0)*0.475*44/12</f>
        <v>33.141609116183723</v>
      </c>
      <c r="AW135" s="21">
        <f>EXP(-LN(2)/2)*AW134+(1-EXP(-LN(2)/2))/(LN(2)/2)*AQ135*AT135*VLOOKUP('Données projet'!$B$10,Paramètres!$A$1:$I$89,3,0)*0.475*44/12</f>
        <v>1.0132883055328861</v>
      </c>
      <c r="AX135" s="21">
        <f t="shared" si="114"/>
        <v>70.418654065598446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-1.3596945791505279E-13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373.61861223558259</v>
      </c>
      <c r="BJ135" s="59">
        <f t="shared" si="146"/>
        <v>277.62293009761049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54.727476668212923</v>
      </c>
      <c r="BQ135" s="21">
        <f>EXP(-LN(2)/25)*BQ134+(1-EXP(-LN(2)/25))/(LN(2)/25)*Calculateur!BL135*Calculateur!BN135*VLOOKUP('Données projet'!$B$11,Paramètres!$A$1:$I$89,3,0)*0.475*44/12</f>
        <v>12.238289885482132</v>
      </c>
      <c r="BR135" s="21">
        <f>EXP(-LN(2)/2)*BR134+(1-EXP(-LN(2)/2))/(LN(2)/2)*BL135*BO135*VLOOKUP('Données projet'!$B$11,Paramètres!$A$1:$I$89,3,0)*0.475*44/12</f>
        <v>1.0537600934685574E-6</v>
      </c>
      <c r="BS135" s="22">
        <f t="shared" si="117"/>
        <v>66.965767607455149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8.5265128291212022E-14</v>
      </c>
      <c r="BZ135" s="13">
        <f>BY135*VLOOKUP('Données projet'!$B$12,Paramètres!$A$1:$I$89,3,0)*VLOOKUP('Données projet'!$B$12,Paramètres!$A$1:$I$89,5,0)</f>
        <v>7.4487616075202836E-14</v>
      </c>
      <c r="CA135" s="13">
        <f t="shared" si="147"/>
        <v>1.1580453144473142E-12</v>
      </c>
      <c r="CB135" s="20">
        <f t="shared" si="118"/>
        <v>2.1466615206600508E-12</v>
      </c>
      <c r="CC135" s="59">
        <f t="shared" si="119"/>
        <v>284.23438527370132</v>
      </c>
      <c r="CD135" s="59">
        <f ca="1">AVERAGE(OFFSET($CC$3,0,0,'Données projet'!$E$12+1,1))-AVERAGE(OFFSET($H$3,0,0,'Données projet'!$E$12+1,1))</f>
        <v>251.30277097589737</v>
      </c>
      <c r="CE135" s="59">
        <f t="shared" si="148"/>
        <v>224.11983819941796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7.8938386227127575</v>
      </c>
      <c r="CL135" s="21">
        <f>EXP(-LN(2)/25)*CL134+(1-EXP(-LN(2)/25))/(LN(2)/25)*Calculateur!CG135*Calculateur!CI135*VLOOKUP('Données projet'!$B$12,Paramètres!$A$1:$I$89,3,0)*0.475*44/12</f>
        <v>15.642187668911887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23.536026291624644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2.8421709430404007E-14</v>
      </c>
      <c r="CU135" s="17">
        <f>CT135*VLOOKUP('Données projet'!$B$13,Paramètres!$A$1:$I$89,3,0)*VLOOKUP('Données projet'!$B$13,Paramètres!$A$1:$I$89,5,0)</f>
        <v>2.4829205358400945E-14</v>
      </c>
      <c r="CV135" s="13">
        <f t="shared" si="149"/>
        <v>4.3867331143352915E-13</v>
      </c>
      <c r="CW135" s="20">
        <f t="shared" si="121"/>
        <v>8.0726688341261168E-13</v>
      </c>
      <c r="CX135" s="59">
        <f t="shared" si="122"/>
        <v>284.23438527369996</v>
      </c>
      <c r="CY135" s="59">
        <f ca="1">AVERAGE(OFFSET($CX$3,0,0,'Données projet'!$E$13+1,1))-AVERAGE(OFFSET($H$3,0,0,'Données projet'!$E$13+1,1))</f>
        <v>287.28439432670405</v>
      </c>
      <c r="CZ135" s="59">
        <f t="shared" si="150"/>
        <v>276.01618888357268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11.778439013564309</v>
      </c>
      <c r="DG135" s="21">
        <f>EXP(-LN(2)/25)*DG134+(1-EXP(-LN(2)/25))/(LN(2)/25)*Calculateur!DB135*Calculateur!DD135*VLOOKUP('Données projet'!$B$13,Paramètres!$A$1:$I$89,3,0)*0.475*44/12</f>
        <v>8.6318231356158837</v>
      </c>
      <c r="DH135" s="21">
        <f>EXP(-LN(2)/2)*DH134+(1-EXP(-LN(2)/2))/(LN(2)/2)*DB135*DE135*VLOOKUP('Données projet'!$B$13,Paramètres!$A$1:$I$89,3,0)*0.475*44/12</f>
        <v>6.7720475257379E-7</v>
      </c>
      <c r="DI135" s="22">
        <f t="shared" si="123"/>
        <v>20.410262826384944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-9.9475983006414026E-14</v>
      </c>
      <c r="DP135" s="17">
        <f>DO135*VLOOKUP('Données projet'!$B$14,Paramètres!$A$1:$I$89,3,0)*VLOOKUP('Données projet'!$B$14,Paramètres!$A$1:$I$89,5,0)</f>
        <v>-9.6213170763803652E-14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206.5245935130306</v>
      </c>
      <c r="DU135" s="59">
        <f t="shared" si="152"/>
        <v>130.57011290898546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11.096099620314599</v>
      </c>
      <c r="EB135" s="21">
        <f>EXP(-LN(2)/25)*EB134+(1-EXP(-LN(2)/25))/(LN(2)/25)*Calculateur!DW135*Calculateur!DY135*VLOOKUP('Données projet'!$B$14,Paramètres!$A$1:$I$89,3,0)*0.475*44/12</f>
        <v>13.188247624921972</v>
      </c>
      <c r="EC135" s="21">
        <f>EXP(-LN(2)/2)*EC134+(1-EXP(-LN(2)/2))/(LN(2)/2)*DW135*DZ135*VLOOKUP('Données projet'!$B$14,Paramètres!$A$1:$I$89,3,0)*0.475*44/12</f>
        <v>0.44135917041899619</v>
      </c>
      <c r="ED135" s="22">
        <f t="shared" si="126"/>
        <v>24.725706415655566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1.7053025658242404E-13</v>
      </c>
      <c r="EK135" s="17">
        <f>EJ135*VLOOKUP('Données projet'!$B$15,Paramètres!$A$1:$I$89,3,0)*VLOOKUP('Données projet'!$B$15,Paramètres!$A$1:$I$89,5,0)</f>
        <v>7.9808160080574461E-14</v>
      </c>
      <c r="EL135" s="13">
        <f t="shared" si="153"/>
        <v>1.2308384591775343E-12</v>
      </c>
      <c r="EM135" s="20">
        <f t="shared" si="127"/>
        <v>2.282709528541206E-12</v>
      </c>
      <c r="EN135" s="59">
        <f t="shared" si="128"/>
        <v>284.23438527370143</v>
      </c>
      <c r="EO135" s="59">
        <f ca="1">AVERAGE(OFFSET($EN$3,0,0,'Données projet'!$E$15+1,1))-AVERAGE(OFFSET($H$3,0,0,'Données projet'!$E$15+1,1))</f>
        <v>374.38106339726073</v>
      </c>
      <c r="EP135" s="59">
        <f t="shared" si="154"/>
        <v>296.53283288925957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142.59950655151124</v>
      </c>
      <c r="EW135" s="21">
        <f>EXP(-LN(2)/25)*EW134+(1-EXP(-LN(2)/25))/(LN(2)/25)*Calculateur!ER135*Calculateur!ET135*VLOOKUP('Données projet'!$B$15,Paramètres!$A$1:$I$89,3,0)*0.475*44/12</f>
        <v>43.684947005547222</v>
      </c>
      <c r="EX135" s="21">
        <f>EXP(-LN(2)/2)*EX134+(1-EXP(-LN(2)/2))/(LN(2)/2)*ER135*EU135*VLOOKUP('Données projet'!$B$15,Paramètres!$A$1:$I$89,3,0)*0.475*44/12</f>
        <v>22.916378782421003</v>
      </c>
      <c r="EY135" s="22">
        <f t="shared" si="129"/>
        <v>209.20083233947946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9">
        <f t="shared" si="109"/>
        <v>1203.7273640203548</v>
      </c>
      <c r="S136" s="59">
        <f ca="1">AVERAGE(OFFSET($R$3,0,0,'Données projet'!$E$9+1,1))-AVERAGE(OFFSET($H$3,0,0,'Données projet'!$E$9+1,1))</f>
        <v>681.47578137804555</v>
      </c>
      <c r="T136" s="59">
        <f t="shared" si="142"/>
        <v>300.88511065995885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1.0818439477588981E-13</v>
      </c>
      <c r="AK136" s="13">
        <f t="shared" si="143"/>
        <v>1.6104228458716316E-12</v>
      </c>
      <c r="AL136" s="20">
        <f t="shared" si="112"/>
        <v>2.9932409441277661E-12</v>
      </c>
      <c r="AM136" s="59">
        <f t="shared" si="113"/>
        <v>284.39223168033641</v>
      </c>
      <c r="AN136" s="59">
        <f ca="1">AVERAGE(OFFSET($AM$3,0,0,'Données projet'!$E$10+1,1))-AVERAGE(OFFSET($H$3,0,0,'Données projet'!$E$10+1,1))</f>
        <v>423.80243030843661</v>
      </c>
      <c r="AO136" s="59">
        <f t="shared" si="144"/>
        <v>260.29028006191834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35.552646494802822</v>
      </c>
      <c r="AV136" s="21">
        <f>EXP(-LN(2)/25)*AV135+(1-EXP(-LN(2)/25))/(LN(2)/25)*Calculateur!AQ136*Calculateur!AS136*VLOOKUP('Données projet'!$B$10,Paramètres!$A$1:$I$89,3,0)*0.475*44/12</f>
        <v>32.2353500720602</v>
      </c>
      <c r="AW136" s="21">
        <f>EXP(-LN(2)/2)*AW135+(1-EXP(-LN(2)/2))/(LN(2)/2)*AQ136*AT136*VLOOKUP('Données projet'!$B$10,Paramètres!$A$1:$I$89,3,0)*0.475*44/12</f>
        <v>0.71650303213932998</v>
      </c>
      <c r="AX136" s="21">
        <f t="shared" si="114"/>
        <v>68.504499599002358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-1.3596945791505279E-13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373.61861223558259</v>
      </c>
      <c r="BJ136" s="59">
        <f t="shared" si="146"/>
        <v>277.62293009761049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53.654304231213985</v>
      </c>
      <c r="BQ136" s="21">
        <f>EXP(-LN(2)/25)*BQ135+(1-EXP(-LN(2)/25))/(LN(2)/25)*Calculateur!BL136*Calculateur!BN136*VLOOKUP('Données projet'!$B$11,Paramètres!$A$1:$I$89,3,0)*0.475*44/12</f>
        <v>11.903633204979929</v>
      </c>
      <c r="BR136" s="21">
        <f>EXP(-LN(2)/2)*BR135+(1-EXP(-LN(2)/2))/(LN(2)/2)*BL136*BO136*VLOOKUP('Données projet'!$B$11,Paramètres!$A$1:$I$89,3,0)*0.475*44/12</f>
        <v>7.4512090783538709E-7</v>
      </c>
      <c r="BS136" s="22">
        <f t="shared" si="117"/>
        <v>65.557938181314825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8.5265128291212022E-14</v>
      </c>
      <c r="BZ136" s="13">
        <f>BY136*VLOOKUP('Données projet'!$B$12,Paramètres!$A$1:$I$89,3,0)*VLOOKUP('Données projet'!$B$12,Paramètres!$A$1:$I$89,5,0)</f>
        <v>7.4487616075202836E-14</v>
      </c>
      <c r="CA136" s="13">
        <f t="shared" si="147"/>
        <v>1.1580453144473142E-12</v>
      </c>
      <c r="CB136" s="20">
        <f t="shared" si="118"/>
        <v>2.1466615206600508E-12</v>
      </c>
      <c r="CC136" s="59">
        <f t="shared" si="119"/>
        <v>284.39223168033556</v>
      </c>
      <c r="CD136" s="59">
        <f ca="1">AVERAGE(OFFSET($CC$3,0,0,'Données projet'!$E$12+1,1))-AVERAGE(OFFSET($H$3,0,0,'Données projet'!$E$12+1,1))</f>
        <v>251.30277097589737</v>
      </c>
      <c r="CE136" s="59">
        <f t="shared" si="148"/>
        <v>224.11983819941796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7.7390452620875019</v>
      </c>
      <c r="CL136" s="21">
        <f>EXP(-LN(2)/25)*CL135+(1-EXP(-LN(2)/25))/(LN(2)/25)*Calculateur!CG136*Calculateur!CI136*VLOOKUP('Données projet'!$B$12,Paramètres!$A$1:$I$89,3,0)*0.475*44/12</f>
        <v>15.214451224518593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22.953496486606095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2.8421709430404007E-14</v>
      </c>
      <c r="CU136" s="17">
        <f>CT136*VLOOKUP('Données projet'!$B$13,Paramètres!$A$1:$I$89,3,0)*VLOOKUP('Données projet'!$B$13,Paramètres!$A$1:$I$89,5,0)</f>
        <v>2.4829205358400945E-14</v>
      </c>
      <c r="CV136" s="13">
        <f t="shared" si="149"/>
        <v>4.3867331143352915E-13</v>
      </c>
      <c r="CW136" s="20">
        <f t="shared" si="121"/>
        <v>8.0726688341261168E-13</v>
      </c>
      <c r="CX136" s="59">
        <f t="shared" si="122"/>
        <v>284.39223168033419</v>
      </c>
      <c r="CY136" s="59">
        <f ca="1">AVERAGE(OFFSET($CX$3,0,0,'Données projet'!$E$13+1,1))-AVERAGE(OFFSET($H$3,0,0,'Données projet'!$E$13+1,1))</f>
        <v>287.28439432670405</v>
      </c>
      <c r="CZ136" s="59">
        <f t="shared" si="150"/>
        <v>276.01618888357268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11.547471008646736</v>
      </c>
      <c r="DG136" s="21">
        <f>EXP(-LN(2)/25)*DG135+(1-EXP(-LN(2)/25))/(LN(2)/25)*Calculateur!DB136*Calculateur!DD136*VLOOKUP('Données projet'!$B$13,Paramètres!$A$1:$I$89,3,0)*0.475*44/12</f>
        <v>8.3957854780446173</v>
      </c>
      <c r="DH136" s="21">
        <f>EXP(-LN(2)/2)*DH135+(1-EXP(-LN(2)/2))/(LN(2)/2)*DB136*DE136*VLOOKUP('Données projet'!$B$13,Paramètres!$A$1:$I$89,3,0)*0.475*44/12</f>
        <v>4.7885607279668497E-7</v>
      </c>
      <c r="DI136" s="22">
        <f t="shared" si="123"/>
        <v>19.943256965547427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-9.9475983006414026E-14</v>
      </c>
      <c r="DP136" s="17">
        <f>DO136*VLOOKUP('Données projet'!$B$14,Paramètres!$A$1:$I$89,3,0)*VLOOKUP('Données projet'!$B$14,Paramètres!$A$1:$I$89,5,0)</f>
        <v>-9.6213170763803652E-14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206.5245935130306</v>
      </c>
      <c r="DU136" s="59">
        <f t="shared" si="152"/>
        <v>130.57011290898546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10.878511874712718</v>
      </c>
      <c r="EB136" s="21">
        <f>EXP(-LN(2)/25)*EB135+(1-EXP(-LN(2)/25))/(LN(2)/25)*Calculateur!DW136*Calculateur!DY136*VLOOKUP('Données projet'!$B$14,Paramètres!$A$1:$I$89,3,0)*0.475*44/12</f>
        <v>12.827614300078681</v>
      </c>
      <c r="EC136" s="21">
        <f>EXP(-LN(2)/2)*EC135+(1-EXP(-LN(2)/2))/(LN(2)/2)*DW136*DZ136*VLOOKUP('Données projet'!$B$14,Paramètres!$A$1:$I$89,3,0)*0.475*44/12</f>
        <v>0.31208806234214131</v>
      </c>
      <c r="ED136" s="22">
        <f t="shared" si="126"/>
        <v>24.018214237133542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1.7053025658242404E-13</v>
      </c>
      <c r="EK136" s="17">
        <f>EJ136*VLOOKUP('Données projet'!$B$15,Paramètres!$A$1:$I$89,3,0)*VLOOKUP('Données projet'!$B$15,Paramètres!$A$1:$I$89,5,0)</f>
        <v>7.9808160080574461E-14</v>
      </c>
      <c r="EL136" s="13">
        <f t="shared" si="153"/>
        <v>1.2308384591775343E-12</v>
      </c>
      <c r="EM136" s="20">
        <f t="shared" si="127"/>
        <v>2.282709528541206E-12</v>
      </c>
      <c r="EN136" s="59">
        <f t="shared" si="128"/>
        <v>284.39223168033567</v>
      </c>
      <c r="EO136" s="59">
        <f ca="1">AVERAGE(OFFSET($EN$3,0,0,'Données projet'!$E$15+1,1))-AVERAGE(OFFSET($H$3,0,0,'Données projet'!$E$15+1,1))</f>
        <v>374.38106339726073</v>
      </c>
      <c r="EP136" s="59">
        <f t="shared" si="154"/>
        <v>296.53283288925957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139.80321720514684</v>
      </c>
      <c r="EW136" s="21">
        <f>EXP(-LN(2)/25)*EW135+(1-EXP(-LN(2)/25))/(LN(2)/25)*Calculateur!ER136*Calculateur!ET136*VLOOKUP('Données projet'!$B$15,Paramètres!$A$1:$I$89,3,0)*0.475*44/12</f>
        <v>42.490379832389017</v>
      </c>
      <c r="EX136" s="21">
        <f>EXP(-LN(2)/2)*EX135+(1-EXP(-LN(2)/2))/(LN(2)/2)*ER136*EU136*VLOOKUP('Données projet'!$B$15,Paramètres!$A$1:$I$89,3,0)*0.475*44/12</f>
        <v>16.204326837289408</v>
      </c>
      <c r="EY136" s="22">
        <f t="shared" si="129"/>
        <v>198.49792387482526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9">
        <f t="shared" si="109"/>
        <v>1220.9568268313151</v>
      </c>
      <c r="S137" s="59">
        <f ca="1">AVERAGE(OFFSET($R$3,0,0,'Données projet'!$E$9+1,1))-AVERAGE(OFFSET($H$3,0,0,'Données projet'!$E$9+1,1))</f>
        <v>681.47578137804555</v>
      </c>
      <c r="T137" s="59">
        <f t="shared" si="142"/>
        <v>300.88511065995885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1.0818439477588981E-13</v>
      </c>
      <c r="AK137" s="13">
        <f t="shared" si="143"/>
        <v>1.6104228458716316E-12</v>
      </c>
      <c r="AL137" s="20">
        <f t="shared" si="112"/>
        <v>2.9932409441277661E-12</v>
      </c>
      <c r="AM137" s="59">
        <f t="shared" si="113"/>
        <v>284.54733980470729</v>
      </c>
      <c r="AN137" s="59">
        <f ca="1">AVERAGE(OFFSET($AM$3,0,0,'Données projet'!$E$10+1,1))-AVERAGE(OFFSET($H$3,0,0,'Données projet'!$E$10+1,1))</f>
        <v>423.80243030843661</v>
      </c>
      <c r="AO137" s="59">
        <f t="shared" si="144"/>
        <v>260.29028006191834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34.85548078201289</v>
      </c>
      <c r="AV137" s="21">
        <f>EXP(-LN(2)/25)*AV136+(1-EXP(-LN(2)/25))/(LN(2)/25)*Calculateur!AQ137*Calculateur!AS137*VLOOKUP('Données projet'!$B$10,Paramètres!$A$1:$I$89,3,0)*0.475*44/12</f>
        <v>31.353872729156329</v>
      </c>
      <c r="AW137" s="21">
        <f>EXP(-LN(2)/2)*AW136+(1-EXP(-LN(2)/2))/(LN(2)/2)*AQ137*AT137*VLOOKUP('Données projet'!$B$10,Paramètres!$A$1:$I$89,3,0)*0.475*44/12</f>
        <v>0.50664415276644303</v>
      </c>
      <c r="AX137" s="21">
        <f t="shared" si="114"/>
        <v>66.715997663935653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-1.3596945791505279E-13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373.61861223558259</v>
      </c>
      <c r="BJ137" s="59">
        <f t="shared" si="146"/>
        <v>277.62293009761049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52.602176051134045</v>
      </c>
      <c r="BQ137" s="21">
        <f>EXP(-LN(2)/25)*BQ136+(1-EXP(-LN(2)/25))/(LN(2)/25)*Calculateur!BL137*Calculateur!BN137*VLOOKUP('Données projet'!$B$11,Paramètres!$A$1:$I$89,3,0)*0.475*44/12</f>
        <v>11.578127729004889</v>
      </c>
      <c r="BR137" s="21">
        <f>EXP(-LN(2)/2)*BR136+(1-EXP(-LN(2)/2))/(LN(2)/2)*BL137*BO137*VLOOKUP('Données projet'!$B$11,Paramètres!$A$1:$I$89,3,0)*0.475*44/12</f>
        <v>5.268800467342787E-7</v>
      </c>
      <c r="BS137" s="22">
        <f t="shared" si="117"/>
        <v>64.180304307018972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8.5265128291212022E-14</v>
      </c>
      <c r="BZ137" s="13">
        <f>BY137*VLOOKUP('Données projet'!$B$12,Paramètres!$A$1:$I$89,3,0)*VLOOKUP('Données projet'!$B$12,Paramètres!$A$1:$I$89,5,0)</f>
        <v>7.4487616075202836E-14</v>
      </c>
      <c r="CA137" s="13">
        <f t="shared" si="147"/>
        <v>1.1580453144473142E-12</v>
      </c>
      <c r="CB137" s="20">
        <f t="shared" si="118"/>
        <v>2.1466615206600508E-12</v>
      </c>
      <c r="CC137" s="59">
        <f t="shared" si="119"/>
        <v>284.54733980470644</v>
      </c>
      <c r="CD137" s="59">
        <f ca="1">AVERAGE(OFFSET($CC$3,0,0,'Données projet'!$E$12+1,1))-AVERAGE(OFFSET($H$3,0,0,'Données projet'!$E$12+1,1))</f>
        <v>251.30277097589737</v>
      </c>
      <c r="CE137" s="59">
        <f t="shared" si="148"/>
        <v>224.11983819941796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7.5872873048494798</v>
      </c>
      <c r="CL137" s="21">
        <f>EXP(-LN(2)/25)*CL136+(1-EXP(-LN(2)/25))/(LN(2)/25)*Calculateur!CG137*Calculateur!CI137*VLOOKUP('Données projet'!$B$12,Paramètres!$A$1:$I$89,3,0)*0.475*44/12</f>
        <v>14.798411255690915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22.385698560540394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2.8421709430404007E-14</v>
      </c>
      <c r="CU137" s="17">
        <f>CT137*VLOOKUP('Données projet'!$B$13,Paramètres!$A$1:$I$89,3,0)*VLOOKUP('Données projet'!$B$13,Paramètres!$A$1:$I$89,5,0)</f>
        <v>2.4829205358400945E-14</v>
      </c>
      <c r="CV137" s="13">
        <f t="shared" si="149"/>
        <v>4.3867331143352915E-13</v>
      </c>
      <c r="CW137" s="20">
        <f t="shared" si="121"/>
        <v>8.0726688341261168E-13</v>
      </c>
      <c r="CX137" s="59">
        <f t="shared" si="122"/>
        <v>284.54733980470508</v>
      </c>
      <c r="CY137" s="59">
        <f ca="1">AVERAGE(OFFSET($CX$3,0,0,'Données projet'!$E$13+1,1))-AVERAGE(OFFSET($H$3,0,0,'Données projet'!$E$13+1,1))</f>
        <v>287.28439432670405</v>
      </c>
      <c r="CZ137" s="59">
        <f t="shared" si="150"/>
        <v>276.01618888357268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11.321032145429024</v>
      </c>
      <c r="DG137" s="21">
        <f>EXP(-LN(2)/25)*DG136+(1-EXP(-LN(2)/25))/(LN(2)/25)*Calculateur!DB137*Calculateur!DD137*VLOOKUP('Données projet'!$B$13,Paramètres!$A$1:$I$89,3,0)*0.475*44/12</f>
        <v>8.1662022826323177</v>
      </c>
      <c r="DH137" s="21">
        <f>EXP(-LN(2)/2)*DH136+(1-EXP(-LN(2)/2))/(LN(2)/2)*DB137*DE137*VLOOKUP('Données projet'!$B$13,Paramètres!$A$1:$I$89,3,0)*0.475*44/12</f>
        <v>3.38602376286895E-7</v>
      </c>
      <c r="DI137" s="22">
        <f t="shared" si="123"/>
        <v>19.487234766663718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-9.9475983006414026E-14</v>
      </c>
      <c r="DP137" s="17">
        <f>DO137*VLOOKUP('Données projet'!$B$14,Paramètres!$A$1:$I$89,3,0)*VLOOKUP('Données projet'!$B$14,Paramètres!$A$1:$I$89,5,0)</f>
        <v>-9.6213170763803652E-14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206.5245935130306</v>
      </c>
      <c r="DU137" s="59">
        <f t="shared" si="152"/>
        <v>130.57011290898546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10.66519089208667</v>
      </c>
      <c r="EB137" s="21">
        <f>EXP(-LN(2)/25)*EB136+(1-EXP(-LN(2)/25))/(LN(2)/25)*Calculateur!DW137*Calculateur!DY137*VLOOKUP('Données projet'!$B$14,Paramètres!$A$1:$I$89,3,0)*0.475*44/12</f>
        <v>12.47684251246811</v>
      </c>
      <c r="EC137" s="21">
        <f>EXP(-LN(2)/2)*EC136+(1-EXP(-LN(2)/2))/(LN(2)/2)*DW137*DZ137*VLOOKUP('Données projet'!$B$14,Paramètres!$A$1:$I$89,3,0)*0.475*44/12</f>
        <v>0.22067958520949812</v>
      </c>
      <c r="ED137" s="22">
        <f t="shared" si="126"/>
        <v>23.36271298976428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1.7053025658242404E-13</v>
      </c>
      <c r="EK137" s="17">
        <f>EJ137*VLOOKUP('Données projet'!$B$15,Paramètres!$A$1:$I$89,3,0)*VLOOKUP('Données projet'!$B$15,Paramètres!$A$1:$I$89,5,0)</f>
        <v>7.9808160080574461E-14</v>
      </c>
      <c r="EL137" s="13">
        <f t="shared" si="153"/>
        <v>1.2308384591775343E-12</v>
      </c>
      <c r="EM137" s="20">
        <f t="shared" si="127"/>
        <v>2.282709528541206E-12</v>
      </c>
      <c r="EN137" s="59">
        <f t="shared" si="128"/>
        <v>284.54733980470655</v>
      </c>
      <c r="EO137" s="59">
        <f ca="1">AVERAGE(OFFSET($EN$3,0,0,'Données projet'!$E$15+1,1))-AVERAGE(OFFSET($H$3,0,0,'Données projet'!$E$15+1,1))</f>
        <v>374.38106339726073</v>
      </c>
      <c r="EP137" s="59">
        <f t="shared" si="154"/>
        <v>296.53283288925957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137.06176138729654</v>
      </c>
      <c r="EW137" s="21">
        <f>EXP(-LN(2)/25)*EW136+(1-EXP(-LN(2)/25))/(LN(2)/25)*Calculateur!ER137*Calculateur!ET137*VLOOKUP('Données projet'!$B$15,Paramètres!$A$1:$I$89,3,0)*0.475*44/12</f>
        <v>41.328478161400376</v>
      </c>
      <c r="EX137" s="21">
        <f>EXP(-LN(2)/2)*EX136+(1-EXP(-LN(2)/2))/(LN(2)/2)*ER137*EU137*VLOOKUP('Données projet'!$B$15,Paramètres!$A$1:$I$89,3,0)*0.475*44/12</f>
        <v>11.458189391210501</v>
      </c>
      <c r="EY137" s="22">
        <f t="shared" si="129"/>
        <v>189.84842893990742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9">
        <f t="shared" si="109"/>
        <v>1123.3099582720315</v>
      </c>
      <c r="S138" s="59">
        <f ca="1">AVERAGE(OFFSET($R$3,0,0,'Données projet'!$E$9+1,1))-AVERAGE(OFFSET($H$3,0,0,'Données projet'!$E$9+1,1))</f>
        <v>681.47578137804555</v>
      </c>
      <c r="T138" s="59">
        <f t="shared" si="142"/>
        <v>300.88511065995885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1.0818439477588981E-13</v>
      </c>
      <c r="AK138" s="13">
        <f t="shared" si="143"/>
        <v>1.6104228458716316E-12</v>
      </c>
      <c r="AL138" s="20">
        <f t="shared" si="112"/>
        <v>2.9932409441277661E-12</v>
      </c>
      <c r="AM138" s="59">
        <f t="shared" si="113"/>
        <v>284.69975714989016</v>
      </c>
      <c r="AN138" s="59">
        <f ca="1">AVERAGE(OFFSET($AM$3,0,0,'Données projet'!$E$10+1,1))-AVERAGE(OFFSET($H$3,0,0,'Données projet'!$E$10+1,1))</f>
        <v>423.80243030843661</v>
      </c>
      <c r="AO138" s="59">
        <f t="shared" si="144"/>
        <v>260.29028006191834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34.171986063621667</v>
      </c>
      <c r="AV138" s="21">
        <f>EXP(-LN(2)/25)*AV137+(1-EXP(-LN(2)/25))/(LN(2)/25)*Calculateur!AQ138*Calculateur!AS138*VLOOKUP('Données projet'!$B$10,Paramètres!$A$1:$I$89,3,0)*0.475*44/12</f>
        <v>30.496499430549044</v>
      </c>
      <c r="AW138" s="21">
        <f>EXP(-LN(2)/2)*AW137+(1-EXP(-LN(2)/2))/(LN(2)/2)*AQ138*AT138*VLOOKUP('Données projet'!$B$10,Paramètres!$A$1:$I$89,3,0)*0.475*44/12</f>
        <v>0.35825151606966499</v>
      </c>
      <c r="AX138" s="21">
        <f t="shared" si="114"/>
        <v>65.026737010240382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-1.3596945791505279E-13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373.61861223558259</v>
      </c>
      <c r="BJ138" s="59">
        <f t="shared" si="146"/>
        <v>277.62293009761049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51.570679462930649</v>
      </c>
      <c r="BQ138" s="21">
        <f>EXP(-LN(2)/25)*BQ137+(1-EXP(-LN(2)/25))/(LN(2)/25)*Calculateur!BL138*Calculateur!BN138*VLOOKUP('Données projet'!$B$11,Paramètres!$A$1:$I$89,3,0)*0.475*44/12</f>
        <v>11.261523217387975</v>
      </c>
      <c r="BR138" s="21">
        <f>EXP(-LN(2)/2)*BR137+(1-EXP(-LN(2)/2))/(LN(2)/2)*BL138*BO138*VLOOKUP('Données projet'!$B$11,Paramètres!$A$1:$I$89,3,0)*0.475*44/12</f>
        <v>3.7256045391769355E-7</v>
      </c>
      <c r="BS138" s="22">
        <f t="shared" si="117"/>
        <v>62.83220305287908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8.5265128291212022E-14</v>
      </c>
      <c r="BZ138" s="13">
        <f>BY138*VLOOKUP('Données projet'!$B$12,Paramètres!$A$1:$I$89,3,0)*VLOOKUP('Données projet'!$B$12,Paramètres!$A$1:$I$89,5,0)</f>
        <v>7.4487616075202836E-14</v>
      </c>
      <c r="CA138" s="13">
        <f t="shared" si="147"/>
        <v>1.1580453144473142E-12</v>
      </c>
      <c r="CB138" s="20">
        <f t="shared" si="118"/>
        <v>2.1466615206600508E-12</v>
      </c>
      <c r="CC138" s="59">
        <f t="shared" si="119"/>
        <v>284.69975714988931</v>
      </c>
      <c r="CD138" s="59">
        <f ca="1">AVERAGE(OFFSET($CC$3,0,0,'Données projet'!$E$12+1,1))-AVERAGE(OFFSET($H$3,0,0,'Données projet'!$E$12+1,1))</f>
        <v>251.30277097589737</v>
      </c>
      <c r="CE138" s="59">
        <f t="shared" si="148"/>
        <v>224.11983819941796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7.4385052285896816</v>
      </c>
      <c r="CL138" s="21">
        <f>EXP(-LN(2)/25)*CL137+(1-EXP(-LN(2)/25))/(LN(2)/25)*Calculateur!CG138*Calculateur!CI138*VLOOKUP('Données projet'!$B$12,Paramètres!$A$1:$I$89,3,0)*0.475*44/12</f>
        <v>14.393747921689421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21.832253150279101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2.8421709430404007E-14</v>
      </c>
      <c r="CU138" s="17">
        <f>CT138*VLOOKUP('Données projet'!$B$13,Paramètres!$A$1:$I$89,3,0)*VLOOKUP('Données projet'!$B$13,Paramètres!$A$1:$I$89,5,0)</f>
        <v>2.4829205358400945E-14</v>
      </c>
      <c r="CV138" s="13">
        <f t="shared" si="149"/>
        <v>4.3867331143352915E-13</v>
      </c>
      <c r="CW138" s="20">
        <f t="shared" si="121"/>
        <v>8.0726688341261168E-13</v>
      </c>
      <c r="CX138" s="59">
        <f t="shared" si="122"/>
        <v>284.69975714988794</v>
      </c>
      <c r="CY138" s="59">
        <f ca="1">AVERAGE(OFFSET($CX$3,0,0,'Données projet'!$E$13+1,1))-AVERAGE(OFFSET($H$3,0,0,'Données projet'!$E$13+1,1))</f>
        <v>287.28439432670405</v>
      </c>
      <c r="CZ138" s="59">
        <f t="shared" si="150"/>
        <v>276.01618888357268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11.099033610204943</v>
      </c>
      <c r="DG138" s="21">
        <f>EXP(-LN(2)/25)*DG137+(1-EXP(-LN(2)/25))/(LN(2)/25)*Calculateur!DB138*Calculateur!DD138*VLOOKUP('Données projet'!$B$13,Paramètres!$A$1:$I$89,3,0)*0.475*44/12</f>
        <v>7.9428970517718227</v>
      </c>
      <c r="DH138" s="21">
        <f>EXP(-LN(2)/2)*DH137+(1-EXP(-LN(2)/2))/(LN(2)/2)*DB138*DE138*VLOOKUP('Données projet'!$B$13,Paramètres!$A$1:$I$89,3,0)*0.475*44/12</f>
        <v>2.3942803639834249E-7</v>
      </c>
      <c r="DI138" s="22">
        <f t="shared" si="123"/>
        <v>19.0419309014048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-9.9475983006414026E-14</v>
      </c>
      <c r="DP138" s="17">
        <f>DO138*VLOOKUP('Données projet'!$B$14,Paramètres!$A$1:$I$89,3,0)*VLOOKUP('Données projet'!$B$14,Paramètres!$A$1:$I$89,5,0)</f>
        <v>-9.6213170763803652E-14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206.5245935130306</v>
      </c>
      <c r="DU138" s="59">
        <f t="shared" si="152"/>
        <v>130.57011290898546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10.456053003816967</v>
      </c>
      <c r="EB138" s="21">
        <f>EXP(-LN(2)/25)*EB137+(1-EXP(-LN(2)/25))/(LN(2)/25)*Calculateur!DW138*Calculateur!DY138*VLOOKUP('Données projet'!$B$14,Paramètres!$A$1:$I$89,3,0)*0.475*44/12</f>
        <v>12.135662597836038</v>
      </c>
      <c r="EC138" s="21">
        <f>EXP(-LN(2)/2)*EC137+(1-EXP(-LN(2)/2))/(LN(2)/2)*DW138*DZ138*VLOOKUP('Données projet'!$B$14,Paramètres!$A$1:$I$89,3,0)*0.475*44/12</f>
        <v>0.15604403117107066</v>
      </c>
      <c r="ED138" s="22">
        <f t="shared" si="126"/>
        <v>22.747759632824078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1.7053025658242404E-13</v>
      </c>
      <c r="EK138" s="17">
        <f>EJ138*VLOOKUP('Données projet'!$B$15,Paramètres!$A$1:$I$89,3,0)*VLOOKUP('Données projet'!$B$15,Paramètres!$A$1:$I$89,5,0)</f>
        <v>7.9808160080574461E-14</v>
      </c>
      <c r="EL138" s="13">
        <f t="shared" si="153"/>
        <v>1.2308384591775343E-12</v>
      </c>
      <c r="EM138" s="20">
        <f t="shared" si="127"/>
        <v>2.282709528541206E-12</v>
      </c>
      <c r="EN138" s="59">
        <f t="shared" si="128"/>
        <v>284.69975714988942</v>
      </c>
      <c r="EO138" s="59">
        <f ca="1">AVERAGE(OFFSET($EN$3,0,0,'Données projet'!$E$15+1,1))-AVERAGE(OFFSET($H$3,0,0,'Données projet'!$E$15+1,1))</f>
        <v>374.38106339726073</v>
      </c>
      <c r="EP138" s="59">
        <f t="shared" si="154"/>
        <v>296.53283288925957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134.37406384591134</v>
      </c>
      <c r="EW138" s="21">
        <f>EXP(-LN(2)/25)*EW137+(1-EXP(-LN(2)/25))/(LN(2)/25)*Calculateur!ER138*Calculateur!ET138*VLOOKUP('Données projet'!$B$15,Paramètres!$A$1:$I$89,3,0)*0.475*44/12</f>
        <v>40.198348752706671</v>
      </c>
      <c r="EX138" s="21">
        <f>EXP(-LN(2)/2)*EX137+(1-EXP(-LN(2)/2))/(LN(2)/2)*ER138*EU138*VLOOKUP('Données projet'!$B$15,Paramètres!$A$1:$I$89,3,0)*0.475*44/12</f>
        <v>8.1021634186447038</v>
      </c>
      <c r="EY138" s="22">
        <f t="shared" si="129"/>
        <v>182.67457601726269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9">
        <f t="shared" si="109"/>
        <v>1140.7945101117734</v>
      </c>
      <c r="S139" s="59">
        <f ca="1">AVERAGE(OFFSET($R$3,0,0,'Données projet'!$E$9+1,1))-AVERAGE(OFFSET($H$3,0,0,'Données projet'!$E$9+1,1))</f>
        <v>681.47578137804555</v>
      </c>
      <c r="T139" s="59">
        <f t="shared" si="142"/>
        <v>300.88511065995885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1.0818439477588981E-13</v>
      </c>
      <c r="AK139" s="13">
        <f t="shared" si="143"/>
        <v>1.6104228458716316E-12</v>
      </c>
      <c r="AL139" s="20">
        <f t="shared" si="112"/>
        <v>2.9932409441277661E-12</v>
      </c>
      <c r="AM139" s="59">
        <f t="shared" si="113"/>
        <v>284.84953039488823</v>
      </c>
      <c r="AN139" s="59">
        <f ca="1">AVERAGE(OFFSET($AM$3,0,0,'Données projet'!$E$10+1,1))-AVERAGE(OFFSET($H$3,0,0,'Données projet'!$E$10+1,1))</f>
        <v>423.80243030843661</v>
      </c>
      <c r="AO139" s="59">
        <f t="shared" si="144"/>
        <v>260.29028006191834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33.501894259767482</v>
      </c>
      <c r="AV139" s="21">
        <f>EXP(-LN(2)/25)*AV138+(1-EXP(-LN(2)/25))/(LN(2)/25)*Calculateur!AQ139*Calculateur!AS139*VLOOKUP('Données projet'!$B$10,Paramètres!$A$1:$I$89,3,0)*0.475*44/12</f>
        <v>29.662571049879475</v>
      </c>
      <c r="AW139" s="21">
        <f>EXP(-LN(2)/2)*AW138+(1-EXP(-LN(2)/2))/(LN(2)/2)*AQ139*AT139*VLOOKUP('Données projet'!$B$10,Paramètres!$A$1:$I$89,3,0)*0.475*44/12</f>
        <v>0.25332207638322152</v>
      </c>
      <c r="AX139" s="21">
        <f t="shared" si="114"/>
        <v>63.417787386030177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-1.3596945791505279E-13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373.61861223558259</v>
      </c>
      <c r="BJ139" s="59">
        <f t="shared" si="146"/>
        <v>277.62293009761049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50.559409893671123</v>
      </c>
      <c r="BQ139" s="21">
        <f>EXP(-LN(2)/25)*BQ138+(1-EXP(-LN(2)/25))/(LN(2)/25)*Calculateur!BL139*Calculateur!BN139*VLOOKUP('Données projet'!$B$11,Paramètres!$A$1:$I$89,3,0)*0.475*44/12</f>
        <v>10.953576272790732</v>
      </c>
      <c r="BR139" s="21">
        <f>EXP(-LN(2)/2)*BR138+(1-EXP(-LN(2)/2))/(LN(2)/2)*BL139*BO139*VLOOKUP('Données projet'!$B$11,Paramètres!$A$1:$I$89,3,0)*0.475*44/12</f>
        <v>2.6344002336713935E-7</v>
      </c>
      <c r="BS139" s="22">
        <f t="shared" si="117"/>
        <v>61.512986429901879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8.5265128291212022E-14</v>
      </c>
      <c r="BZ139" s="13">
        <f>BY139*VLOOKUP('Données projet'!$B$12,Paramètres!$A$1:$I$89,3,0)*VLOOKUP('Données projet'!$B$12,Paramètres!$A$1:$I$89,5,0)</f>
        <v>7.4487616075202836E-14</v>
      </c>
      <c r="CA139" s="13">
        <f t="shared" si="147"/>
        <v>1.1580453144473142E-12</v>
      </c>
      <c r="CB139" s="20">
        <f t="shared" si="118"/>
        <v>2.1466615206600508E-12</v>
      </c>
      <c r="CC139" s="59">
        <f t="shared" si="119"/>
        <v>284.84953039488738</v>
      </c>
      <c r="CD139" s="59">
        <f ca="1">AVERAGE(OFFSET($CC$3,0,0,'Données projet'!$E$12+1,1))-AVERAGE(OFFSET($H$3,0,0,'Données projet'!$E$12+1,1))</f>
        <v>251.30277097589737</v>
      </c>
      <c r="CE139" s="59">
        <f t="shared" si="148"/>
        <v>224.11983819941796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7.2926406780972322</v>
      </c>
      <c r="CL139" s="21">
        <f>EXP(-LN(2)/25)*CL138+(1-EXP(-LN(2)/25))/(LN(2)/25)*Calculateur!CG139*Calculateur!CI139*VLOOKUP('Données projet'!$B$12,Paramètres!$A$1:$I$89,3,0)*0.475*44/12</f>
        <v>14.000150127836518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21.292790805933748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2.8421709430404007E-14</v>
      </c>
      <c r="CU139" s="17">
        <f>CT139*VLOOKUP('Données projet'!$B$13,Paramètres!$A$1:$I$89,3,0)*VLOOKUP('Données projet'!$B$13,Paramètres!$A$1:$I$89,5,0)</f>
        <v>2.4829205358400945E-14</v>
      </c>
      <c r="CV139" s="13">
        <f t="shared" si="149"/>
        <v>4.3867331143352915E-13</v>
      </c>
      <c r="CW139" s="20">
        <f t="shared" si="121"/>
        <v>8.0726688341261168E-13</v>
      </c>
      <c r="CX139" s="59">
        <f t="shared" si="122"/>
        <v>284.84953039488602</v>
      </c>
      <c r="CY139" s="59">
        <f ca="1">AVERAGE(OFFSET($CX$3,0,0,'Données projet'!$E$13+1,1))-AVERAGE(OFFSET($H$3,0,0,'Données projet'!$E$13+1,1))</f>
        <v>287.28439432670405</v>
      </c>
      <c r="CZ139" s="59">
        <f t="shared" si="150"/>
        <v>276.01618888357268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10.88138833085087</v>
      </c>
      <c r="DG139" s="21">
        <f>EXP(-LN(2)/25)*DG138+(1-EXP(-LN(2)/25))/(LN(2)/25)*Calculateur!DB139*Calculateur!DD139*VLOOKUP('Données projet'!$B$13,Paramètres!$A$1:$I$89,3,0)*0.475*44/12</f>
        <v>7.72569811419232</v>
      </c>
      <c r="DH139" s="21">
        <f>EXP(-LN(2)/2)*DH138+(1-EXP(-LN(2)/2))/(LN(2)/2)*DB139*DE139*VLOOKUP('Données projet'!$B$13,Paramètres!$A$1:$I$89,3,0)*0.475*44/12</f>
        <v>1.693011881434475E-7</v>
      </c>
      <c r="DI139" s="22">
        <f t="shared" si="123"/>
        <v>18.607086614344379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-9.9475983006414026E-14</v>
      </c>
      <c r="DP139" s="17">
        <f>DO139*VLOOKUP('Données projet'!$B$14,Paramètres!$A$1:$I$89,3,0)*VLOOKUP('Données projet'!$B$14,Paramètres!$A$1:$I$89,5,0)</f>
        <v>-9.6213170763803652E-14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206.5245935130306</v>
      </c>
      <c r="DU139" s="59">
        <f t="shared" si="152"/>
        <v>130.57011290898546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10.251016181974716</v>
      </c>
      <c r="EB139" s="21">
        <f>EXP(-LN(2)/25)*EB138+(1-EXP(-LN(2)/25))/(LN(2)/25)*Calculateur!DW139*Calculateur!DY139*VLOOKUP('Données projet'!$B$14,Paramètres!$A$1:$I$89,3,0)*0.475*44/12</f>
        <v>11.803812265911452</v>
      </c>
      <c r="EC139" s="21">
        <f>EXP(-LN(2)/2)*EC138+(1-EXP(-LN(2)/2))/(LN(2)/2)*DW139*DZ139*VLOOKUP('Données projet'!$B$14,Paramètres!$A$1:$I$89,3,0)*0.475*44/12</f>
        <v>0.11033979260474906</v>
      </c>
      <c r="ED139" s="22">
        <f t="shared" si="126"/>
        <v>22.165168240490914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1.7053025658242404E-13</v>
      </c>
      <c r="EK139" s="17">
        <f>EJ139*VLOOKUP('Données projet'!$B$15,Paramètres!$A$1:$I$89,3,0)*VLOOKUP('Données projet'!$B$15,Paramètres!$A$1:$I$89,5,0)</f>
        <v>7.9808160080574461E-14</v>
      </c>
      <c r="EL139" s="13">
        <f t="shared" si="153"/>
        <v>1.2308384591775343E-12</v>
      </c>
      <c r="EM139" s="20">
        <f t="shared" si="127"/>
        <v>2.282709528541206E-12</v>
      </c>
      <c r="EN139" s="59">
        <f t="shared" si="128"/>
        <v>284.84953039488749</v>
      </c>
      <c r="EO139" s="59">
        <f ca="1">AVERAGE(OFFSET($EN$3,0,0,'Données projet'!$E$15+1,1))-AVERAGE(OFFSET($H$3,0,0,'Données projet'!$E$15+1,1))</f>
        <v>374.38106339726073</v>
      </c>
      <c r="EP139" s="59">
        <f t="shared" si="154"/>
        <v>296.53283288925957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131.73907041397908</v>
      </c>
      <c r="EW139" s="21">
        <f>EXP(-LN(2)/25)*EW138+(1-EXP(-LN(2)/25))/(LN(2)/25)*Calculateur!ER139*Calculateur!ET139*VLOOKUP('Données projet'!$B$15,Paramètres!$A$1:$I$89,3,0)*0.475*44/12</f>
        <v>39.099122792124618</v>
      </c>
      <c r="EX139" s="21">
        <f>EXP(-LN(2)/2)*EX138+(1-EXP(-LN(2)/2))/(LN(2)/2)*ER139*EU139*VLOOKUP('Données projet'!$B$15,Paramètres!$A$1:$I$89,3,0)*0.475*44/12</f>
        <v>5.7290946956052506</v>
      </c>
      <c r="EY139" s="22">
        <f t="shared" si="129"/>
        <v>176.56728790170897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9">
        <f t="shared" si="109"/>
        <v>1158.2694244457505</v>
      </c>
      <c r="S140" s="59">
        <f ca="1">AVERAGE(OFFSET($R$3,0,0,'Données projet'!$E$9+1,1))-AVERAGE(OFFSET($H$3,0,0,'Données projet'!$E$9+1,1))</f>
        <v>681.47578137804555</v>
      </c>
      <c r="T140" s="59">
        <f t="shared" si="142"/>
        <v>300.88511065995885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1.0818439477588981E-13</v>
      </c>
      <c r="AK140" s="13">
        <f t="shared" si="143"/>
        <v>1.6104228458716316E-12</v>
      </c>
      <c r="AL140" s="20">
        <f t="shared" si="112"/>
        <v>2.9932409441277661E-12</v>
      </c>
      <c r="AM140" s="59">
        <f t="shared" si="113"/>
        <v>284.99670540892839</v>
      </c>
      <c r="AN140" s="59">
        <f ca="1">AVERAGE(OFFSET($AM$3,0,0,'Données projet'!$E$10+1,1))-AVERAGE(OFFSET($H$3,0,0,'Données projet'!$E$10+1,1))</f>
        <v>423.80243030843661</v>
      </c>
      <c r="AO140" s="59">
        <f t="shared" si="144"/>
        <v>260.29028006191834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32.844942547471234</v>
      </c>
      <c r="AV140" s="21">
        <f>EXP(-LN(2)/25)*AV139+(1-EXP(-LN(2)/25))/(LN(2)/25)*Calculateur!AQ140*Calculateur!AS140*VLOOKUP('Données projet'!$B$10,Paramètres!$A$1:$I$89,3,0)*0.475*44/12</f>
        <v>28.851446484633705</v>
      </c>
      <c r="AW140" s="21">
        <f>EXP(-LN(2)/2)*AW139+(1-EXP(-LN(2)/2))/(LN(2)/2)*AQ140*AT140*VLOOKUP('Données projet'!$B$10,Paramètres!$A$1:$I$89,3,0)*0.475*44/12</f>
        <v>0.17912575803483249</v>
      </c>
      <c r="AX140" s="21">
        <f t="shared" si="114"/>
        <v>61.875514790139775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-1.3596945791505279E-13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373.61861223558259</v>
      </c>
      <c r="BJ140" s="59">
        <f t="shared" si="146"/>
        <v>277.62293009761049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49.567970703851252</v>
      </c>
      <c r="BQ140" s="21">
        <f>EXP(-LN(2)/25)*BQ139+(1-EXP(-LN(2)/25))/(LN(2)/25)*Calculateur!BL140*Calculateur!BN140*VLOOKUP('Données projet'!$B$11,Paramètres!$A$1:$I$89,3,0)*0.475*44/12</f>
        <v>10.654050153587729</v>
      </c>
      <c r="BR140" s="21">
        <f>EXP(-LN(2)/2)*BR139+(1-EXP(-LN(2)/2))/(LN(2)/2)*BL140*BO140*VLOOKUP('Données projet'!$B$11,Paramètres!$A$1:$I$89,3,0)*0.475*44/12</f>
        <v>1.8628022695884677E-7</v>
      </c>
      <c r="BS140" s="22">
        <f t="shared" si="117"/>
        <v>60.222021043719202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8.5265128291212022E-14</v>
      </c>
      <c r="BZ140" s="13">
        <f>BY140*VLOOKUP('Données projet'!$B$12,Paramètres!$A$1:$I$89,3,0)*VLOOKUP('Données projet'!$B$12,Paramètres!$A$1:$I$89,5,0)</f>
        <v>7.4487616075202836E-14</v>
      </c>
      <c r="CA140" s="13">
        <f t="shared" si="147"/>
        <v>1.1580453144473142E-12</v>
      </c>
      <c r="CB140" s="20">
        <f t="shared" si="118"/>
        <v>2.1466615206600508E-12</v>
      </c>
      <c r="CC140" s="59">
        <f t="shared" si="119"/>
        <v>284.99670540892754</v>
      </c>
      <c r="CD140" s="59">
        <f ca="1">AVERAGE(OFFSET($CC$3,0,0,'Données projet'!$E$12+1,1))-AVERAGE(OFFSET($H$3,0,0,'Données projet'!$E$12+1,1))</f>
        <v>251.30277097589737</v>
      </c>
      <c r="CE140" s="59">
        <f t="shared" si="148"/>
        <v>224.11983819941796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7.1496364424713486</v>
      </c>
      <c r="CL140" s="21">
        <f>EXP(-LN(2)/25)*CL139+(1-EXP(-LN(2)/25))/(LN(2)/25)*Calculateur!CG140*Calculateur!CI140*VLOOKUP('Données projet'!$B$12,Paramètres!$A$1:$I$89,3,0)*0.475*44/12</f>
        <v>13.61731528635493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20.766951728826278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2.8421709430404007E-14</v>
      </c>
      <c r="CU140" s="17">
        <f>CT140*VLOOKUP('Données projet'!$B$13,Paramètres!$A$1:$I$89,3,0)*VLOOKUP('Données projet'!$B$13,Paramètres!$A$1:$I$89,5,0)</f>
        <v>2.4829205358400945E-14</v>
      </c>
      <c r="CV140" s="13">
        <f t="shared" si="149"/>
        <v>4.3867331143352915E-13</v>
      </c>
      <c r="CW140" s="20">
        <f t="shared" si="121"/>
        <v>8.0726688341261168E-13</v>
      </c>
      <c r="CX140" s="59">
        <f t="shared" si="122"/>
        <v>284.99670540892618</v>
      </c>
      <c r="CY140" s="59">
        <f ca="1">AVERAGE(OFFSET($CX$3,0,0,'Données projet'!$E$13+1,1))-AVERAGE(OFFSET($H$3,0,0,'Données projet'!$E$13+1,1))</f>
        <v>287.28439432670405</v>
      </c>
      <c r="CZ140" s="59">
        <f t="shared" si="150"/>
        <v>276.01618888357268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10.668010942674417</v>
      </c>
      <c r="DG140" s="21">
        <f>EXP(-LN(2)/25)*DG139+(1-EXP(-LN(2)/25))/(LN(2)/25)*Calculateur!DB140*Calculateur!DD140*VLOOKUP('Données projet'!$B$13,Paramètres!$A$1:$I$89,3,0)*0.475*44/12</f>
        <v>7.5144384929829249</v>
      </c>
      <c r="DH140" s="21">
        <f>EXP(-LN(2)/2)*DH139+(1-EXP(-LN(2)/2))/(LN(2)/2)*DB140*DE140*VLOOKUP('Données projet'!$B$13,Paramètres!$A$1:$I$89,3,0)*0.475*44/12</f>
        <v>1.1971401819917124E-7</v>
      </c>
      <c r="DI140" s="22">
        <f t="shared" si="123"/>
        <v>18.18244955537136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-9.9475983006414026E-14</v>
      </c>
      <c r="DP140" s="17">
        <f>DO140*VLOOKUP('Données projet'!$B$14,Paramètres!$A$1:$I$89,3,0)*VLOOKUP('Données projet'!$B$14,Paramètres!$A$1:$I$89,5,0)</f>
        <v>-9.6213170763803652E-14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206.5245935130306</v>
      </c>
      <c r="DU140" s="59">
        <f t="shared" si="152"/>
        <v>130.57011290898546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10.050000007148679</v>
      </c>
      <c r="EB140" s="21">
        <f>EXP(-LN(2)/25)*EB139+(1-EXP(-LN(2)/25))/(LN(2)/25)*Calculateur!DW140*Calculateur!DY140*VLOOKUP('Données projet'!$B$14,Paramètres!$A$1:$I$89,3,0)*0.475*44/12</f>
        <v>11.481036398764594</v>
      </c>
      <c r="EC140" s="21">
        <f>EXP(-LN(2)/2)*EC139+(1-EXP(-LN(2)/2))/(LN(2)/2)*DW140*DZ140*VLOOKUP('Données projet'!$B$14,Paramètres!$A$1:$I$89,3,0)*0.475*44/12</f>
        <v>7.8022015585535329E-2</v>
      </c>
      <c r="ED140" s="22">
        <f t="shared" si="126"/>
        <v>21.609058421498808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1.7053025658242404E-13</v>
      </c>
      <c r="EK140" s="17">
        <f>EJ140*VLOOKUP('Données projet'!$B$15,Paramètres!$A$1:$I$89,3,0)*VLOOKUP('Données projet'!$B$15,Paramètres!$A$1:$I$89,5,0)</f>
        <v>7.9808160080574461E-14</v>
      </c>
      <c r="EL140" s="13">
        <f t="shared" si="153"/>
        <v>1.2308384591775343E-12</v>
      </c>
      <c r="EM140" s="20">
        <f t="shared" si="127"/>
        <v>2.282709528541206E-12</v>
      </c>
      <c r="EN140" s="59">
        <f t="shared" si="128"/>
        <v>284.99670540892765</v>
      </c>
      <c r="EO140" s="59">
        <f ca="1">AVERAGE(OFFSET($EN$3,0,0,'Données projet'!$E$15+1,1))-AVERAGE(OFFSET($H$3,0,0,'Données projet'!$E$15+1,1))</f>
        <v>374.38106339726073</v>
      </c>
      <c r="EP140" s="59">
        <f t="shared" si="154"/>
        <v>296.53283288925957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129.15574759605971</v>
      </c>
      <c r="EW140" s="21">
        <f>EXP(-LN(2)/25)*EW139+(1-EXP(-LN(2)/25))/(LN(2)/25)*Calculateur!ER140*Calculateur!ET140*VLOOKUP('Données projet'!$B$15,Paramètres!$A$1:$I$89,3,0)*0.475*44/12</f>
        <v>38.029955223240464</v>
      </c>
      <c r="EX140" s="21">
        <f>EXP(-LN(2)/2)*EX139+(1-EXP(-LN(2)/2))/(LN(2)/2)*ER140*EU140*VLOOKUP('Données projet'!$B$15,Paramètres!$A$1:$I$89,3,0)*0.475*44/12</f>
        <v>4.0510817093223519</v>
      </c>
      <c r="EY140" s="22">
        <f t="shared" si="129"/>
        <v>171.23678452862251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9">
        <f t="shared" si="109"/>
        <v>1175.7349055392067</v>
      </c>
      <c r="S141" s="59">
        <f ca="1">AVERAGE(OFFSET($R$3,0,0,'Données projet'!$E$9+1,1))-AVERAGE(OFFSET($H$3,0,0,'Données projet'!$E$9+1,1))</f>
        <v>681.47578137804555</v>
      </c>
      <c r="T141" s="59">
        <f t="shared" si="142"/>
        <v>300.88511065995885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1.0818439477588981E-13</v>
      </c>
      <c r="AK141" s="13">
        <f t="shared" si="143"/>
        <v>1.6104228458716316E-12</v>
      </c>
      <c r="AL141" s="20">
        <f t="shared" si="112"/>
        <v>2.9932409441277661E-12</v>
      </c>
      <c r="AM141" s="59">
        <f t="shared" si="113"/>
        <v>285.14132726550895</v>
      </c>
      <c r="AN141" s="59">
        <f ca="1">AVERAGE(OFFSET($AM$3,0,0,'Données projet'!$E$10+1,1))-AVERAGE(OFFSET($H$3,0,0,'Données projet'!$E$10+1,1))</f>
        <v>423.80243030843661</v>
      </c>
      <c r="AO141" s="59">
        <f t="shared" si="144"/>
        <v>260.29028006191834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32.200873257552139</v>
      </c>
      <c r="AV141" s="21">
        <f>EXP(-LN(2)/25)*AV140+(1-EXP(-LN(2)/25))/(LN(2)/25)*Calculateur!AQ141*Calculateur!AS141*VLOOKUP('Données projet'!$B$10,Paramètres!$A$1:$I$89,3,0)*0.475*44/12</f>
        <v>28.062502163279767</v>
      </c>
      <c r="AW141" s="21">
        <f>EXP(-LN(2)/2)*AW140+(1-EXP(-LN(2)/2))/(LN(2)/2)*AQ141*AT141*VLOOKUP('Données projet'!$B$10,Paramètres!$A$1:$I$89,3,0)*0.475*44/12</f>
        <v>0.12666103819161076</v>
      </c>
      <c r="AX141" s="21">
        <f t="shared" si="114"/>
        <v>60.39003645902352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-1.3596945791505279E-13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373.61861223558259</v>
      </c>
      <c r="BJ141" s="59">
        <f t="shared" si="146"/>
        <v>277.62293009761049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48.595973031825551</v>
      </c>
      <c r="BQ141" s="21">
        <f>EXP(-LN(2)/25)*BQ140+(1-EXP(-LN(2)/25))/(LN(2)/25)*Calculateur!BL141*Calculateur!BN141*VLOOKUP('Données projet'!$B$11,Paramètres!$A$1:$I$89,3,0)*0.475*44/12</f>
        <v>10.362714591865725</v>
      </c>
      <c r="BR141" s="21">
        <f>EXP(-LN(2)/2)*BR140+(1-EXP(-LN(2)/2))/(LN(2)/2)*BL141*BO141*VLOOKUP('Données projet'!$B$11,Paramètres!$A$1:$I$89,3,0)*0.475*44/12</f>
        <v>1.3172001168356967E-7</v>
      </c>
      <c r="BS141" s="22">
        <f t="shared" si="117"/>
        <v>58.95868775541129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8.5265128291212022E-14</v>
      </c>
      <c r="BZ141" s="13">
        <f>BY141*VLOOKUP('Données projet'!$B$12,Paramètres!$A$1:$I$89,3,0)*VLOOKUP('Données projet'!$B$12,Paramètres!$A$1:$I$89,5,0)</f>
        <v>7.4487616075202836E-14</v>
      </c>
      <c r="CA141" s="13">
        <f t="shared" si="147"/>
        <v>1.1580453144473142E-12</v>
      </c>
      <c r="CB141" s="20">
        <f t="shared" si="118"/>
        <v>2.1466615206600508E-12</v>
      </c>
      <c r="CC141" s="59">
        <f t="shared" si="119"/>
        <v>285.1413272655081</v>
      </c>
      <c r="CD141" s="59">
        <f ca="1">AVERAGE(OFFSET($CC$3,0,0,'Données projet'!$E$12+1,1))-AVERAGE(OFFSET($H$3,0,0,'Données projet'!$E$12+1,1))</f>
        <v>251.30277097589737</v>
      </c>
      <c r="CE141" s="59">
        <f t="shared" si="148"/>
        <v>224.11983819941796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7.0094364326821177</v>
      </c>
      <c r="CL141" s="21">
        <f>EXP(-LN(2)/25)*CL140+(1-EXP(-LN(2)/25))/(LN(2)/25)*Calculateur!CG141*Calculateur!CI141*VLOOKUP('Données projet'!$B$12,Paramètres!$A$1:$I$89,3,0)*0.475*44/12</f>
        <v>13.244949083746066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20.254385516428183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2.8421709430404007E-14</v>
      </c>
      <c r="CU141" s="17">
        <f>CT141*VLOOKUP('Données projet'!$B$13,Paramètres!$A$1:$I$89,3,0)*VLOOKUP('Données projet'!$B$13,Paramètres!$A$1:$I$89,5,0)</f>
        <v>2.4829205358400945E-14</v>
      </c>
      <c r="CV141" s="13">
        <f t="shared" si="149"/>
        <v>4.3867331143352915E-13</v>
      </c>
      <c r="CW141" s="20">
        <f t="shared" si="121"/>
        <v>8.0726688341261168E-13</v>
      </c>
      <c r="CX141" s="59">
        <f t="shared" si="122"/>
        <v>285.14132726550673</v>
      </c>
      <c r="CY141" s="59">
        <f ca="1">AVERAGE(OFFSET($CX$3,0,0,'Données projet'!$E$13+1,1))-AVERAGE(OFFSET($H$3,0,0,'Données projet'!$E$13+1,1))</f>
        <v>287.28439432670405</v>
      </c>
      <c r="CZ141" s="59">
        <f t="shared" si="150"/>
        <v>276.01618888357268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10.458817754932749</v>
      </c>
      <c r="DG141" s="21">
        <f>EXP(-LN(2)/25)*DG140+(1-EXP(-LN(2)/25))/(LN(2)/25)*Calculateur!DB141*Calculateur!DD141*VLOOKUP('Données projet'!$B$13,Paramètres!$A$1:$I$89,3,0)*0.475*44/12</f>
        <v>7.3089557772251608</v>
      </c>
      <c r="DH141" s="21">
        <f>EXP(-LN(2)/2)*DH140+(1-EXP(-LN(2)/2))/(LN(2)/2)*DB141*DE141*VLOOKUP('Données projet'!$B$13,Paramètres!$A$1:$I$89,3,0)*0.475*44/12</f>
        <v>8.465059407172375E-8</v>
      </c>
      <c r="DI141" s="22">
        <f t="shared" si="123"/>
        <v>17.767773616808505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-9.9475983006414026E-14</v>
      </c>
      <c r="DP141" s="17">
        <f>DO141*VLOOKUP('Données projet'!$B$14,Paramètres!$A$1:$I$89,3,0)*VLOOKUP('Données projet'!$B$14,Paramètres!$A$1:$I$89,5,0)</f>
        <v>-9.6213170763803652E-14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206.5245935130306</v>
      </c>
      <c r="DU141" s="59">
        <f t="shared" si="152"/>
        <v>130.57011290898546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9.8529256369032208</v>
      </c>
      <c r="EB141" s="21">
        <f>EXP(-LN(2)/25)*EB140+(1-EXP(-LN(2)/25))/(LN(2)/25)*Calculateur!DW141*Calculateur!DY141*VLOOKUP('Données projet'!$B$14,Paramètres!$A$1:$I$89,3,0)*0.475*44/12</f>
        <v>11.167086854678912</v>
      </c>
      <c r="EC141" s="21">
        <f>EXP(-LN(2)/2)*EC140+(1-EXP(-LN(2)/2))/(LN(2)/2)*DW141*DZ141*VLOOKUP('Données projet'!$B$14,Paramètres!$A$1:$I$89,3,0)*0.475*44/12</f>
        <v>5.5169896302374531E-2</v>
      </c>
      <c r="ED141" s="22">
        <f t="shared" si="126"/>
        <v>21.075182387884507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1.7053025658242404E-13</v>
      </c>
      <c r="EK141" s="17">
        <f>EJ141*VLOOKUP('Données projet'!$B$15,Paramètres!$A$1:$I$89,3,0)*VLOOKUP('Données projet'!$B$15,Paramètres!$A$1:$I$89,5,0)</f>
        <v>7.9808160080574461E-14</v>
      </c>
      <c r="EL141" s="13">
        <f t="shared" si="153"/>
        <v>1.2308384591775343E-12</v>
      </c>
      <c r="EM141" s="20">
        <f t="shared" si="127"/>
        <v>2.282709528541206E-12</v>
      </c>
      <c r="EN141" s="59">
        <f t="shared" si="128"/>
        <v>285.14132726550821</v>
      </c>
      <c r="EO141" s="59">
        <f ca="1">AVERAGE(OFFSET($EN$3,0,0,'Données projet'!$E$15+1,1))-AVERAGE(OFFSET($H$3,0,0,'Données projet'!$E$15+1,1))</f>
        <v>374.38106339726073</v>
      </c>
      <c r="EP141" s="59">
        <f t="shared" si="154"/>
        <v>296.53283288925957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126.62308216292841</v>
      </c>
      <c r="EW141" s="21">
        <f>EXP(-LN(2)/25)*EW140+(1-EXP(-LN(2)/25))/(LN(2)/25)*Calculateur!ER141*Calculateur!ET141*VLOOKUP('Données projet'!$B$15,Paramètres!$A$1:$I$89,3,0)*0.475*44/12</f>
        <v>36.990024097752524</v>
      </c>
      <c r="EX141" s="21">
        <f>EXP(-LN(2)/2)*EX140+(1-EXP(-LN(2)/2))/(LN(2)/2)*ER141*EU141*VLOOKUP('Données projet'!$B$15,Paramètres!$A$1:$I$89,3,0)*0.475*44/12</f>
        <v>2.8645473478026253</v>
      </c>
      <c r="EY141" s="22">
        <f t="shared" si="129"/>
        <v>166.47765360848354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9">
        <f t="shared" si="109"/>
        <v>1193.1911501857351</v>
      </c>
      <c r="S142" s="59">
        <f ca="1">AVERAGE(OFFSET($R$3,0,0,'Données projet'!$E$9+1,1))-AVERAGE(OFFSET($H$3,0,0,'Données projet'!$E$9+1,1))</f>
        <v>681.47578137804555</v>
      </c>
      <c r="T142" s="59">
        <f t="shared" si="142"/>
        <v>300.88511065995885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1.0818439477588981E-13</v>
      </c>
      <c r="AK142" s="13">
        <f t="shared" si="143"/>
        <v>1.6104228458716316E-12</v>
      </c>
      <c r="AL142" s="20">
        <f t="shared" si="112"/>
        <v>2.9932409441277661E-12</v>
      </c>
      <c r="AM142" s="59">
        <f t="shared" si="113"/>
        <v>285.2834402562039</v>
      </c>
      <c r="AN142" s="59">
        <f ca="1">AVERAGE(OFFSET($AM$3,0,0,'Données projet'!$E$10+1,1))-AVERAGE(OFFSET($H$3,0,0,'Données projet'!$E$10+1,1))</f>
        <v>423.80243030843661</v>
      </c>
      <c r="AO142" s="59">
        <f t="shared" si="144"/>
        <v>260.29028006191834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31.569433773564882</v>
      </c>
      <c r="AV142" s="21">
        <f>EXP(-LN(2)/25)*AV141+(1-EXP(-LN(2)/25))/(LN(2)/25)*Calculateur!AQ142*Calculateur!AS142*VLOOKUP('Données projet'!$B$10,Paramètres!$A$1:$I$89,3,0)*0.475*44/12</f>
        <v>27.295131565882031</v>
      </c>
      <c r="AW142" s="21">
        <f>EXP(-LN(2)/2)*AW141+(1-EXP(-LN(2)/2))/(LN(2)/2)*AQ142*AT142*VLOOKUP('Données projet'!$B$10,Paramètres!$A$1:$I$89,3,0)*0.475*44/12</f>
        <v>8.9562879017416247E-2</v>
      </c>
      <c r="AX142" s="21">
        <f t="shared" si="114"/>
        <v>58.954128218464326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-1.3596945791505279E-13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373.61861223558259</v>
      </c>
      <c r="BJ142" s="59">
        <f t="shared" si="146"/>
        <v>277.62293009761049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47.643035641288236</v>
      </c>
      <c r="BQ142" s="21">
        <f>EXP(-LN(2)/25)*BQ141+(1-EXP(-LN(2)/25))/(LN(2)/25)*Calculateur!BL142*Calculateur!BN142*VLOOKUP('Données projet'!$B$11,Paramètres!$A$1:$I$89,3,0)*0.475*44/12</f>
        <v>10.07934561639968</v>
      </c>
      <c r="BR142" s="21">
        <f>EXP(-LN(2)/2)*BR141+(1-EXP(-LN(2)/2))/(LN(2)/2)*BL142*BO142*VLOOKUP('Données projet'!$B$11,Paramètres!$A$1:$I$89,3,0)*0.475*44/12</f>
        <v>9.3140113479423386E-8</v>
      </c>
      <c r="BS142" s="22">
        <f t="shared" si="117"/>
        <v>57.72238135082803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8.5265128291212022E-14</v>
      </c>
      <c r="BZ142" s="13">
        <f>BY142*VLOOKUP('Données projet'!$B$12,Paramètres!$A$1:$I$89,3,0)*VLOOKUP('Données projet'!$B$12,Paramètres!$A$1:$I$89,5,0)</f>
        <v>7.4487616075202836E-14</v>
      </c>
      <c r="CA142" s="13">
        <f t="shared" si="147"/>
        <v>1.1580453144473142E-12</v>
      </c>
      <c r="CB142" s="20">
        <f t="shared" si="118"/>
        <v>2.1466615206600508E-12</v>
      </c>
      <c r="CC142" s="59">
        <f t="shared" si="119"/>
        <v>285.28344025620305</v>
      </c>
      <c r="CD142" s="59">
        <f ca="1">AVERAGE(OFFSET($CC$3,0,0,'Données projet'!$E$12+1,1))-AVERAGE(OFFSET($H$3,0,0,'Données projet'!$E$12+1,1))</f>
        <v>251.30277097589737</v>
      </c>
      <c r="CE142" s="59">
        <f t="shared" si="148"/>
        <v>224.11983819941796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6.8719856595712914</v>
      </c>
      <c r="CL142" s="21">
        <f>EXP(-LN(2)/25)*CL141+(1-EXP(-LN(2)/25))/(LN(2)/25)*Calculateur!CG142*Calculateur!CI142*VLOOKUP('Données projet'!$B$12,Paramètres!$A$1:$I$89,3,0)*0.475*44/12</f>
        <v>12.88276525452943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19.754750914100722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2.8421709430404007E-14</v>
      </c>
      <c r="CU142" s="17">
        <f>CT142*VLOOKUP('Données projet'!$B$13,Paramètres!$A$1:$I$89,3,0)*VLOOKUP('Données projet'!$B$13,Paramètres!$A$1:$I$89,5,0)</f>
        <v>2.4829205358400945E-14</v>
      </c>
      <c r="CV142" s="13">
        <f t="shared" si="149"/>
        <v>4.3867331143352915E-13</v>
      </c>
      <c r="CW142" s="20">
        <f t="shared" si="121"/>
        <v>8.0726688341261168E-13</v>
      </c>
      <c r="CX142" s="59">
        <f t="shared" si="122"/>
        <v>285.28344025620169</v>
      </c>
      <c r="CY142" s="59">
        <f ca="1">AVERAGE(OFFSET($CX$3,0,0,'Données projet'!$E$13+1,1))-AVERAGE(OFFSET($H$3,0,0,'Données projet'!$E$13+1,1))</f>
        <v>287.28439432670405</v>
      </c>
      <c r="CZ142" s="59">
        <f t="shared" si="150"/>
        <v>276.01618888357268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10.253726718007449</v>
      </c>
      <c r="DG142" s="21">
        <f>EXP(-LN(2)/25)*DG141+(1-EXP(-LN(2)/25))/(LN(2)/25)*Calculateur!DB142*Calculateur!DD142*VLOOKUP('Données projet'!$B$13,Paramètres!$A$1:$I$89,3,0)*0.475*44/12</f>
        <v>7.1090919971356596</v>
      </c>
      <c r="DH142" s="21">
        <f>EXP(-LN(2)/2)*DH141+(1-EXP(-LN(2)/2))/(LN(2)/2)*DB142*DE142*VLOOKUP('Données projet'!$B$13,Paramètres!$A$1:$I$89,3,0)*0.475*44/12</f>
        <v>5.9857009099585621E-8</v>
      </c>
      <c r="DI142" s="22">
        <f t="shared" si="123"/>
        <v>17.362818775000118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-9.9475983006414026E-14</v>
      </c>
      <c r="DP142" s="17">
        <f>DO142*VLOOKUP('Données projet'!$B$14,Paramètres!$A$1:$I$89,3,0)*VLOOKUP('Données projet'!$B$14,Paramètres!$A$1:$I$89,5,0)</f>
        <v>-9.6213170763803652E-14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206.5245935130306</v>
      </c>
      <c r="DU142" s="59">
        <f t="shared" si="152"/>
        <v>130.57011290898546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9.6597157748547797</v>
      </c>
      <c r="EB142" s="21">
        <f>EXP(-LN(2)/25)*EB141+(1-EXP(-LN(2)/25))/(LN(2)/25)*Calculateur!DW142*Calculateur!DY142*VLOOKUP('Données projet'!$B$14,Paramètres!$A$1:$I$89,3,0)*0.475*44/12</f>
        <v>10.861722277386143</v>
      </c>
      <c r="EC142" s="21">
        <f>EXP(-LN(2)/2)*EC141+(1-EXP(-LN(2)/2))/(LN(2)/2)*DW142*DZ142*VLOOKUP('Données projet'!$B$14,Paramètres!$A$1:$I$89,3,0)*0.475*44/12</f>
        <v>3.9011007792767664E-2</v>
      </c>
      <c r="ED142" s="22">
        <f t="shared" si="126"/>
        <v>20.56044906003369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1.7053025658242404E-13</v>
      </c>
      <c r="EK142" s="17">
        <f>EJ142*VLOOKUP('Données projet'!$B$15,Paramètres!$A$1:$I$89,3,0)*VLOOKUP('Données projet'!$B$15,Paramètres!$A$1:$I$89,5,0)</f>
        <v>7.9808160080574461E-14</v>
      </c>
      <c r="EL142" s="13">
        <f t="shared" si="153"/>
        <v>1.2308384591775343E-12</v>
      </c>
      <c r="EM142" s="20">
        <f t="shared" si="127"/>
        <v>2.282709528541206E-12</v>
      </c>
      <c r="EN142" s="59">
        <f t="shared" si="128"/>
        <v>285.28344025620316</v>
      </c>
      <c r="EO142" s="59">
        <f ca="1">AVERAGE(OFFSET($EN$3,0,0,'Données projet'!$E$15+1,1))-AVERAGE(OFFSET($H$3,0,0,'Données projet'!$E$15+1,1))</f>
        <v>374.38106339726073</v>
      </c>
      <c r="EP142" s="59">
        <f t="shared" si="154"/>
        <v>296.53283288925957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124.14008075416743</v>
      </c>
      <c r="EW142" s="21">
        <f>EXP(-LN(2)/25)*EW141+(1-EXP(-LN(2)/25))/(LN(2)/25)*Calculateur!ER142*Calculateur!ET142*VLOOKUP('Données projet'!$B$15,Paramètres!$A$1:$I$89,3,0)*0.475*44/12</f>
        <v>35.978529943578657</v>
      </c>
      <c r="EX142" s="21">
        <f>EXP(-LN(2)/2)*EX141+(1-EXP(-LN(2)/2))/(LN(2)/2)*ER142*EU142*VLOOKUP('Données projet'!$B$15,Paramètres!$A$1:$I$89,3,0)*0.475*44/12</f>
        <v>2.0255408546611759</v>
      </c>
      <c r="EY142" s="22">
        <f t="shared" si="129"/>
        <v>162.14415155240727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9">
        <f t="shared" si="109"/>
        <v>1210.6383481267587</v>
      </c>
      <c r="S143" s="59">
        <f ca="1">AVERAGE(OFFSET($R$3,0,0,'Données projet'!$E$9+1,1))-AVERAGE(OFFSET($H$3,0,0,'Données projet'!$E$9+1,1))</f>
        <v>681.47578137804555</v>
      </c>
      <c r="T143" s="59">
        <f t="shared" si="142"/>
        <v>300.88511065995885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1.0818439477588981E-13</v>
      </c>
      <c r="AK143" s="13">
        <f t="shared" si="143"/>
        <v>1.6104228458716316E-12</v>
      </c>
      <c r="AL143" s="20">
        <f t="shared" si="112"/>
        <v>2.9932409441277661E-12</v>
      </c>
      <c r="AM143" s="59">
        <f t="shared" si="113"/>
        <v>285.42308790422737</v>
      </c>
      <c r="AN143" s="59">
        <f ca="1">AVERAGE(OFFSET($AM$3,0,0,'Données projet'!$E$10+1,1))-AVERAGE(OFFSET($H$3,0,0,'Données projet'!$E$10+1,1))</f>
        <v>423.80243030843661</v>
      </c>
      <c r="AO143" s="59">
        <f t="shared" si="144"/>
        <v>260.29028006191834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30.950376432718556</v>
      </c>
      <c r="AV143" s="21">
        <f>EXP(-LN(2)/25)*AV142+(1-EXP(-LN(2)/25))/(LN(2)/25)*Calculateur!AQ143*Calculateur!AS143*VLOOKUP('Données projet'!$B$10,Paramètres!$A$1:$I$89,3,0)*0.475*44/12</f>
        <v>26.548744757824402</v>
      </c>
      <c r="AW143" s="21">
        <f>EXP(-LN(2)/2)*AW142+(1-EXP(-LN(2)/2))/(LN(2)/2)*AQ143*AT143*VLOOKUP('Données projet'!$B$10,Paramètres!$A$1:$I$89,3,0)*0.475*44/12</f>
        <v>6.3330519095805379E-2</v>
      </c>
      <c r="AX143" s="21">
        <f t="shared" si="114"/>
        <v>57.562451709638765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-1.3596945791505279E-13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373.61861223558259</v>
      </c>
      <c r="BJ143" s="59">
        <f t="shared" si="146"/>
        <v>277.62293009761049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46.708784771744938</v>
      </c>
      <c r="BQ143" s="21">
        <f>EXP(-LN(2)/25)*BQ142+(1-EXP(-LN(2)/25))/(LN(2)/25)*Calculateur!BL143*Calculateur!BN143*VLOOKUP('Données projet'!$B$11,Paramètres!$A$1:$I$89,3,0)*0.475*44/12</f>
        <v>9.8037253804694817</v>
      </c>
      <c r="BR143" s="21">
        <f>EXP(-LN(2)/2)*BR142+(1-EXP(-LN(2)/2))/(LN(2)/2)*BL143*BO143*VLOOKUP('Données projet'!$B$11,Paramètres!$A$1:$I$89,3,0)*0.475*44/12</f>
        <v>6.5860005841784837E-8</v>
      </c>
      <c r="BS143" s="22">
        <f t="shared" si="117"/>
        <v>56.512510218074425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8.5265128291212022E-14</v>
      </c>
      <c r="BZ143" s="13">
        <f>BY143*VLOOKUP('Données projet'!$B$12,Paramètres!$A$1:$I$89,3,0)*VLOOKUP('Données projet'!$B$12,Paramètres!$A$1:$I$89,5,0)</f>
        <v>7.4487616075202836E-14</v>
      </c>
      <c r="CA143" s="13">
        <f t="shared" si="147"/>
        <v>1.1580453144473142E-12</v>
      </c>
      <c r="CB143" s="20">
        <f t="shared" si="118"/>
        <v>2.1466615206600508E-12</v>
      </c>
      <c r="CC143" s="59">
        <f t="shared" si="119"/>
        <v>285.42308790422652</v>
      </c>
      <c r="CD143" s="59">
        <f ca="1">AVERAGE(OFFSET($CC$3,0,0,'Données projet'!$E$12+1,1))-AVERAGE(OFFSET($H$3,0,0,'Données projet'!$E$12+1,1))</f>
        <v>251.30277097589737</v>
      </c>
      <c r="CE143" s="59">
        <f t="shared" si="148"/>
        <v>224.11983819941796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6.7372302122844747</v>
      </c>
      <c r="CL143" s="21">
        <f>EXP(-LN(2)/25)*CL142+(1-EXP(-LN(2)/25))/(LN(2)/25)*Calculateur!CG143*Calculateur!CI143*VLOOKUP('Données projet'!$B$12,Paramètres!$A$1:$I$89,3,0)*0.475*44/12</f>
        <v>12.530485361169141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19.267715573453614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2.8421709430404007E-14</v>
      </c>
      <c r="CU143" s="17">
        <f>CT143*VLOOKUP('Données projet'!$B$13,Paramètres!$A$1:$I$89,3,0)*VLOOKUP('Données projet'!$B$13,Paramètres!$A$1:$I$89,5,0)</f>
        <v>2.4829205358400945E-14</v>
      </c>
      <c r="CV143" s="13">
        <f t="shared" si="149"/>
        <v>4.3867331143352915E-13</v>
      </c>
      <c r="CW143" s="20">
        <f t="shared" si="121"/>
        <v>8.0726688341261168E-13</v>
      </c>
      <c r="CX143" s="59">
        <f t="shared" si="122"/>
        <v>285.42308790422516</v>
      </c>
      <c r="CY143" s="59">
        <f ca="1">AVERAGE(OFFSET($CX$3,0,0,'Données projet'!$E$13+1,1))-AVERAGE(OFFSET($H$3,0,0,'Données projet'!$E$13+1,1))</f>
        <v>287.28439432670405</v>
      </c>
      <c r="CZ143" s="59">
        <f t="shared" si="150"/>
        <v>276.01618888357268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10.052657391223075</v>
      </c>
      <c r="DG143" s="21">
        <f>EXP(-LN(2)/25)*DG142+(1-EXP(-LN(2)/25))/(LN(2)/25)*Calculateur!DB143*Calculateur!DD143*VLOOKUP('Données projet'!$B$13,Paramètres!$A$1:$I$89,3,0)*0.475*44/12</f>
        <v>6.9146935026230851</v>
      </c>
      <c r="DH143" s="21">
        <f>EXP(-LN(2)/2)*DH142+(1-EXP(-LN(2)/2))/(LN(2)/2)*DB143*DE143*VLOOKUP('Données projet'!$B$13,Paramètres!$A$1:$I$89,3,0)*0.475*44/12</f>
        <v>4.2325297035861875E-8</v>
      </c>
      <c r="DI143" s="22">
        <f t="shared" si="123"/>
        <v>16.967350936171457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-9.9475983006414026E-14</v>
      </c>
      <c r="DP143" s="17">
        <f>DO143*VLOOKUP('Données projet'!$B$14,Paramètres!$A$1:$I$89,3,0)*VLOOKUP('Données projet'!$B$14,Paramètres!$A$1:$I$89,5,0)</f>
        <v>-9.6213170763803652E-14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206.5245935130306</v>
      </c>
      <c r="DU143" s="59">
        <f t="shared" si="152"/>
        <v>130.57011290898546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9.4702946403547283</v>
      </c>
      <c r="EB143" s="21">
        <f>EXP(-LN(2)/25)*EB142+(1-EXP(-LN(2)/25))/(LN(2)/25)*Calculateur!DW143*Calculateur!DY143*VLOOKUP('Données projet'!$B$14,Paramètres!$A$1:$I$89,3,0)*0.475*44/12</f>
        <v>10.564707910517869</v>
      </c>
      <c r="EC143" s="21">
        <f>EXP(-LN(2)/2)*EC142+(1-EXP(-LN(2)/2))/(LN(2)/2)*DW143*DZ143*VLOOKUP('Données projet'!$B$14,Paramètres!$A$1:$I$89,3,0)*0.475*44/12</f>
        <v>2.7584948151187266E-2</v>
      </c>
      <c r="ED143" s="22">
        <f t="shared" si="126"/>
        <v>20.062587499023785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1.7053025658242404E-13</v>
      </c>
      <c r="EK143" s="17">
        <f>EJ143*VLOOKUP('Données projet'!$B$15,Paramètres!$A$1:$I$89,3,0)*VLOOKUP('Données projet'!$B$15,Paramètres!$A$1:$I$89,5,0)</f>
        <v>7.9808160080574461E-14</v>
      </c>
      <c r="EL143" s="13">
        <f t="shared" si="153"/>
        <v>1.2308384591775343E-12</v>
      </c>
      <c r="EM143" s="20">
        <f t="shared" si="127"/>
        <v>2.282709528541206E-12</v>
      </c>
      <c r="EN143" s="59">
        <f t="shared" si="128"/>
        <v>285.42308790422663</v>
      </c>
      <c r="EO143" s="59">
        <f ca="1">AVERAGE(OFFSET($EN$3,0,0,'Données projet'!$E$15+1,1))-AVERAGE(OFFSET($H$3,0,0,'Données projet'!$E$15+1,1))</f>
        <v>374.38106339726073</v>
      </c>
      <c r="EP143" s="59">
        <f t="shared" si="154"/>
        <v>296.53283288925957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121.70576948855094</v>
      </c>
      <c r="EW143" s="21">
        <f>EXP(-LN(2)/25)*EW142+(1-EXP(-LN(2)/25))/(LN(2)/25)*Calculateur!ER143*Calculateur!ET143*VLOOKUP('Données projet'!$B$15,Paramètres!$A$1:$I$89,3,0)*0.475*44/12</f>
        <v>34.99469515024284</v>
      </c>
      <c r="EX143" s="21">
        <f>EXP(-LN(2)/2)*EX142+(1-EXP(-LN(2)/2))/(LN(2)/2)*ER143*EU143*VLOOKUP('Données projet'!$B$15,Paramètres!$A$1:$I$89,3,0)*0.475*44/12</f>
        <v>1.4322736739013127</v>
      </c>
      <c r="EY143" s="22">
        <f t="shared" si="129"/>
        <v>158.1327383126951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9">
        <f t="shared" si="109"/>
        <v>1228.0766824388661</v>
      </c>
      <c r="S144" s="59">
        <f ca="1">AVERAGE(OFFSET($R$3,0,0,'Données projet'!$E$9+1,1))-AVERAGE(OFFSET($H$3,0,0,'Données projet'!$E$9+1,1))</f>
        <v>681.47578137804555</v>
      </c>
      <c r="T144" s="59">
        <f t="shared" si="142"/>
        <v>300.88511065995885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1.0818439477588981E-13</v>
      </c>
      <c r="AK144" s="13">
        <f t="shared" si="143"/>
        <v>1.6104228458716316E-12</v>
      </c>
      <c r="AL144" s="20">
        <f t="shared" si="112"/>
        <v>2.9932409441277661E-12</v>
      </c>
      <c r="AM144" s="59">
        <f t="shared" si="113"/>
        <v>285.56031297776303</v>
      </c>
      <c r="AN144" s="59">
        <f ca="1">AVERAGE(OFFSET($AM$3,0,0,'Données projet'!$E$10+1,1))-AVERAGE(OFFSET($H$3,0,0,'Données projet'!$E$10+1,1))</f>
        <v>423.80243030843661</v>
      </c>
      <c r="AO144" s="59">
        <f t="shared" si="144"/>
        <v>260.29028006191834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30.343458428738536</v>
      </c>
      <c r="AV144" s="21">
        <f>EXP(-LN(2)/25)*AV143+(1-EXP(-LN(2)/25))/(LN(2)/25)*Calculateur!AQ144*Calculateur!AS144*VLOOKUP('Données projet'!$B$10,Paramètres!$A$1:$I$89,3,0)*0.475*44/12</f>
        <v>25.822767936283885</v>
      </c>
      <c r="AW144" s="21">
        <f>EXP(-LN(2)/2)*AW143+(1-EXP(-LN(2)/2))/(LN(2)/2)*AQ144*AT144*VLOOKUP('Données projet'!$B$10,Paramètres!$A$1:$I$89,3,0)*0.475*44/12</f>
        <v>4.4781439508708124E-2</v>
      </c>
      <c r="AX144" s="21">
        <f t="shared" si="114"/>
        <v>56.211007804531135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-1.3596945791505279E-13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373.61861223558259</v>
      </c>
      <c r="BJ144" s="59">
        <f t="shared" si="146"/>
        <v>277.62293009761049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45.792853991916623</v>
      </c>
      <c r="BQ144" s="21">
        <f>EXP(-LN(2)/25)*BQ143+(1-EXP(-LN(2)/25))/(LN(2)/25)*Calculateur!BL144*Calculateur!BN144*VLOOKUP('Données projet'!$B$11,Paramètres!$A$1:$I$89,3,0)*0.475*44/12</f>
        <v>9.535641994385033</v>
      </c>
      <c r="BR144" s="21">
        <f>EXP(-LN(2)/2)*BR143+(1-EXP(-LN(2)/2))/(LN(2)/2)*BL144*BO144*VLOOKUP('Données projet'!$B$11,Paramètres!$A$1:$I$89,3,0)*0.475*44/12</f>
        <v>4.6570056739711693E-8</v>
      </c>
      <c r="BS144" s="22">
        <f t="shared" si="117"/>
        <v>55.328496032871712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8.5265128291212022E-14</v>
      </c>
      <c r="BZ144" s="13">
        <f>BY144*VLOOKUP('Données projet'!$B$12,Paramètres!$A$1:$I$89,3,0)*VLOOKUP('Données projet'!$B$12,Paramètres!$A$1:$I$89,5,0)</f>
        <v>7.4487616075202836E-14</v>
      </c>
      <c r="CA144" s="13">
        <f t="shared" si="147"/>
        <v>1.1580453144473142E-12</v>
      </c>
      <c r="CB144" s="20">
        <f t="shared" si="118"/>
        <v>2.1466615206600508E-12</v>
      </c>
      <c r="CC144" s="59">
        <f t="shared" si="119"/>
        <v>285.56031297776218</v>
      </c>
      <c r="CD144" s="59">
        <f ca="1">AVERAGE(OFFSET($CC$3,0,0,'Données projet'!$E$12+1,1))-AVERAGE(OFFSET($H$3,0,0,'Données projet'!$E$12+1,1))</f>
        <v>251.30277097589737</v>
      </c>
      <c r="CE144" s="59">
        <f t="shared" si="148"/>
        <v>224.11983819941796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6.6051172371262457</v>
      </c>
      <c r="CL144" s="21">
        <f>EXP(-LN(2)/25)*CL143+(1-EXP(-LN(2)/25))/(LN(2)/25)*Calculateur!CG144*Calculateur!CI144*VLOOKUP('Données projet'!$B$12,Paramètres!$A$1:$I$89,3,0)*0.475*44/12</f>
        <v>12.187838580018385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18.79295581714463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2.8421709430404007E-14</v>
      </c>
      <c r="CU144" s="17">
        <f>CT144*VLOOKUP('Données projet'!$B$13,Paramètres!$A$1:$I$89,3,0)*VLOOKUP('Données projet'!$B$13,Paramètres!$A$1:$I$89,5,0)</f>
        <v>2.4829205358400945E-14</v>
      </c>
      <c r="CV144" s="13">
        <f t="shared" si="149"/>
        <v>4.3867331143352915E-13</v>
      </c>
      <c r="CW144" s="20">
        <f t="shared" si="121"/>
        <v>8.0726688341261168E-13</v>
      </c>
      <c r="CX144" s="59">
        <f t="shared" si="122"/>
        <v>285.56031297776082</v>
      </c>
      <c r="CY144" s="59">
        <f ca="1">AVERAGE(OFFSET($CX$3,0,0,'Données projet'!$E$13+1,1))-AVERAGE(OFFSET($H$3,0,0,'Données projet'!$E$13+1,1))</f>
        <v>287.28439432670405</v>
      </c>
      <c r="CZ144" s="59">
        <f t="shared" si="150"/>
        <v>276.01618888357268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9.8555309112967624</v>
      </c>
      <c r="DG144" s="21">
        <f>EXP(-LN(2)/25)*DG143+(1-EXP(-LN(2)/25))/(LN(2)/25)*Calculateur!DB144*Calculateur!DD144*VLOOKUP('Données projet'!$B$13,Paramètres!$A$1:$I$89,3,0)*0.475*44/12</f>
        <v>6.7256108451659289</v>
      </c>
      <c r="DH144" s="21">
        <f>EXP(-LN(2)/2)*DH143+(1-EXP(-LN(2)/2))/(LN(2)/2)*DB144*DE144*VLOOKUP('Données projet'!$B$13,Paramètres!$A$1:$I$89,3,0)*0.475*44/12</f>
        <v>2.9928504549792811E-8</v>
      </c>
      <c r="DI144" s="22">
        <f t="shared" si="123"/>
        <v>16.581141786391196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-9.9475983006414026E-14</v>
      </c>
      <c r="DP144" s="17">
        <f>DO144*VLOOKUP('Données projet'!$B$14,Paramètres!$A$1:$I$89,3,0)*VLOOKUP('Données projet'!$B$14,Paramètres!$A$1:$I$89,5,0)</f>
        <v>-9.6213170763803652E-14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206.5245935130306</v>
      </c>
      <c r="DU144" s="59">
        <f t="shared" si="152"/>
        <v>130.57011290898546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9.2845879387667392</v>
      </c>
      <c r="EB144" s="21">
        <f>EXP(-LN(2)/25)*EB143+(1-EXP(-LN(2)/25))/(LN(2)/25)*Calculateur!DW144*Calculateur!DY144*VLOOKUP('Données projet'!$B$14,Paramètres!$A$1:$I$89,3,0)*0.475*44/12</f>
        <v>10.275815417130914</v>
      </c>
      <c r="EC144" s="21">
        <f>EXP(-LN(2)/2)*EC143+(1-EXP(-LN(2)/2))/(LN(2)/2)*DW144*DZ144*VLOOKUP('Données projet'!$B$14,Paramètres!$A$1:$I$89,3,0)*0.475*44/12</f>
        <v>1.9505503896383832E-2</v>
      </c>
      <c r="ED144" s="22">
        <f t="shared" si="126"/>
        <v>19.579908859794038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1.7053025658242404E-13</v>
      </c>
      <c r="EK144" s="17">
        <f>EJ144*VLOOKUP('Données projet'!$B$15,Paramètres!$A$1:$I$89,3,0)*VLOOKUP('Données projet'!$B$15,Paramètres!$A$1:$I$89,5,0)</f>
        <v>7.9808160080574461E-14</v>
      </c>
      <c r="EL144" s="13">
        <f t="shared" si="153"/>
        <v>1.2308384591775343E-12</v>
      </c>
      <c r="EM144" s="20">
        <f t="shared" si="127"/>
        <v>2.282709528541206E-12</v>
      </c>
      <c r="EN144" s="59">
        <f t="shared" si="128"/>
        <v>285.56031297776229</v>
      </c>
      <c r="EO144" s="59">
        <f ca="1">AVERAGE(OFFSET($EN$3,0,0,'Données projet'!$E$15+1,1))-AVERAGE(OFFSET($H$3,0,0,'Données projet'!$E$15+1,1))</f>
        <v>374.38106339726073</v>
      </c>
      <c r="EP144" s="59">
        <f t="shared" si="154"/>
        <v>296.53283288925957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119.31919358206993</v>
      </c>
      <c r="EW144" s="21">
        <f>EXP(-LN(2)/25)*EW143+(1-EXP(-LN(2)/25))/(LN(2)/25)*Calculateur!ER144*Calculateur!ET144*VLOOKUP('Données projet'!$B$15,Paramètres!$A$1:$I$89,3,0)*0.475*44/12</f>
        <v>34.037763371068415</v>
      </c>
      <c r="EX144" s="21">
        <f>EXP(-LN(2)/2)*EX143+(1-EXP(-LN(2)/2))/(LN(2)/2)*ER144*EU144*VLOOKUP('Données projet'!$B$15,Paramètres!$A$1:$I$89,3,0)*0.475*44/12</f>
        <v>1.012770427330588</v>
      </c>
      <c r="EY144" s="22">
        <f t="shared" si="129"/>
        <v>154.36972738046893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9">
        <f t="shared" si="109"/>
        <v>1245.5063298920588</v>
      </c>
      <c r="S145" s="59">
        <f ca="1">AVERAGE(OFFSET($R$3,0,0,'Données projet'!$E$9+1,1))-AVERAGE(OFFSET($H$3,0,0,'Données projet'!$E$9+1,1))</f>
        <v>681.47578137804555</v>
      </c>
      <c r="T145" s="59">
        <f t="shared" si="142"/>
        <v>300.88511065995885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1.0818439477588981E-13</v>
      </c>
      <c r="AK145" s="13">
        <f t="shared" si="143"/>
        <v>1.6104228458716316E-12</v>
      </c>
      <c r="AL145" s="20">
        <f t="shared" si="112"/>
        <v>2.9932409441277661E-12</v>
      </c>
      <c r="AM145" s="59">
        <f t="shared" si="113"/>
        <v>285.69515750306209</v>
      </c>
      <c r="AN145" s="59">
        <f ca="1">AVERAGE(OFFSET($AM$3,0,0,'Données projet'!$E$10+1,1))-AVERAGE(OFFSET($H$3,0,0,'Données projet'!$E$10+1,1))</f>
        <v>423.80243030843661</v>
      </c>
      <c r="AO145" s="59">
        <f t="shared" si="144"/>
        <v>260.29028006191834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29.748441716633135</v>
      </c>
      <c r="AV145" s="21">
        <f>EXP(-LN(2)/25)*AV144+(1-EXP(-LN(2)/25))/(LN(2)/25)*Calculateur!AQ145*Calculateur!AS145*VLOOKUP('Données projet'!$B$10,Paramètres!$A$1:$I$89,3,0)*0.475*44/12</f>
        <v>25.116642989105856</v>
      </c>
      <c r="AW145" s="21">
        <f>EXP(-LN(2)/2)*AW144+(1-EXP(-LN(2)/2))/(LN(2)/2)*AQ145*AT145*VLOOKUP('Données projet'!$B$10,Paramètres!$A$1:$I$89,3,0)*0.475*44/12</f>
        <v>3.166525954790269E-2</v>
      </c>
      <c r="AX145" s="21">
        <f t="shared" si="114"/>
        <v>54.896749965286894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-1.3596945791505279E-13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373.61861223558259</v>
      </c>
      <c r="BJ145" s="59">
        <f t="shared" si="146"/>
        <v>277.62293009761049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44.894884056018128</v>
      </c>
      <c r="BQ145" s="21">
        <f>EXP(-LN(2)/25)*BQ144+(1-EXP(-LN(2)/25))/(LN(2)/25)*Calculateur!BL145*Calculateur!BN145*VLOOKUP('Données projet'!$B$11,Paramètres!$A$1:$I$89,3,0)*0.475*44/12</f>
        <v>9.2748893625909563</v>
      </c>
      <c r="BR145" s="21">
        <f>EXP(-LN(2)/2)*BR144+(1-EXP(-LN(2)/2))/(LN(2)/2)*BL145*BO145*VLOOKUP('Données projet'!$B$11,Paramètres!$A$1:$I$89,3,0)*0.475*44/12</f>
        <v>3.2930002920892419E-8</v>
      </c>
      <c r="BS145" s="22">
        <f t="shared" si="117"/>
        <v>54.169773451539086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8.5265128291212022E-14</v>
      </c>
      <c r="BZ145" s="13">
        <f>BY145*VLOOKUP('Données projet'!$B$12,Paramètres!$A$1:$I$89,3,0)*VLOOKUP('Données projet'!$B$12,Paramètres!$A$1:$I$89,5,0)</f>
        <v>7.4487616075202836E-14</v>
      </c>
      <c r="CA145" s="13">
        <f t="shared" si="147"/>
        <v>1.1580453144473142E-12</v>
      </c>
      <c r="CB145" s="20">
        <f t="shared" si="118"/>
        <v>2.1466615206600508E-12</v>
      </c>
      <c r="CC145" s="59">
        <f t="shared" si="119"/>
        <v>285.69515750306124</v>
      </c>
      <c r="CD145" s="59">
        <f ca="1">AVERAGE(OFFSET($CC$3,0,0,'Données projet'!$E$12+1,1))-AVERAGE(OFFSET($H$3,0,0,'Données projet'!$E$12+1,1))</f>
        <v>251.30277097589737</v>
      </c>
      <c r="CE145" s="59">
        <f t="shared" si="148"/>
        <v>224.11983819941796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6.4755949168299116</v>
      </c>
      <c r="CL145" s="21">
        <f>EXP(-LN(2)/25)*CL144+(1-EXP(-LN(2)/25))/(LN(2)/25)*Calculateur!CG145*Calculateur!CI145*VLOOKUP('Données projet'!$B$12,Paramètres!$A$1:$I$89,3,0)*0.475*44/12</f>
        <v>11.854561493117206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18.330156409947119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2.8421709430404007E-14</v>
      </c>
      <c r="CU145" s="17">
        <f>CT145*VLOOKUP('Données projet'!$B$13,Paramètres!$A$1:$I$89,3,0)*VLOOKUP('Données projet'!$B$13,Paramètres!$A$1:$I$89,5,0)</f>
        <v>2.4829205358400945E-14</v>
      </c>
      <c r="CV145" s="13">
        <f t="shared" si="149"/>
        <v>4.3867331143352915E-13</v>
      </c>
      <c r="CW145" s="20">
        <f t="shared" si="121"/>
        <v>8.0726688341261168E-13</v>
      </c>
      <c r="CX145" s="59">
        <f t="shared" si="122"/>
        <v>285.69515750305987</v>
      </c>
      <c r="CY145" s="59">
        <f ca="1">AVERAGE(OFFSET($CX$3,0,0,'Données projet'!$E$13+1,1))-AVERAGE(OFFSET($H$3,0,0,'Données projet'!$E$13+1,1))</f>
        <v>287.28439432670405</v>
      </c>
      <c r="CZ145" s="59">
        <f t="shared" si="150"/>
        <v>276.01618888357268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9.6622699614065244</v>
      </c>
      <c r="DG145" s="21">
        <f>EXP(-LN(2)/25)*DG144+(1-EXP(-LN(2)/25))/(LN(2)/25)*Calculateur!DB145*Calculateur!DD145*VLOOKUP('Données projet'!$B$13,Paramètres!$A$1:$I$89,3,0)*0.475*44/12</f>
        <v>6.5416986629203642</v>
      </c>
      <c r="DH145" s="21">
        <f>EXP(-LN(2)/2)*DH144+(1-EXP(-LN(2)/2))/(LN(2)/2)*DB145*DE145*VLOOKUP('Données projet'!$B$13,Paramètres!$A$1:$I$89,3,0)*0.475*44/12</f>
        <v>2.1162648517930938E-8</v>
      </c>
      <c r="DI145" s="22">
        <f t="shared" si="123"/>
        <v>16.203968645489539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-9.9475983006414026E-14</v>
      </c>
      <c r="DP145" s="17">
        <f>DO145*VLOOKUP('Données projet'!$B$14,Paramètres!$A$1:$I$89,3,0)*VLOOKUP('Données projet'!$B$14,Paramètres!$A$1:$I$89,5,0)</f>
        <v>-9.6213170763803652E-14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206.5245935130306</v>
      </c>
      <c r="DU145" s="59">
        <f t="shared" si="152"/>
        <v>130.57011290898546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9.1025228323269882</v>
      </c>
      <c r="EB145" s="21">
        <f>EXP(-LN(2)/25)*EB144+(1-EXP(-LN(2)/25))/(LN(2)/25)*Calculateur!DW145*Calculateur!DY145*VLOOKUP('Données projet'!$B$14,Paramètres!$A$1:$I$89,3,0)*0.475*44/12</f>
        <v>9.9948227041678219</v>
      </c>
      <c r="EC145" s="21">
        <f>EXP(-LN(2)/2)*EC144+(1-EXP(-LN(2)/2))/(LN(2)/2)*DW145*DZ145*VLOOKUP('Données projet'!$B$14,Paramètres!$A$1:$I$89,3,0)*0.475*44/12</f>
        <v>1.3792474075593633E-2</v>
      </c>
      <c r="ED145" s="22">
        <f t="shared" si="126"/>
        <v>19.111138010570404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1.7053025658242404E-13</v>
      </c>
      <c r="EK145" s="17">
        <f>EJ145*VLOOKUP('Données projet'!$B$15,Paramètres!$A$1:$I$89,3,0)*VLOOKUP('Données projet'!$B$15,Paramètres!$A$1:$I$89,5,0)</f>
        <v>7.9808160080574461E-14</v>
      </c>
      <c r="EL145" s="13">
        <f t="shared" si="153"/>
        <v>1.2308384591775343E-12</v>
      </c>
      <c r="EM145" s="20">
        <f t="shared" si="127"/>
        <v>2.282709528541206E-12</v>
      </c>
      <c r="EN145" s="59">
        <f t="shared" si="128"/>
        <v>285.69515750306135</v>
      </c>
      <c r="EO145" s="59">
        <f ca="1">AVERAGE(OFFSET($EN$3,0,0,'Données projet'!$E$15+1,1))-AVERAGE(OFFSET($H$3,0,0,'Données projet'!$E$15+1,1))</f>
        <v>374.38106339726073</v>
      </c>
      <c r="EP145" s="59">
        <f t="shared" si="154"/>
        <v>296.53283288925957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116.97941697344744</v>
      </c>
      <c r="EW145" s="21">
        <f>EXP(-LN(2)/25)*EW144+(1-EXP(-LN(2)/25))/(LN(2)/25)*Calculateur!ER145*Calculateur!ET145*VLOOKUP('Données projet'!$B$15,Paramètres!$A$1:$I$89,3,0)*0.475*44/12</f>
        <v>33.106998941718366</v>
      </c>
      <c r="EX145" s="21">
        <f>EXP(-LN(2)/2)*EX144+(1-EXP(-LN(2)/2))/(LN(2)/2)*ER145*EU145*VLOOKUP('Données projet'!$B$15,Paramètres!$A$1:$I$89,3,0)*0.475*44/12</f>
        <v>0.71613683695065633</v>
      </c>
      <c r="EY145" s="22">
        <f t="shared" si="129"/>
        <v>150.80255275211647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9">
        <f t="shared" si="109"/>
        <v>1262.9274612816348</v>
      </c>
      <c r="S146" s="59">
        <f ca="1">AVERAGE(OFFSET($R$3,0,0,'Données projet'!$E$9+1,1))-AVERAGE(OFFSET($H$3,0,0,'Données projet'!$E$9+1,1))</f>
        <v>681.47578137804555</v>
      </c>
      <c r="T146" s="59">
        <f t="shared" si="142"/>
        <v>300.88511065995885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1.0818439477588981E-13</v>
      </c>
      <c r="AK146" s="13">
        <f t="shared" si="143"/>
        <v>1.6104228458716316E-12</v>
      </c>
      <c r="AL146" s="20">
        <f t="shared" si="112"/>
        <v>2.9932409441277661E-12</v>
      </c>
      <c r="AM146" s="59">
        <f t="shared" si="113"/>
        <v>285.82766277731446</v>
      </c>
      <c r="AN146" s="59">
        <f ca="1">AVERAGE(OFFSET($AM$3,0,0,'Données projet'!$E$10+1,1))-AVERAGE(OFFSET($H$3,0,0,'Données projet'!$E$10+1,1))</f>
        <v>423.80243030843661</v>
      </c>
      <c r="AO146" s="59">
        <f t="shared" si="144"/>
        <v>260.29028006191834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29.165092919327758</v>
      </c>
      <c r="AV146" s="21">
        <f>EXP(-LN(2)/25)*AV145+(1-EXP(-LN(2)/25))/(LN(2)/25)*Calculateur!AQ146*Calculateur!AS146*VLOOKUP('Données projet'!$B$10,Paramètres!$A$1:$I$89,3,0)*0.475*44/12</f>
        <v>24.429827065741907</v>
      </c>
      <c r="AW146" s="21">
        <f>EXP(-LN(2)/2)*AW145+(1-EXP(-LN(2)/2))/(LN(2)/2)*AQ146*AT146*VLOOKUP('Données projet'!$B$10,Paramètres!$A$1:$I$89,3,0)*0.475*44/12</f>
        <v>2.2390719754354062E-2</v>
      </c>
      <c r="AX146" s="21">
        <f t="shared" si="114"/>
        <v>53.617310704824021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-1.3596945791505279E-13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373.61861223558259</v>
      </c>
      <c r="BJ146" s="59">
        <f t="shared" si="146"/>
        <v>277.62293009761049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44.014522762855023</v>
      </c>
      <c r="BQ146" s="21">
        <f>EXP(-LN(2)/25)*BQ145+(1-EXP(-LN(2)/25))/(LN(2)/25)*Calculateur!BL146*Calculateur!BN146*VLOOKUP('Données projet'!$B$11,Paramètres!$A$1:$I$89,3,0)*0.475*44/12</f>
        <v>9.0212670252256739</v>
      </c>
      <c r="BR146" s="21">
        <f>EXP(-LN(2)/2)*BR145+(1-EXP(-LN(2)/2))/(LN(2)/2)*BL146*BO146*VLOOKUP('Données projet'!$B$11,Paramètres!$A$1:$I$89,3,0)*0.475*44/12</f>
        <v>2.3285028369855847E-8</v>
      </c>
      <c r="BS146" s="22">
        <f t="shared" si="117"/>
        <v>53.035789811365724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8.5265128291212022E-14</v>
      </c>
      <c r="BZ146" s="13">
        <f>BY146*VLOOKUP('Données projet'!$B$12,Paramètres!$A$1:$I$89,3,0)*VLOOKUP('Données projet'!$B$12,Paramètres!$A$1:$I$89,5,0)</f>
        <v>7.4487616075202836E-14</v>
      </c>
      <c r="CA146" s="13">
        <f t="shared" si="147"/>
        <v>1.1580453144473142E-12</v>
      </c>
      <c r="CB146" s="20">
        <f t="shared" si="118"/>
        <v>2.1466615206600508E-12</v>
      </c>
      <c r="CC146" s="59">
        <f t="shared" si="119"/>
        <v>285.82766277731361</v>
      </c>
      <c r="CD146" s="59">
        <f ca="1">AVERAGE(OFFSET($CC$3,0,0,'Données projet'!$E$12+1,1))-AVERAGE(OFFSET($H$3,0,0,'Données projet'!$E$12+1,1))</f>
        <v>251.30277097589737</v>
      </c>
      <c r="CE146" s="59">
        <f t="shared" si="148"/>
        <v>224.11983819941796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6.348612450233774</v>
      </c>
      <c r="CL146" s="21">
        <f>EXP(-LN(2)/25)*CL145+(1-EXP(-LN(2)/25))/(LN(2)/25)*Calculateur!CG146*Calculateur!CI146*VLOOKUP('Données projet'!$B$12,Paramètres!$A$1:$I$89,3,0)*0.475*44/12</f>
        <v>11.530397885683621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17.879010335917396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2.8421709430404007E-14</v>
      </c>
      <c r="CU146" s="17">
        <f>CT146*VLOOKUP('Données projet'!$B$13,Paramètres!$A$1:$I$89,3,0)*VLOOKUP('Données projet'!$B$13,Paramètres!$A$1:$I$89,5,0)</f>
        <v>2.4829205358400945E-14</v>
      </c>
      <c r="CV146" s="13">
        <f t="shared" si="149"/>
        <v>4.3867331143352915E-13</v>
      </c>
      <c r="CW146" s="20">
        <f t="shared" si="121"/>
        <v>8.0726688341261168E-13</v>
      </c>
      <c r="CX146" s="59">
        <f t="shared" si="122"/>
        <v>285.82766277731224</v>
      </c>
      <c r="CY146" s="59">
        <f ca="1">AVERAGE(OFFSET($CX$3,0,0,'Données projet'!$E$13+1,1))-AVERAGE(OFFSET($H$3,0,0,'Données projet'!$E$13+1,1))</f>
        <v>287.28439432670405</v>
      </c>
      <c r="CZ146" s="59">
        <f t="shared" si="150"/>
        <v>276.01618888357268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9.472798740866093</v>
      </c>
      <c r="DG146" s="21">
        <f>EXP(-LN(2)/25)*DG145+(1-EXP(-LN(2)/25))/(LN(2)/25)*Calculateur!DB146*Calculateur!DD146*VLOOKUP('Données projet'!$B$13,Paramètres!$A$1:$I$89,3,0)*0.475*44/12</f>
        <v>6.3628155689698254</v>
      </c>
      <c r="DH146" s="21">
        <f>EXP(-LN(2)/2)*DH145+(1-EXP(-LN(2)/2))/(LN(2)/2)*DB146*DE146*VLOOKUP('Données projet'!$B$13,Paramètres!$A$1:$I$89,3,0)*0.475*44/12</f>
        <v>1.4964252274896405E-8</v>
      </c>
      <c r="DI146" s="22">
        <f t="shared" si="123"/>
        <v>15.83561432480017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-9.9475983006414026E-14</v>
      </c>
      <c r="DP146" s="17">
        <f>DO146*VLOOKUP('Données projet'!$B$14,Paramètres!$A$1:$I$89,3,0)*VLOOKUP('Données projet'!$B$14,Paramètres!$A$1:$I$89,5,0)</f>
        <v>-9.6213170763803652E-14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206.5245935130306</v>
      </c>
      <c r="DU146" s="59">
        <f t="shared" si="152"/>
        <v>130.57011290898546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8.9240279115757701</v>
      </c>
      <c r="EB146" s="21">
        <f>EXP(-LN(2)/25)*EB145+(1-EXP(-LN(2)/25))/(LN(2)/25)*Calculateur!DW146*Calculateur!DY146*VLOOKUP('Données projet'!$B$14,Paramètres!$A$1:$I$89,3,0)*0.475*44/12</f>
        <v>9.7215137517174703</v>
      </c>
      <c r="EC146" s="21">
        <f>EXP(-LN(2)/2)*EC145+(1-EXP(-LN(2)/2))/(LN(2)/2)*DW146*DZ146*VLOOKUP('Données projet'!$B$14,Paramètres!$A$1:$I$89,3,0)*0.475*44/12</f>
        <v>9.7527519481919161E-3</v>
      </c>
      <c r="ED146" s="22">
        <f t="shared" si="126"/>
        <v>18.655294415241432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1.7053025658242404E-13</v>
      </c>
      <c r="EK146" s="17">
        <f>EJ146*VLOOKUP('Données projet'!$B$15,Paramètres!$A$1:$I$89,3,0)*VLOOKUP('Données projet'!$B$15,Paramètres!$A$1:$I$89,5,0)</f>
        <v>7.9808160080574461E-14</v>
      </c>
      <c r="EL146" s="13">
        <f t="shared" si="153"/>
        <v>1.2308384591775343E-12</v>
      </c>
      <c r="EM146" s="20">
        <f t="shared" si="127"/>
        <v>2.282709528541206E-12</v>
      </c>
      <c r="EN146" s="59">
        <f t="shared" si="128"/>
        <v>285.82766277731372</v>
      </c>
      <c r="EO146" s="59">
        <f ca="1">AVERAGE(OFFSET($EN$3,0,0,'Données projet'!$E$15+1,1))-AVERAGE(OFFSET($H$3,0,0,'Données projet'!$E$15+1,1))</f>
        <v>374.38106339726073</v>
      </c>
      <c r="EP146" s="59">
        <f t="shared" si="154"/>
        <v>296.53283288925957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114.68552195699722</v>
      </c>
      <c r="EW146" s="21">
        <f>EXP(-LN(2)/25)*EW145+(1-EXP(-LN(2)/25))/(LN(2)/25)*Calculateur!ER146*Calculateur!ET146*VLOOKUP('Données projet'!$B$15,Paramètres!$A$1:$I$89,3,0)*0.475*44/12</f>
        <v>32.201686314635673</v>
      </c>
      <c r="EX146" s="21">
        <f>EXP(-LN(2)/2)*EX145+(1-EXP(-LN(2)/2))/(LN(2)/2)*ER146*EU146*VLOOKUP('Données projet'!$B$15,Paramètres!$A$1:$I$89,3,0)*0.475*44/12</f>
        <v>0.50638521366529399</v>
      </c>
      <c r="EY146" s="22">
        <f t="shared" si="129"/>
        <v>147.39359348529817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9">
        <f t="shared" si="109"/>
        <v>1280.3402417361278</v>
      </c>
      <c r="S147" s="59">
        <f ca="1">AVERAGE(OFFSET($R$3,0,0,'Données projet'!$E$9+1,1))-AVERAGE(OFFSET($H$3,0,0,'Données projet'!$E$9+1,1))</f>
        <v>681.47578137804555</v>
      </c>
      <c r="T147" s="59">
        <f t="shared" si="142"/>
        <v>300.88511065995885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1.0818439477588981E-13</v>
      </c>
      <c r="AK147" s="13">
        <f t="shared" si="143"/>
        <v>1.6104228458716316E-12</v>
      </c>
      <c r="AL147" s="20">
        <f t="shared" si="112"/>
        <v>2.9932409441277661E-12</v>
      </c>
      <c r="AM147" s="59">
        <f t="shared" si="113"/>
        <v>285.95786938129589</v>
      </c>
      <c r="AN147" s="59">
        <f ca="1">AVERAGE(OFFSET($AM$3,0,0,'Données projet'!$E$10+1,1))-AVERAGE(OFFSET($H$3,0,0,'Données projet'!$E$10+1,1))</f>
        <v>423.80243030843661</v>
      </c>
      <c r="AO147" s="59">
        <f t="shared" si="144"/>
        <v>260.29028006191834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28.59318323612991</v>
      </c>
      <c r="AV147" s="21">
        <f>EXP(-LN(2)/25)*AV146+(1-EXP(-LN(2)/25))/(LN(2)/25)*Calculateur!AQ147*Calculateur!AS147*VLOOKUP('Données projet'!$B$10,Paramètres!$A$1:$I$89,3,0)*0.475*44/12</f>
        <v>23.761792159920425</v>
      </c>
      <c r="AW147" s="21">
        <f>EXP(-LN(2)/2)*AW146+(1-EXP(-LN(2)/2))/(LN(2)/2)*AQ147*AT147*VLOOKUP('Données projet'!$B$10,Paramètres!$A$1:$I$89,3,0)*0.475*44/12</f>
        <v>1.5832629773951345E-2</v>
      </c>
      <c r="AX147" s="21">
        <f t="shared" si="114"/>
        <v>52.370808025824289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-1.3596945791505279E-13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373.61861223558259</v>
      </c>
      <c r="BJ147" s="59">
        <f t="shared" si="146"/>
        <v>277.62293009761049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43.151424817683477</v>
      </c>
      <c r="BQ147" s="21">
        <f>EXP(-LN(2)/25)*BQ146+(1-EXP(-LN(2)/25))/(LN(2)/25)*Calculateur!BL147*Calculateur!BN147*VLOOKUP('Données projet'!$B$11,Paramètres!$A$1:$I$89,3,0)*0.475*44/12</f>
        <v>8.7745800040130639</v>
      </c>
      <c r="BR147" s="21">
        <f>EXP(-LN(2)/2)*BR146+(1-EXP(-LN(2)/2))/(LN(2)/2)*BL147*BO147*VLOOKUP('Données projet'!$B$11,Paramètres!$A$1:$I$89,3,0)*0.475*44/12</f>
        <v>1.6465001460446209E-8</v>
      </c>
      <c r="BS147" s="22">
        <f t="shared" si="117"/>
        <v>51.926004838161539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8.5265128291212022E-14</v>
      </c>
      <c r="BZ147" s="13">
        <f>BY147*VLOOKUP('Données projet'!$B$12,Paramètres!$A$1:$I$89,3,0)*VLOOKUP('Données projet'!$B$12,Paramètres!$A$1:$I$89,5,0)</f>
        <v>7.4487616075202836E-14</v>
      </c>
      <c r="CA147" s="13">
        <f t="shared" si="147"/>
        <v>1.1580453144473142E-12</v>
      </c>
      <c r="CB147" s="20">
        <f t="shared" si="118"/>
        <v>2.1466615206600508E-12</v>
      </c>
      <c r="CC147" s="59">
        <f t="shared" si="119"/>
        <v>285.95786938129504</v>
      </c>
      <c r="CD147" s="59">
        <f ca="1">AVERAGE(OFFSET($CC$3,0,0,'Données projet'!$E$12+1,1))-AVERAGE(OFFSET($H$3,0,0,'Données projet'!$E$12+1,1))</f>
        <v>251.30277097589737</v>
      </c>
      <c r="CE147" s="59">
        <f t="shared" si="148"/>
        <v>224.11983819941796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6.2241200323559296</v>
      </c>
      <c r="CL147" s="21">
        <f>EXP(-LN(2)/25)*CL146+(1-EXP(-LN(2)/25))/(LN(2)/25)*Calculateur!CG147*Calculateur!CI147*VLOOKUP('Données projet'!$B$12,Paramètres!$A$1:$I$89,3,0)*0.475*44/12</f>
        <v>11.215098549142331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17.43921858149826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2.8421709430404007E-14</v>
      </c>
      <c r="CU147" s="17">
        <f>CT147*VLOOKUP('Données projet'!$B$13,Paramètres!$A$1:$I$89,3,0)*VLOOKUP('Données projet'!$B$13,Paramètres!$A$1:$I$89,5,0)</f>
        <v>2.4829205358400945E-14</v>
      </c>
      <c r="CV147" s="13">
        <f t="shared" si="149"/>
        <v>4.3867331143352915E-13</v>
      </c>
      <c r="CW147" s="20">
        <f t="shared" si="121"/>
        <v>8.0726688341261168E-13</v>
      </c>
      <c r="CX147" s="59">
        <f t="shared" si="122"/>
        <v>285.95786938129368</v>
      </c>
      <c r="CY147" s="59">
        <f ca="1">AVERAGE(OFFSET($CX$3,0,0,'Données projet'!$E$13+1,1))-AVERAGE(OFFSET($H$3,0,0,'Données projet'!$E$13+1,1))</f>
        <v>287.28439432670405</v>
      </c>
      <c r="CZ147" s="59">
        <f t="shared" si="150"/>
        <v>276.01618888357268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9.2870429353944264</v>
      </c>
      <c r="DG147" s="21">
        <f>EXP(-LN(2)/25)*DG146+(1-EXP(-LN(2)/25))/(LN(2)/25)*Calculateur!DB147*Calculateur!DD147*VLOOKUP('Données projet'!$B$13,Paramètres!$A$1:$I$89,3,0)*0.475*44/12</f>
        <v>6.1888240426304169</v>
      </c>
      <c r="DH147" s="21">
        <f>EXP(-LN(2)/2)*DH146+(1-EXP(-LN(2)/2))/(LN(2)/2)*DB147*DE147*VLOOKUP('Données projet'!$B$13,Paramètres!$A$1:$I$89,3,0)*0.475*44/12</f>
        <v>1.0581324258965469E-8</v>
      </c>
      <c r="DI147" s="22">
        <f t="shared" si="123"/>
        <v>15.475866988606167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-9.9475983006414026E-14</v>
      </c>
      <c r="DP147" s="17">
        <f>DO147*VLOOKUP('Données projet'!$B$14,Paramètres!$A$1:$I$89,3,0)*VLOOKUP('Données projet'!$B$14,Paramètres!$A$1:$I$89,5,0)</f>
        <v>-9.6213170763803652E-14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206.5245935130306</v>
      </c>
      <c r="DU147" s="59">
        <f t="shared" si="152"/>
        <v>130.57011290898546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8.7490331673493316</v>
      </c>
      <c r="EB147" s="21">
        <f>EXP(-LN(2)/25)*EB146+(1-EXP(-LN(2)/25))/(LN(2)/25)*Calculateur!DW147*Calculateur!DY147*VLOOKUP('Données projet'!$B$14,Paramètres!$A$1:$I$89,3,0)*0.475*44/12</f>
        <v>9.4556784469445674</v>
      </c>
      <c r="EC147" s="21">
        <f>EXP(-LN(2)/2)*EC146+(1-EXP(-LN(2)/2))/(LN(2)/2)*DW147*DZ147*VLOOKUP('Données projet'!$B$14,Paramètres!$A$1:$I$89,3,0)*0.475*44/12</f>
        <v>6.8962370377968164E-3</v>
      </c>
      <c r="ED147" s="22">
        <f t="shared" si="126"/>
        <v>18.211607851331696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1.7053025658242404E-13</v>
      </c>
      <c r="EK147" s="17">
        <f>EJ147*VLOOKUP('Données projet'!$B$15,Paramètres!$A$1:$I$89,3,0)*VLOOKUP('Données projet'!$B$15,Paramètres!$A$1:$I$89,5,0)</f>
        <v>7.9808160080574461E-14</v>
      </c>
      <c r="EL147" s="13">
        <f t="shared" si="153"/>
        <v>1.2308384591775343E-12</v>
      </c>
      <c r="EM147" s="20">
        <f t="shared" si="127"/>
        <v>2.282709528541206E-12</v>
      </c>
      <c r="EN147" s="59">
        <f t="shared" si="128"/>
        <v>285.95786938129515</v>
      </c>
      <c r="EO147" s="59">
        <f ca="1">AVERAGE(OFFSET($EN$3,0,0,'Données projet'!$E$15+1,1))-AVERAGE(OFFSET($H$3,0,0,'Données projet'!$E$15+1,1))</f>
        <v>374.38106339726073</v>
      </c>
      <c r="EP147" s="59">
        <f t="shared" si="154"/>
        <v>296.53283288925957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112.43660882268179</v>
      </c>
      <c r="EW147" s="21">
        <f>EXP(-LN(2)/25)*EW146+(1-EXP(-LN(2)/25))/(LN(2)/25)*Calculateur!ER147*Calculateur!ET147*VLOOKUP('Données projet'!$B$15,Paramètres!$A$1:$I$89,3,0)*0.475*44/12</f>
        <v>31.321129508948875</v>
      </c>
      <c r="EX147" s="21">
        <f>EXP(-LN(2)/2)*EX146+(1-EXP(-LN(2)/2))/(LN(2)/2)*ER147*EU147*VLOOKUP('Données projet'!$B$15,Paramètres!$A$1:$I$89,3,0)*0.475*44/12</f>
        <v>0.35806841847532817</v>
      </c>
      <c r="EY147" s="22">
        <f t="shared" si="129"/>
        <v>144.115806750106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9">
        <f t="shared" si="109"/>
        <v>1181.2225383998002</v>
      </c>
      <c r="S148" s="59">
        <f ca="1">AVERAGE(OFFSET($R$3,0,0,'Données projet'!$E$9+1,1))-AVERAGE(OFFSET($H$3,0,0,'Données projet'!$E$9+1,1))</f>
        <v>681.47578137804555</v>
      </c>
      <c r="T148" s="59">
        <f t="shared" si="142"/>
        <v>300.88511065995885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1.0818439477588981E-13</v>
      </c>
      <c r="AK148" s="13">
        <f t="shared" si="143"/>
        <v>1.6104228458716316E-12</v>
      </c>
      <c r="AL148" s="20">
        <f t="shared" si="112"/>
        <v>2.9932409441277661E-12</v>
      </c>
      <c r="AM148" s="59">
        <f t="shared" si="113"/>
        <v>286.08581719179659</v>
      </c>
      <c r="AN148" s="59">
        <f ca="1">AVERAGE(OFFSET($AM$3,0,0,'Données projet'!$E$10+1,1))-AVERAGE(OFFSET($H$3,0,0,'Données projet'!$E$10+1,1))</f>
        <v>423.80243030843661</v>
      </c>
      <c r="AO148" s="59">
        <f t="shared" si="144"/>
        <v>260.29028006191834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28.032488352989109</v>
      </c>
      <c r="AV148" s="21">
        <f>EXP(-LN(2)/25)*AV147+(1-EXP(-LN(2)/25))/(LN(2)/25)*Calculateur!AQ148*Calculateur!AS148*VLOOKUP('Données projet'!$B$10,Paramètres!$A$1:$I$89,3,0)*0.475*44/12</f>
        <v>23.112024703729059</v>
      </c>
      <c r="AW148" s="21">
        <f>EXP(-LN(2)/2)*AW147+(1-EXP(-LN(2)/2))/(LN(2)/2)*AQ148*AT148*VLOOKUP('Données projet'!$B$10,Paramètres!$A$1:$I$89,3,0)*0.475*44/12</f>
        <v>1.1195359877177031E-2</v>
      </c>
      <c r="AX148" s="21">
        <f t="shared" si="114"/>
        <v>51.155708416595346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-1.3596945791505279E-13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373.61861223558259</v>
      </c>
      <c r="BJ148" s="59">
        <f t="shared" si="146"/>
        <v>277.62293009761049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42.305251696778981</v>
      </c>
      <c r="BQ148" s="21">
        <f>EXP(-LN(2)/25)*BQ147+(1-EXP(-LN(2)/25))/(LN(2)/25)*Calculateur!BL148*Calculateur!BN148*VLOOKUP('Données projet'!$B$11,Paramètres!$A$1:$I$89,3,0)*0.475*44/12</f>
        <v>8.5346386523682192</v>
      </c>
      <c r="BR148" s="21">
        <f>EXP(-LN(2)/2)*BR147+(1-EXP(-LN(2)/2))/(LN(2)/2)*BL148*BO148*VLOOKUP('Données projet'!$B$11,Paramètres!$A$1:$I$89,3,0)*0.475*44/12</f>
        <v>1.1642514184927923E-8</v>
      </c>
      <c r="BS148" s="22">
        <f t="shared" si="117"/>
        <v>50.83989036078971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8.5265128291212022E-14</v>
      </c>
      <c r="BZ148" s="13">
        <f>BY148*VLOOKUP('Données projet'!$B$12,Paramètres!$A$1:$I$89,3,0)*VLOOKUP('Données projet'!$B$12,Paramètres!$A$1:$I$89,5,0)</f>
        <v>7.4487616075202836E-14</v>
      </c>
      <c r="CA148" s="13">
        <f t="shared" si="147"/>
        <v>1.1580453144473142E-12</v>
      </c>
      <c r="CB148" s="20">
        <f t="shared" si="118"/>
        <v>2.1466615206600508E-12</v>
      </c>
      <c r="CC148" s="59">
        <f t="shared" si="119"/>
        <v>286.08581719179574</v>
      </c>
      <c r="CD148" s="59">
        <f ca="1">AVERAGE(OFFSET($CC$3,0,0,'Données projet'!$E$12+1,1))-AVERAGE(OFFSET($H$3,0,0,'Données projet'!$E$12+1,1))</f>
        <v>251.30277097589737</v>
      </c>
      <c r="CE148" s="59">
        <f t="shared" si="148"/>
        <v>224.11983819941796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6.102068834859792</v>
      </c>
      <c r="CL148" s="21">
        <f>EXP(-LN(2)/25)*CL147+(1-EXP(-LN(2)/25))/(LN(2)/25)*Calculateur!CG148*Calculateur!CI148*VLOOKUP('Données projet'!$B$12,Paramètres!$A$1:$I$89,3,0)*0.475*44/12</f>
        <v>10.908421089539633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17.010489924399426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2.8421709430404007E-14</v>
      </c>
      <c r="CU148" s="17">
        <f>CT148*VLOOKUP('Données projet'!$B$13,Paramètres!$A$1:$I$89,3,0)*VLOOKUP('Données projet'!$B$13,Paramètres!$A$1:$I$89,5,0)</f>
        <v>2.4829205358400945E-14</v>
      </c>
      <c r="CV148" s="13">
        <f t="shared" si="149"/>
        <v>4.3867331143352915E-13</v>
      </c>
      <c r="CW148" s="20">
        <f t="shared" si="121"/>
        <v>8.0726688341261168E-13</v>
      </c>
      <c r="CX148" s="59">
        <f t="shared" si="122"/>
        <v>286.08581719179438</v>
      </c>
      <c r="CY148" s="59">
        <f ca="1">AVERAGE(OFFSET($CX$3,0,0,'Données projet'!$E$13+1,1))-AVERAGE(OFFSET($H$3,0,0,'Données projet'!$E$13+1,1))</f>
        <v>287.28439432670405</v>
      </c>
      <c r="CZ148" s="59">
        <f t="shared" si="150"/>
        <v>276.01618888357268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9.1049296879682053</v>
      </c>
      <c r="DG148" s="21">
        <f>EXP(-LN(2)/25)*DG147+(1-EXP(-LN(2)/25))/(LN(2)/25)*Calculateur!DB148*Calculateur!DD148*VLOOKUP('Données projet'!$B$13,Paramètres!$A$1:$I$89,3,0)*0.475*44/12</f>
        <v>6.0195903237285764</v>
      </c>
      <c r="DH148" s="21">
        <f>EXP(-LN(2)/2)*DH147+(1-EXP(-LN(2)/2))/(LN(2)/2)*DB148*DE148*VLOOKUP('Données projet'!$B$13,Paramètres!$A$1:$I$89,3,0)*0.475*44/12</f>
        <v>7.4821261374482027E-9</v>
      </c>
      <c r="DI148" s="22">
        <f t="shared" si="123"/>
        <v>15.124520019178908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-9.9475983006414026E-14</v>
      </c>
      <c r="DP148" s="17">
        <f>DO148*VLOOKUP('Données projet'!$B$14,Paramètres!$A$1:$I$89,3,0)*VLOOKUP('Données projet'!$B$14,Paramètres!$A$1:$I$89,5,0)</f>
        <v>-9.6213170763803652E-14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206.5245935130306</v>
      </c>
      <c r="DU148" s="59">
        <f t="shared" si="152"/>
        <v>130.57011290898546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8.5774699633209188</v>
      </c>
      <c r="EB148" s="21">
        <f>EXP(-LN(2)/25)*EB147+(1-EXP(-LN(2)/25))/(LN(2)/25)*Calculateur!DW148*Calculateur!DY148*VLOOKUP('Données projet'!$B$14,Paramètres!$A$1:$I$89,3,0)*0.475*44/12</f>
        <v>9.19711242256035</v>
      </c>
      <c r="EC148" s="21">
        <f>EXP(-LN(2)/2)*EC147+(1-EXP(-LN(2)/2))/(LN(2)/2)*DW148*DZ148*VLOOKUP('Données projet'!$B$14,Paramètres!$A$1:$I$89,3,0)*0.475*44/12</f>
        <v>4.876375974095958E-3</v>
      </c>
      <c r="ED148" s="22">
        <f t="shared" si="126"/>
        <v>17.779458761855363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1.7053025658242404E-13</v>
      </c>
      <c r="EK148" s="17">
        <f>EJ148*VLOOKUP('Données projet'!$B$15,Paramètres!$A$1:$I$89,3,0)*VLOOKUP('Données projet'!$B$15,Paramètres!$A$1:$I$89,5,0)</f>
        <v>7.9808160080574461E-14</v>
      </c>
      <c r="EL148" s="13">
        <f t="shared" si="153"/>
        <v>1.2308384591775343E-12</v>
      </c>
      <c r="EM148" s="20">
        <f t="shared" si="127"/>
        <v>2.282709528541206E-12</v>
      </c>
      <c r="EN148" s="59">
        <f t="shared" si="128"/>
        <v>286.08581719179585</v>
      </c>
      <c r="EO148" s="59">
        <f ca="1">AVERAGE(OFFSET($EN$3,0,0,'Données projet'!$E$15+1,1))-AVERAGE(OFFSET($H$3,0,0,'Données projet'!$E$15+1,1))</f>
        <v>374.38106339726073</v>
      </c>
      <c r="EP148" s="59">
        <f t="shared" si="154"/>
        <v>296.53283288925957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110.23179550322871</v>
      </c>
      <c r="EW148" s="21">
        <f>EXP(-LN(2)/25)*EW147+(1-EXP(-LN(2)/25))/(LN(2)/25)*Calculateur!ER148*Calculateur!ET148*VLOOKUP('Données projet'!$B$15,Paramètres!$A$1:$I$89,3,0)*0.475*44/12</f>
        <v>30.464651575420053</v>
      </c>
      <c r="EX148" s="21">
        <f>EXP(-LN(2)/2)*EX147+(1-EXP(-LN(2)/2))/(LN(2)/2)*ER148*EU148*VLOOKUP('Données projet'!$B$15,Paramètres!$A$1:$I$89,3,0)*0.475*44/12</f>
        <v>0.25319260683264699</v>
      </c>
      <c r="EY148" s="22">
        <f t="shared" si="129"/>
        <v>140.9496396854814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9">
        <f t="shared" si="109"/>
        <v>1199.022208885388</v>
      </c>
      <c r="S149" s="59">
        <f ca="1">AVERAGE(OFFSET($R$3,0,0,'Données projet'!$E$9+1,1))-AVERAGE(OFFSET($H$3,0,0,'Données projet'!$E$9+1,1))</f>
        <v>681.47578137804555</v>
      </c>
      <c r="T149" s="59">
        <f t="shared" si="142"/>
        <v>300.88511065995885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1.0818439477588981E-13</v>
      </c>
      <c r="AK149" s="13">
        <f t="shared" si="143"/>
        <v>1.6104228458716316E-12</v>
      </c>
      <c r="AL149" s="20">
        <f t="shared" si="112"/>
        <v>2.9932409441277661E-12</v>
      </c>
      <c r="AM149" s="59">
        <f t="shared" si="113"/>
        <v>286.21154539383366</v>
      </c>
      <c r="AN149" s="59">
        <f ca="1">AVERAGE(OFFSET($AM$3,0,0,'Données projet'!$E$10+1,1))-AVERAGE(OFFSET($H$3,0,0,'Données projet'!$E$10+1,1))</f>
        <v>423.80243030843661</v>
      </c>
      <c r="AO149" s="59">
        <f t="shared" si="144"/>
        <v>260.29028006191834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27.482788354516586</v>
      </c>
      <c r="AV149" s="21">
        <f>EXP(-LN(2)/25)*AV148+(1-EXP(-LN(2)/25))/(LN(2)/25)*Calculateur!AQ149*Calculateur!AS149*VLOOKUP('Données projet'!$B$10,Paramètres!$A$1:$I$89,3,0)*0.475*44/12</f>
        <v>22.480025172797031</v>
      </c>
      <c r="AW149" s="21">
        <f>EXP(-LN(2)/2)*AW148+(1-EXP(-LN(2)/2))/(LN(2)/2)*AQ149*AT149*VLOOKUP('Données projet'!$B$10,Paramètres!$A$1:$I$89,3,0)*0.475*44/12</f>
        <v>7.9163148869756724E-3</v>
      </c>
      <c r="AX149" s="21">
        <f t="shared" si="114"/>
        <v>49.970729842200591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-1.3596945791505279E-13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373.61861223558259</v>
      </c>
      <c r="BJ149" s="59">
        <f t="shared" si="146"/>
        <v>277.62293009761049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41.475671514660782</v>
      </c>
      <c r="BQ149" s="21">
        <f>EXP(-LN(2)/25)*BQ148+(1-EXP(-LN(2)/25))/(LN(2)/25)*Calculateur!BL149*Calculateur!BN149*VLOOKUP('Données projet'!$B$11,Paramètres!$A$1:$I$89,3,0)*0.475*44/12</f>
        <v>8.3012585096020697</v>
      </c>
      <c r="BR149" s="21">
        <f>EXP(-LN(2)/2)*BR148+(1-EXP(-LN(2)/2))/(LN(2)/2)*BL149*BO149*VLOOKUP('Données projet'!$B$11,Paramètres!$A$1:$I$89,3,0)*0.475*44/12</f>
        <v>8.2325007302231047E-9</v>
      </c>
      <c r="BS149" s="22">
        <f t="shared" si="117"/>
        <v>49.776930032495351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8.5265128291212022E-14</v>
      </c>
      <c r="BZ149" s="13">
        <f>BY149*VLOOKUP('Données projet'!$B$12,Paramètres!$A$1:$I$89,3,0)*VLOOKUP('Données projet'!$B$12,Paramètres!$A$1:$I$89,5,0)</f>
        <v>7.4487616075202836E-14</v>
      </c>
      <c r="CA149" s="13">
        <f t="shared" si="147"/>
        <v>1.1580453144473142E-12</v>
      </c>
      <c r="CB149" s="20">
        <f t="shared" si="118"/>
        <v>2.1466615206600508E-12</v>
      </c>
      <c r="CC149" s="59">
        <f t="shared" si="119"/>
        <v>286.21154539383281</v>
      </c>
      <c r="CD149" s="59">
        <f ca="1">AVERAGE(OFFSET($CC$3,0,0,'Données projet'!$E$12+1,1))-AVERAGE(OFFSET($H$3,0,0,'Données projet'!$E$12+1,1))</f>
        <v>251.30277097589737</v>
      </c>
      <c r="CE149" s="59">
        <f t="shared" si="148"/>
        <v>224.11983819941796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5.982410986902674</v>
      </c>
      <c r="CL149" s="21">
        <f>EXP(-LN(2)/25)*CL148+(1-EXP(-LN(2)/25))/(LN(2)/25)*Calculateur!CG149*Calculateur!CI149*VLOOKUP('Données projet'!$B$12,Paramètres!$A$1:$I$89,3,0)*0.475*44/12</f>
        <v>10.610129741197238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16.592540728099912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2.8421709430404007E-14</v>
      </c>
      <c r="CU149" s="17">
        <f>CT149*VLOOKUP('Données projet'!$B$13,Paramètres!$A$1:$I$89,3,0)*VLOOKUP('Données projet'!$B$13,Paramètres!$A$1:$I$89,5,0)</f>
        <v>2.4829205358400945E-14</v>
      </c>
      <c r="CV149" s="13">
        <f t="shared" si="149"/>
        <v>4.3867331143352915E-13</v>
      </c>
      <c r="CW149" s="20">
        <f t="shared" si="121"/>
        <v>8.0726688341261168E-13</v>
      </c>
      <c r="CX149" s="59">
        <f t="shared" si="122"/>
        <v>286.21154539383144</v>
      </c>
      <c r="CY149" s="59">
        <f ca="1">AVERAGE(OFFSET($CX$3,0,0,'Données projet'!$E$13+1,1))-AVERAGE(OFFSET($H$3,0,0,'Données projet'!$E$13+1,1))</f>
        <v>287.28439432670405</v>
      </c>
      <c r="CZ149" s="59">
        <f t="shared" si="150"/>
        <v>276.01618888357268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8.9263875702459003</v>
      </c>
      <c r="DG149" s="21">
        <f>EXP(-LN(2)/25)*DG148+(1-EXP(-LN(2)/25))/(LN(2)/25)*Calculateur!DB149*Calculateur!DD149*VLOOKUP('Données projet'!$B$13,Paramètres!$A$1:$I$89,3,0)*0.475*44/12</f>
        <v>5.854984309769721</v>
      </c>
      <c r="DH149" s="21">
        <f>EXP(-LN(2)/2)*DH148+(1-EXP(-LN(2)/2))/(LN(2)/2)*DB149*DE149*VLOOKUP('Données projet'!$B$13,Paramètres!$A$1:$I$89,3,0)*0.475*44/12</f>
        <v>5.2906621294827344E-9</v>
      </c>
      <c r="DI149" s="22">
        <f t="shared" si="123"/>
        <v>14.781371885306283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-9.9475983006414026E-14</v>
      </c>
      <c r="DP149" s="17">
        <f>DO149*VLOOKUP('Données projet'!$B$14,Paramètres!$A$1:$I$89,3,0)*VLOOKUP('Données projet'!$B$14,Paramètres!$A$1:$I$89,5,0)</f>
        <v>-9.6213170763803652E-14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206.5245935130306</v>
      </c>
      <c r="DU149" s="59">
        <f t="shared" si="152"/>
        <v>130.57011290898546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8.4092710090802818</v>
      </c>
      <c r="EB149" s="21">
        <f>EXP(-LN(2)/25)*EB148+(1-EXP(-LN(2)/25))/(LN(2)/25)*Calculateur!DW149*Calculateur!DY149*VLOOKUP('Données projet'!$B$14,Paramètres!$A$1:$I$89,3,0)*0.475*44/12</f>
        <v>8.9456168997103145</v>
      </c>
      <c r="EC149" s="21">
        <f>EXP(-LN(2)/2)*EC148+(1-EXP(-LN(2)/2))/(LN(2)/2)*DW149*DZ149*VLOOKUP('Données projet'!$B$14,Paramètres!$A$1:$I$89,3,0)*0.475*44/12</f>
        <v>3.4481185188984082E-3</v>
      </c>
      <c r="ED149" s="22">
        <f t="shared" si="126"/>
        <v>17.358336027309495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1.7053025658242404E-13</v>
      </c>
      <c r="EK149" s="17">
        <f>EJ149*VLOOKUP('Données projet'!$B$15,Paramètres!$A$1:$I$89,3,0)*VLOOKUP('Données projet'!$B$15,Paramètres!$A$1:$I$89,5,0)</f>
        <v>7.9808160080574461E-14</v>
      </c>
      <c r="EL149" s="13">
        <f t="shared" si="153"/>
        <v>1.2308384591775343E-12</v>
      </c>
      <c r="EM149" s="20">
        <f t="shared" si="127"/>
        <v>2.282709528541206E-12</v>
      </c>
      <c r="EN149" s="59">
        <f t="shared" si="128"/>
        <v>286.21154539383292</v>
      </c>
      <c r="EO149" s="59">
        <f ca="1">AVERAGE(OFFSET($EN$3,0,0,'Données projet'!$E$15+1,1))-AVERAGE(OFFSET($H$3,0,0,'Données projet'!$E$15+1,1))</f>
        <v>374.38106339726073</v>
      </c>
      <c r="EP149" s="59">
        <f t="shared" si="154"/>
        <v>296.53283288925957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108.07021722816677</v>
      </c>
      <c r="EW149" s="21">
        <f>EXP(-LN(2)/25)*EW148+(1-EXP(-LN(2)/25))/(LN(2)/25)*Calculateur!ER149*Calculateur!ET149*VLOOKUP('Données projet'!$B$15,Paramètres!$A$1:$I$89,3,0)*0.475*44/12</f>
        <v>29.631594076023791</v>
      </c>
      <c r="EX149" s="21">
        <f>EXP(-LN(2)/2)*EX148+(1-EXP(-LN(2)/2))/(LN(2)/2)*ER149*EU149*VLOOKUP('Données projet'!$B$15,Paramètres!$A$1:$I$89,3,0)*0.475*44/12</f>
        <v>0.17903420923766408</v>
      </c>
      <c r="EY149" s="22">
        <f t="shared" si="129"/>
        <v>137.88084551342823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9">
        <f t="shared" si="109"/>
        <v>1216.812881097361</v>
      </c>
      <c r="S150" s="59">
        <f ca="1">AVERAGE(OFFSET($R$3,0,0,'Données projet'!$E$9+1,1))-AVERAGE(OFFSET($H$3,0,0,'Données projet'!$E$9+1,1))</f>
        <v>681.47578137804555</v>
      </c>
      <c r="T150" s="59">
        <f t="shared" si="142"/>
        <v>300.88511065995885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1.0818439477588981E-13</v>
      </c>
      <c r="AK150" s="13">
        <f t="shared" si="143"/>
        <v>1.6104228458716316E-12</v>
      </c>
      <c r="AL150" s="20">
        <f t="shared" si="112"/>
        <v>2.9932409441277661E-12</v>
      </c>
      <c r="AM150" s="59">
        <f t="shared" si="113"/>
        <v>286.33509249265143</v>
      </c>
      <c r="AN150" s="59">
        <f ca="1">AVERAGE(OFFSET($AM$3,0,0,'Données projet'!$E$10+1,1))-AVERAGE(OFFSET($H$3,0,0,'Données projet'!$E$10+1,1))</f>
        <v>423.80243030843661</v>
      </c>
      <c r="AO150" s="59">
        <f t="shared" si="144"/>
        <v>260.29028006191834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26.943867637730218</v>
      </c>
      <c r="AV150" s="21">
        <f>EXP(-LN(2)/25)*AV149+(1-EXP(-LN(2)/25))/(LN(2)/25)*Calculateur!AQ150*Calculateur!AS150*VLOOKUP('Données projet'!$B$10,Paramètres!$A$1:$I$89,3,0)*0.475*44/12</f>
        <v>21.86530770227375</v>
      </c>
      <c r="AW150" s="21">
        <f>EXP(-LN(2)/2)*AW149+(1-EXP(-LN(2)/2))/(LN(2)/2)*AQ150*AT150*VLOOKUP('Données projet'!$B$10,Paramètres!$A$1:$I$89,3,0)*0.475*44/12</f>
        <v>5.5976799385885154E-3</v>
      </c>
      <c r="AX150" s="21">
        <f t="shared" si="114"/>
        <v>48.814773019942557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-1.3596945791505279E-13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373.61861223558259</v>
      </c>
      <c r="BJ150" s="59">
        <f t="shared" si="146"/>
        <v>277.62293009761049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40.662358893919972</v>
      </c>
      <c r="BQ150" s="21">
        <f>EXP(-LN(2)/25)*BQ149+(1-EXP(-LN(2)/25))/(LN(2)/25)*Calculateur!BL150*Calculateur!BN150*VLOOKUP('Données projet'!$B$11,Paramètres!$A$1:$I$89,3,0)*0.475*44/12</f>
        <v>8.0742601591127894</v>
      </c>
      <c r="BR150" s="21">
        <f>EXP(-LN(2)/2)*BR149+(1-EXP(-LN(2)/2))/(LN(2)/2)*BL150*BO150*VLOOKUP('Données projet'!$B$11,Paramètres!$A$1:$I$89,3,0)*0.475*44/12</f>
        <v>5.8212570924639616E-9</v>
      </c>
      <c r="BS150" s="22">
        <f t="shared" si="117"/>
        <v>48.736619058854018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8.5265128291212022E-14</v>
      </c>
      <c r="BZ150" s="13">
        <f>BY150*VLOOKUP('Données projet'!$B$12,Paramètres!$A$1:$I$89,3,0)*VLOOKUP('Données projet'!$B$12,Paramètres!$A$1:$I$89,5,0)</f>
        <v>7.4487616075202836E-14</v>
      </c>
      <c r="CA150" s="13">
        <f t="shared" si="147"/>
        <v>1.1580453144473142E-12</v>
      </c>
      <c r="CB150" s="20">
        <f t="shared" si="118"/>
        <v>2.1466615206600508E-12</v>
      </c>
      <c r="CC150" s="59">
        <f t="shared" si="119"/>
        <v>286.33509249265057</v>
      </c>
      <c r="CD150" s="59">
        <f ca="1">AVERAGE(OFFSET($CC$3,0,0,'Données projet'!$E$12+1,1))-AVERAGE(OFFSET($H$3,0,0,'Données projet'!$E$12+1,1))</f>
        <v>251.30277097589737</v>
      </c>
      <c r="CE150" s="59">
        <f t="shared" si="148"/>
        <v>224.11983819941796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5.8650995563599144</v>
      </c>
      <c r="CL150" s="21">
        <f>EXP(-LN(2)/25)*CL149+(1-EXP(-LN(2)/25))/(LN(2)/25)*Calculateur!CG150*Calculateur!CI150*VLOOKUP('Données projet'!$B$12,Paramètres!$A$1:$I$89,3,0)*0.475*44/12</f>
        <v>10.319995185461726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16.18509474182164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2.8421709430404007E-14</v>
      </c>
      <c r="CU150" s="17">
        <f>CT150*VLOOKUP('Données projet'!$B$13,Paramètres!$A$1:$I$89,3,0)*VLOOKUP('Données projet'!$B$13,Paramètres!$A$1:$I$89,5,0)</f>
        <v>2.4829205358400945E-14</v>
      </c>
      <c r="CV150" s="13">
        <f t="shared" si="149"/>
        <v>4.3867331143352915E-13</v>
      </c>
      <c r="CW150" s="20">
        <f t="shared" si="121"/>
        <v>8.0726688341261168E-13</v>
      </c>
      <c r="CX150" s="59">
        <f t="shared" si="122"/>
        <v>286.33509249264921</v>
      </c>
      <c r="CY150" s="59">
        <f ca="1">AVERAGE(OFFSET($CX$3,0,0,'Données projet'!$E$13+1,1))-AVERAGE(OFFSET($H$3,0,0,'Données projet'!$E$13+1,1))</f>
        <v>287.28439432670405</v>
      </c>
      <c r="CZ150" s="59">
        <f t="shared" si="150"/>
        <v>276.01618888357268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8.7513465545521907</v>
      </c>
      <c r="DG150" s="21">
        <f>EXP(-LN(2)/25)*DG149+(1-EXP(-LN(2)/25))/(LN(2)/25)*Calculateur!DB150*Calculateur!DD150*VLOOKUP('Données projet'!$B$13,Paramètres!$A$1:$I$89,3,0)*0.475*44/12</f>
        <v>5.6948794559188247</v>
      </c>
      <c r="DH150" s="21">
        <f>EXP(-LN(2)/2)*DH149+(1-EXP(-LN(2)/2))/(LN(2)/2)*DB150*DE150*VLOOKUP('Données projet'!$B$13,Paramètres!$A$1:$I$89,3,0)*0.475*44/12</f>
        <v>3.7410630687241013E-9</v>
      </c>
      <c r="DI150" s="22">
        <f t="shared" si="123"/>
        <v>14.446226014212078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-9.9475983006414026E-14</v>
      </c>
      <c r="DP150" s="17">
        <f>DO150*VLOOKUP('Données projet'!$B$14,Paramètres!$A$1:$I$89,3,0)*VLOOKUP('Données projet'!$B$14,Paramètres!$A$1:$I$89,5,0)</f>
        <v>-9.6213170763803652E-14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206.5245935130306</v>
      </c>
      <c r="DU150" s="59">
        <f t="shared" si="152"/>
        <v>130.57011290898546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8.2443703337410721</v>
      </c>
      <c r="EB150" s="21">
        <f>EXP(-LN(2)/25)*EB149+(1-EXP(-LN(2)/25))/(LN(2)/25)*Calculateur!DW150*Calculateur!DY150*VLOOKUP('Données projet'!$B$14,Paramètres!$A$1:$I$89,3,0)*0.475*44/12</f>
        <v>8.7009985351581882</v>
      </c>
      <c r="EC150" s="21">
        <f>EXP(-LN(2)/2)*EC149+(1-EXP(-LN(2)/2))/(LN(2)/2)*DW150*DZ150*VLOOKUP('Données projet'!$B$14,Paramètres!$A$1:$I$89,3,0)*0.475*44/12</f>
        <v>2.438187987047979E-3</v>
      </c>
      <c r="ED150" s="22">
        <f t="shared" si="126"/>
        <v>16.947807056886308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1.7053025658242404E-13</v>
      </c>
      <c r="EK150" s="17">
        <f>EJ150*VLOOKUP('Données projet'!$B$15,Paramètres!$A$1:$I$89,3,0)*VLOOKUP('Données projet'!$B$15,Paramètres!$A$1:$I$89,5,0)</f>
        <v>7.9808160080574461E-14</v>
      </c>
      <c r="EL150" s="13">
        <f t="shared" si="153"/>
        <v>1.2308384591775343E-12</v>
      </c>
      <c r="EM150" s="20">
        <f t="shared" si="127"/>
        <v>2.282709528541206E-12</v>
      </c>
      <c r="EN150" s="59">
        <f t="shared" si="128"/>
        <v>286.33509249265069</v>
      </c>
      <c r="EO150" s="59">
        <f ca="1">AVERAGE(OFFSET($EN$3,0,0,'Données projet'!$E$15+1,1))-AVERAGE(OFFSET($H$3,0,0,'Données projet'!$E$15+1,1))</f>
        <v>374.38106339726073</v>
      </c>
      <c r="EP150" s="59">
        <f t="shared" si="154"/>
        <v>296.53283288925957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105.95102618464622</v>
      </c>
      <c r="EW150" s="21">
        <f>EXP(-LN(2)/25)*EW149+(1-EXP(-LN(2)/25))/(LN(2)/25)*Calculateur!ER150*Calculateur!ET150*VLOOKUP('Données projet'!$B$15,Paramètres!$A$1:$I$89,3,0)*0.475*44/12</f>
        <v>28.821316577757113</v>
      </c>
      <c r="EX150" s="21">
        <f>EXP(-LN(2)/2)*EX149+(1-EXP(-LN(2)/2))/(LN(2)/2)*ER150*EU150*VLOOKUP('Données projet'!$B$15,Paramètres!$A$1:$I$89,3,0)*0.475*44/12</f>
        <v>0.1265963034163235</v>
      </c>
      <c r="EY150" s="22">
        <f t="shared" si="129"/>
        <v>134.89893906581966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9">
        <f t="shared" si="109"/>
        <v>1234.5947403848643</v>
      </c>
      <c r="S151" s="59">
        <f ca="1">AVERAGE(OFFSET($R$3,0,0,'Données projet'!$E$9+1,1))-AVERAGE(OFFSET($H$3,0,0,'Données projet'!$E$9+1,1))</f>
        <v>681.47578137804555</v>
      </c>
      <c r="T151" s="59">
        <f t="shared" si="142"/>
        <v>300.88511065995885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1.0818439477588981E-13</v>
      </c>
      <c r="AK151" s="13">
        <f t="shared" si="143"/>
        <v>1.6104228458716316E-12</v>
      </c>
      <c r="AL151" s="20">
        <f t="shared" si="112"/>
        <v>2.9932409441277661E-12</v>
      </c>
      <c r="AM151" s="59">
        <f t="shared" si="113"/>
        <v>286.45649632551471</v>
      </c>
      <c r="AN151" s="59">
        <f ca="1">AVERAGE(OFFSET($AM$3,0,0,'Données projet'!$E$10+1,1))-AVERAGE(OFFSET($H$3,0,0,'Données projet'!$E$10+1,1))</f>
        <v>423.80243030843661</v>
      </c>
      <c r="AO151" s="59">
        <f t="shared" si="144"/>
        <v>260.29028006191834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26.415514827490853</v>
      </c>
      <c r="AV151" s="21">
        <f>EXP(-LN(2)/25)*AV150+(1-EXP(-LN(2)/25))/(LN(2)/25)*Calculateur!AQ151*Calculateur!AS151*VLOOKUP('Données projet'!$B$10,Paramètres!$A$1:$I$89,3,0)*0.475*44/12</f>
        <v>21.267399713308517</v>
      </c>
      <c r="AW151" s="21">
        <f>EXP(-LN(2)/2)*AW150+(1-EXP(-LN(2)/2))/(LN(2)/2)*AQ151*AT151*VLOOKUP('Données projet'!$B$10,Paramètres!$A$1:$I$89,3,0)*0.475*44/12</f>
        <v>3.9581574434878362E-3</v>
      </c>
      <c r="AX151" s="21">
        <f t="shared" si="114"/>
        <v>47.686872698242858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-1.3596945791505279E-13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373.61861223558259</v>
      </c>
      <c r="BJ151" s="59">
        <f t="shared" si="146"/>
        <v>277.62293009761049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39.864994837600172</v>
      </c>
      <c r="BQ151" s="21">
        <f>EXP(-LN(2)/25)*BQ150+(1-EXP(-LN(2)/25))/(LN(2)/25)*Calculateur!BL151*Calculateur!BN151*VLOOKUP('Données projet'!$B$11,Paramètres!$A$1:$I$89,3,0)*0.475*44/12</f>
        <v>7.8534690904549622</v>
      </c>
      <c r="BR151" s="21">
        <f>EXP(-LN(2)/2)*BR150+(1-EXP(-LN(2)/2))/(LN(2)/2)*BL151*BO151*VLOOKUP('Données projet'!$B$11,Paramètres!$A$1:$I$89,3,0)*0.475*44/12</f>
        <v>4.1162503651115523E-9</v>
      </c>
      <c r="BS151" s="22">
        <f t="shared" si="117"/>
        <v>47.718463932171389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8.5265128291212022E-14</v>
      </c>
      <c r="BZ151" s="13">
        <f>BY151*VLOOKUP('Données projet'!$B$12,Paramètres!$A$1:$I$89,3,0)*VLOOKUP('Données projet'!$B$12,Paramètres!$A$1:$I$89,5,0)</f>
        <v>7.4487616075202836E-14</v>
      </c>
      <c r="CA151" s="13">
        <f t="shared" si="147"/>
        <v>1.1580453144473142E-12</v>
      </c>
      <c r="CB151" s="20">
        <f t="shared" si="118"/>
        <v>2.1466615206600508E-12</v>
      </c>
      <c r="CC151" s="59">
        <f t="shared" si="119"/>
        <v>286.45649632551385</v>
      </c>
      <c r="CD151" s="59">
        <f ca="1">AVERAGE(OFFSET($CC$3,0,0,'Données projet'!$E$12+1,1))-AVERAGE(OFFSET($H$3,0,0,'Données projet'!$E$12+1,1))</f>
        <v>251.30277097589737</v>
      </c>
      <c r="CE151" s="59">
        <f t="shared" si="148"/>
        <v>224.11983819941796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5.750088531417191</v>
      </c>
      <c r="CL151" s="21">
        <f>EXP(-LN(2)/25)*CL150+(1-EXP(-LN(2)/25))/(LN(2)/25)*Calculateur!CG151*Calculateur!CI151*VLOOKUP('Données projet'!$B$12,Paramètres!$A$1:$I$89,3,0)*0.475*44/12</f>
        <v>10.037794374410316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15.787882905827507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2.8421709430404007E-14</v>
      </c>
      <c r="CU151" s="17">
        <f>CT151*VLOOKUP('Données projet'!$B$13,Paramètres!$A$1:$I$89,3,0)*VLOOKUP('Données projet'!$B$13,Paramètres!$A$1:$I$89,5,0)</f>
        <v>2.4829205358400945E-14</v>
      </c>
      <c r="CV151" s="13">
        <f t="shared" si="149"/>
        <v>4.3867331143352915E-13</v>
      </c>
      <c r="CW151" s="20">
        <f t="shared" si="121"/>
        <v>8.0726688341261168E-13</v>
      </c>
      <c r="CX151" s="59">
        <f t="shared" si="122"/>
        <v>286.45649632551249</v>
      </c>
      <c r="CY151" s="59">
        <f ca="1">AVERAGE(OFFSET($CX$3,0,0,'Données projet'!$E$13+1,1))-AVERAGE(OFFSET($H$3,0,0,'Données projet'!$E$13+1,1))</f>
        <v>287.28439432670405</v>
      </c>
      <c r="CZ151" s="59">
        <f t="shared" si="150"/>
        <v>276.01618888357268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8.5797379864117573</v>
      </c>
      <c r="DG151" s="21">
        <f>EXP(-LN(2)/25)*DG150+(1-EXP(-LN(2)/25))/(LN(2)/25)*Calculateur!DB151*Calculateur!DD151*VLOOKUP('Données projet'!$B$13,Paramètres!$A$1:$I$89,3,0)*0.475*44/12</f>
        <v>5.5391526777160296</v>
      </c>
      <c r="DH151" s="21">
        <f>EXP(-LN(2)/2)*DH150+(1-EXP(-LN(2)/2))/(LN(2)/2)*DB151*DE151*VLOOKUP('Données projet'!$B$13,Paramètres!$A$1:$I$89,3,0)*0.475*44/12</f>
        <v>2.6453310647413672E-9</v>
      </c>
      <c r="DI151" s="22">
        <f t="shared" si="123"/>
        <v>14.118890666773117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-9.9475983006414026E-14</v>
      </c>
      <c r="DP151" s="17">
        <f>DO151*VLOOKUP('Données projet'!$B$14,Paramètres!$A$1:$I$89,3,0)*VLOOKUP('Données projet'!$B$14,Paramètres!$A$1:$I$89,5,0)</f>
        <v>-9.6213170763803652E-14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206.5245935130306</v>
      </c>
      <c r="DU151" s="59">
        <f t="shared" si="152"/>
        <v>130.57011290898546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8.0827032600657827</v>
      </c>
      <c r="EB151" s="21">
        <f>EXP(-LN(2)/25)*EB150+(1-EXP(-LN(2)/25))/(LN(2)/25)*Calculateur!DW151*Calculateur!DY151*VLOOKUP('Données projet'!$B$14,Paramètres!$A$1:$I$89,3,0)*0.475*44/12</f>
        <v>8.4630692726486618</v>
      </c>
      <c r="EC151" s="21">
        <f>EXP(-LN(2)/2)*EC150+(1-EXP(-LN(2)/2))/(LN(2)/2)*DW151*DZ151*VLOOKUP('Données projet'!$B$14,Paramètres!$A$1:$I$89,3,0)*0.475*44/12</f>
        <v>1.7240592594492041E-3</v>
      </c>
      <c r="ED151" s="22">
        <f t="shared" si="126"/>
        <v>16.547496591973893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1.7053025658242404E-13</v>
      </c>
      <c r="EK151" s="17">
        <f>EJ151*VLOOKUP('Données projet'!$B$15,Paramètres!$A$1:$I$89,3,0)*VLOOKUP('Données projet'!$B$15,Paramètres!$A$1:$I$89,5,0)</f>
        <v>7.9808160080574461E-14</v>
      </c>
      <c r="EL151" s="13">
        <f t="shared" si="153"/>
        <v>1.2308384591775343E-12</v>
      </c>
      <c r="EM151" s="20">
        <f t="shared" si="127"/>
        <v>2.282709528541206E-12</v>
      </c>
      <c r="EN151" s="59">
        <f t="shared" si="128"/>
        <v>286.45649632551397</v>
      </c>
      <c r="EO151" s="59">
        <f ca="1">AVERAGE(OFFSET($EN$3,0,0,'Données projet'!$E$15+1,1))-AVERAGE(OFFSET($H$3,0,0,'Données projet'!$E$15+1,1))</f>
        <v>374.38106339726073</v>
      </c>
      <c r="EP151" s="59">
        <f t="shared" si="154"/>
        <v>296.53283288925957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103.87339118491022</v>
      </c>
      <c r="EW151" s="21">
        <f>EXP(-LN(2)/25)*EW150+(1-EXP(-LN(2)/25))/(LN(2)/25)*Calculateur!ER151*Calculateur!ET151*VLOOKUP('Données projet'!$B$15,Paramètres!$A$1:$I$89,3,0)*0.475*44/12</f>
        <v>28.033196160291176</v>
      </c>
      <c r="EX151" s="21">
        <f>EXP(-LN(2)/2)*EX150+(1-EXP(-LN(2)/2))/(LN(2)/2)*ER151*EU151*VLOOKUP('Données projet'!$B$15,Paramètres!$A$1:$I$89,3,0)*0.475*44/12</f>
        <v>8.9517104618832041E-2</v>
      </c>
      <c r="EY151" s="22">
        <f t="shared" si="129"/>
        <v>131.99610444982022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9">
        <f t="shared" si="109"/>
        <v>1252.367965504357</v>
      </c>
      <c r="S152" s="59">
        <f ca="1">AVERAGE(OFFSET($R$3,0,0,'Données projet'!$E$9+1,1))-AVERAGE(OFFSET($H$3,0,0,'Données projet'!$E$9+1,1))</f>
        <v>681.47578137804555</v>
      </c>
      <c r="T152" s="59">
        <f t="shared" si="142"/>
        <v>300.88511065995885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1.0818439477588981E-13</v>
      </c>
      <c r="AK152" s="13">
        <f t="shared" si="143"/>
        <v>1.6104228458716316E-12</v>
      </c>
      <c r="AL152" s="20">
        <f t="shared" si="112"/>
        <v>2.9932409441277661E-12</v>
      </c>
      <c r="AM152" s="59">
        <f t="shared" si="113"/>
        <v>286.57579407329609</v>
      </c>
      <c r="AN152" s="59">
        <f ca="1">AVERAGE(OFFSET($AM$3,0,0,'Données projet'!$E$10+1,1))-AVERAGE(OFFSET($H$3,0,0,'Données projet'!$E$10+1,1))</f>
        <v>423.80243030843661</v>
      </c>
      <c r="AO152" s="59">
        <f t="shared" si="144"/>
        <v>260.29028006191834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25.897522693596887</v>
      </c>
      <c r="AV152" s="21">
        <f>EXP(-LN(2)/25)*AV151+(1-EXP(-LN(2)/25))/(LN(2)/25)*Calculateur!AQ152*Calculateur!AS152*VLOOKUP('Données projet'!$B$10,Paramètres!$A$1:$I$89,3,0)*0.475*44/12</f>
        <v>20.685841549744151</v>
      </c>
      <c r="AW152" s="21">
        <f>EXP(-LN(2)/2)*AW151+(1-EXP(-LN(2)/2))/(LN(2)/2)*AQ152*AT152*VLOOKUP('Données projet'!$B$10,Paramètres!$A$1:$I$89,3,0)*0.475*44/12</f>
        <v>2.7988399692942577E-3</v>
      </c>
      <c r="AX152" s="21">
        <f t="shared" si="114"/>
        <v>46.586163083310332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-1.3596945791505279E-13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373.61861223558259</v>
      </c>
      <c r="BJ152" s="59">
        <f t="shared" si="146"/>
        <v>277.62293009761049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39.083266604080755</v>
      </c>
      <c r="BQ152" s="21">
        <f>EXP(-LN(2)/25)*BQ151+(1-EXP(-LN(2)/25))/(LN(2)/25)*Calculateur!BL152*Calculateur!BN152*VLOOKUP('Données projet'!$B$11,Paramètres!$A$1:$I$89,3,0)*0.475*44/12</f>
        <v>7.6387155651804814</v>
      </c>
      <c r="BR152" s="21">
        <f>EXP(-LN(2)/2)*BR151+(1-EXP(-LN(2)/2))/(LN(2)/2)*BL152*BO152*VLOOKUP('Données projet'!$B$11,Paramètres!$A$1:$I$89,3,0)*0.475*44/12</f>
        <v>2.9106285462319808E-9</v>
      </c>
      <c r="BS152" s="22">
        <f t="shared" si="117"/>
        <v>46.72198217217187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8.5265128291212022E-14</v>
      </c>
      <c r="BZ152" s="13">
        <f>BY152*VLOOKUP('Données projet'!$B$12,Paramètres!$A$1:$I$89,3,0)*VLOOKUP('Données projet'!$B$12,Paramètres!$A$1:$I$89,5,0)</f>
        <v>7.4487616075202836E-14</v>
      </c>
      <c r="CA152" s="13">
        <f t="shared" si="147"/>
        <v>1.1580453144473142E-12</v>
      </c>
      <c r="CB152" s="20">
        <f t="shared" si="118"/>
        <v>2.1466615206600508E-12</v>
      </c>
      <c r="CC152" s="59">
        <f t="shared" si="119"/>
        <v>286.57579407329524</v>
      </c>
      <c r="CD152" s="59">
        <f ca="1">AVERAGE(OFFSET($CC$3,0,0,'Données projet'!$E$12+1,1))-AVERAGE(OFFSET($H$3,0,0,'Données projet'!$E$12+1,1))</f>
        <v>251.30277097589737</v>
      </c>
      <c r="CE152" s="59">
        <f t="shared" si="148"/>
        <v>224.11983819941796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5.6373328025237956</v>
      </c>
      <c r="CL152" s="21">
        <f>EXP(-LN(2)/25)*CL151+(1-EXP(-LN(2)/25))/(LN(2)/25)*Calculateur!CG152*Calculateur!CI152*VLOOKUP('Données projet'!$B$12,Paramètres!$A$1:$I$89,3,0)*0.475*44/12</f>
        <v>9.7633103593774013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15.400643161901197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2.8421709430404007E-14</v>
      </c>
      <c r="CU152" s="17">
        <f>CT152*VLOOKUP('Données projet'!$B$13,Paramètres!$A$1:$I$89,3,0)*VLOOKUP('Données projet'!$B$13,Paramètres!$A$1:$I$89,5,0)</f>
        <v>2.4829205358400945E-14</v>
      </c>
      <c r="CV152" s="13">
        <f t="shared" si="149"/>
        <v>4.3867331143352915E-13</v>
      </c>
      <c r="CW152" s="20">
        <f t="shared" si="121"/>
        <v>8.0726688341261168E-13</v>
      </c>
      <c r="CX152" s="59">
        <f t="shared" si="122"/>
        <v>286.57579407329388</v>
      </c>
      <c r="CY152" s="59">
        <f ca="1">AVERAGE(OFFSET($CX$3,0,0,'Données projet'!$E$13+1,1))-AVERAGE(OFFSET($H$3,0,0,'Données projet'!$E$13+1,1))</f>
        <v>287.28439432670405</v>
      </c>
      <c r="CZ152" s="59">
        <f t="shared" si="150"/>
        <v>276.01618888357268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8.4114945576216673</v>
      </c>
      <c r="DG152" s="21">
        <f>EXP(-LN(2)/25)*DG151+(1-EXP(-LN(2)/25))/(LN(2)/25)*Calculateur!DB152*Calculateur!DD152*VLOOKUP('Données projet'!$B$13,Paramètres!$A$1:$I$89,3,0)*0.475*44/12</f>
        <v>5.3876842564525056</v>
      </c>
      <c r="DH152" s="21">
        <f>EXP(-LN(2)/2)*DH151+(1-EXP(-LN(2)/2))/(LN(2)/2)*DB152*DE152*VLOOKUP('Données projet'!$B$13,Paramètres!$A$1:$I$89,3,0)*0.475*44/12</f>
        <v>1.8705315343620507E-9</v>
      </c>
      <c r="DI152" s="22">
        <f t="shared" si="123"/>
        <v>13.799178815944705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-9.9475983006414026E-14</v>
      </c>
      <c r="DP152" s="17">
        <f>DO152*VLOOKUP('Données projet'!$B$14,Paramètres!$A$1:$I$89,3,0)*VLOOKUP('Données projet'!$B$14,Paramètres!$A$1:$I$89,5,0)</f>
        <v>-9.6213170763803652E-14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206.5245935130306</v>
      </c>
      <c r="DU152" s="59">
        <f t="shared" si="152"/>
        <v>130.57011290898546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7.9242063790980879</v>
      </c>
      <c r="EB152" s="21">
        <f>EXP(-LN(2)/25)*EB151+(1-EXP(-LN(2)/25))/(LN(2)/25)*Calculateur!DW152*Calculateur!DY152*VLOOKUP('Données projet'!$B$14,Paramètres!$A$1:$I$89,3,0)*0.475*44/12</f>
        <v>8.2316461983346141</v>
      </c>
      <c r="EC152" s="21">
        <f>EXP(-LN(2)/2)*EC151+(1-EXP(-LN(2)/2))/(LN(2)/2)*DW152*DZ152*VLOOKUP('Données projet'!$B$14,Paramètres!$A$1:$I$89,3,0)*0.475*44/12</f>
        <v>1.2190939935239895E-3</v>
      </c>
      <c r="ED152" s="22">
        <f t="shared" si="126"/>
        <v>16.157071671426227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1.7053025658242404E-13</v>
      </c>
      <c r="EK152" s="17">
        <f>EJ152*VLOOKUP('Données projet'!$B$15,Paramètres!$A$1:$I$89,3,0)*VLOOKUP('Données projet'!$B$15,Paramètres!$A$1:$I$89,5,0)</f>
        <v>7.9808160080574461E-14</v>
      </c>
      <c r="EL152" s="13">
        <f t="shared" si="153"/>
        <v>1.2308384591775343E-12</v>
      </c>
      <c r="EM152" s="20">
        <f t="shared" si="127"/>
        <v>2.282709528541206E-12</v>
      </c>
      <c r="EN152" s="59">
        <f t="shared" si="128"/>
        <v>286.57579407329536</v>
      </c>
      <c r="EO152" s="59">
        <f ca="1">AVERAGE(OFFSET($EN$3,0,0,'Données projet'!$E$15+1,1))-AVERAGE(OFFSET($H$3,0,0,'Données projet'!$E$15+1,1))</f>
        <v>374.38106339726073</v>
      </c>
      <c r="EP152" s="59">
        <f t="shared" si="154"/>
        <v>296.53283288925957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101.83649734028681</v>
      </c>
      <c r="EW152" s="21">
        <f>EXP(-LN(2)/25)*EW151+(1-EXP(-LN(2)/25))/(LN(2)/25)*Calculateur!ER152*Calculateur!ET152*VLOOKUP('Données projet'!$B$15,Paramètres!$A$1:$I$89,3,0)*0.475*44/12</f>
        <v>27.266626937086297</v>
      </c>
      <c r="EX152" s="21">
        <f>EXP(-LN(2)/2)*EX151+(1-EXP(-LN(2)/2))/(LN(2)/2)*ER152*EU152*VLOOKUP('Données projet'!$B$15,Paramètres!$A$1:$I$89,3,0)*0.475*44/12</f>
        <v>6.3298151708161748E-2</v>
      </c>
      <c r="EY152" s="22">
        <f t="shared" si="129"/>
        <v>129.16642242908125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9">
        <f t="shared" si="109"/>
        <v>1270.1327289762246</v>
      </c>
      <c r="S153" s="59">
        <f ca="1">AVERAGE(OFFSET($R$3,0,0,'Données projet'!$E$9+1,1))-AVERAGE(OFFSET($H$3,0,0,'Données projet'!$E$9+1,1))</f>
        <v>681.47578137804555</v>
      </c>
      <c r="T153" s="59">
        <f t="shared" si="142"/>
        <v>300.88511065995885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1.0818439477588981E-13</v>
      </c>
      <c r="AK153" s="13">
        <f t="shared" si="143"/>
        <v>1.6104228458716316E-12</v>
      </c>
      <c r="AL153" s="20">
        <f t="shared" si="112"/>
        <v>2.9932409441277661E-12</v>
      </c>
      <c r="AM153" s="59">
        <f t="shared" si="113"/>
        <v>286.69302227186336</v>
      </c>
      <c r="AN153" s="59">
        <f ca="1">AVERAGE(OFFSET($AM$3,0,0,'Données projet'!$E$10+1,1))-AVERAGE(OFFSET($H$3,0,0,'Données projet'!$E$10+1,1))</f>
        <v>423.80243030843661</v>
      </c>
      <c r="AO153" s="59">
        <f t="shared" si="144"/>
        <v>260.29028006191834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25.389688069504576</v>
      </c>
      <c r="AV153" s="21">
        <f>EXP(-LN(2)/25)*AV152+(1-EXP(-LN(2)/25))/(LN(2)/25)*Calculateur!AQ153*Calculateur!AS153*VLOOKUP('Données projet'!$B$10,Paramètres!$A$1:$I$89,3,0)*0.475*44/12</f>
        <v>20.120186124745267</v>
      </c>
      <c r="AW153" s="21">
        <f>EXP(-LN(2)/2)*AW152+(1-EXP(-LN(2)/2))/(LN(2)/2)*AQ153*AT153*VLOOKUP('Données projet'!$B$10,Paramètres!$A$1:$I$89,3,0)*0.475*44/12</f>
        <v>1.9790787217439181E-3</v>
      </c>
      <c r="AX153" s="21">
        <f t="shared" si="114"/>
        <v>45.511853272971592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-1.3596945791505279E-13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373.61861223558259</v>
      </c>
      <c r="BJ153" s="59">
        <f t="shared" si="146"/>
        <v>277.62293009761049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38.316867584413508</v>
      </c>
      <c r="BQ153" s="21">
        <f>EXP(-LN(2)/25)*BQ152+(1-EXP(-LN(2)/25))/(LN(2)/25)*Calculateur!BL153*Calculateur!BN153*VLOOKUP('Données projet'!$B$11,Paramètres!$A$1:$I$89,3,0)*0.475*44/12</f>
        <v>7.4298344863480281</v>
      </c>
      <c r="BR153" s="21">
        <f>EXP(-LN(2)/2)*BR152+(1-EXP(-LN(2)/2))/(LN(2)/2)*BL153*BO153*VLOOKUP('Données projet'!$B$11,Paramètres!$A$1:$I$89,3,0)*0.475*44/12</f>
        <v>2.0581251825557762E-9</v>
      </c>
      <c r="BS153" s="22">
        <f t="shared" si="117"/>
        <v>45.746702072819659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8.5265128291212022E-14</v>
      </c>
      <c r="BZ153" s="13">
        <f>BY153*VLOOKUP('Données projet'!$B$12,Paramètres!$A$1:$I$89,3,0)*VLOOKUP('Données projet'!$B$12,Paramètres!$A$1:$I$89,5,0)</f>
        <v>7.4487616075202836E-14</v>
      </c>
      <c r="CA153" s="13">
        <f t="shared" si="147"/>
        <v>1.1580453144473142E-12</v>
      </c>
      <c r="CB153" s="20">
        <f t="shared" si="118"/>
        <v>2.1466615206600508E-12</v>
      </c>
      <c r="CC153" s="59">
        <f t="shared" si="119"/>
        <v>286.6930222718625</v>
      </c>
      <c r="CD153" s="59">
        <f ca="1">AVERAGE(OFFSET($CC$3,0,0,'Données projet'!$E$12+1,1))-AVERAGE(OFFSET($H$3,0,0,'Données projet'!$E$12+1,1))</f>
        <v>251.30277097589737</v>
      </c>
      <c r="CE153" s="59">
        <f t="shared" si="148"/>
        <v>224.11983819941796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5.5267881446997968</v>
      </c>
      <c r="CL153" s="21">
        <f>EXP(-LN(2)/25)*CL152+(1-EXP(-LN(2)/25))/(LN(2)/25)*Calculateur!CG153*Calculateur!CI153*VLOOKUP('Données projet'!$B$12,Paramètres!$A$1:$I$89,3,0)*0.475*44/12</f>
        <v>9.4963321241700491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15.023120268869846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2.8421709430404007E-14</v>
      </c>
      <c r="CU153" s="17">
        <f>CT153*VLOOKUP('Données projet'!$B$13,Paramètres!$A$1:$I$89,3,0)*VLOOKUP('Données projet'!$B$13,Paramètres!$A$1:$I$89,5,0)</f>
        <v>2.4829205358400945E-14</v>
      </c>
      <c r="CV153" s="13">
        <f t="shared" si="149"/>
        <v>4.3867331143352915E-13</v>
      </c>
      <c r="CW153" s="20">
        <f t="shared" si="121"/>
        <v>8.0726688341261168E-13</v>
      </c>
      <c r="CX153" s="59">
        <f t="shared" si="122"/>
        <v>286.69302227186114</v>
      </c>
      <c r="CY153" s="59">
        <f ca="1">AVERAGE(OFFSET($CX$3,0,0,'Données projet'!$E$13+1,1))-AVERAGE(OFFSET($H$3,0,0,'Données projet'!$E$13+1,1))</f>
        <v>287.28439432670405</v>
      </c>
      <c r="CZ153" s="59">
        <f t="shared" si="150"/>
        <v>276.01618888357268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8.2465502798517907</v>
      </c>
      <c r="DG153" s="21">
        <f>EXP(-LN(2)/25)*DG152+(1-EXP(-LN(2)/25))/(LN(2)/25)*Calculateur!DB153*Calculateur!DD153*VLOOKUP('Données projet'!$B$13,Paramètres!$A$1:$I$89,3,0)*0.475*44/12</f>
        <v>5.2403577471338103</v>
      </c>
      <c r="DH153" s="21">
        <f>EXP(-LN(2)/2)*DH152+(1-EXP(-LN(2)/2))/(LN(2)/2)*DB153*DE153*VLOOKUP('Données projet'!$B$13,Paramètres!$A$1:$I$89,3,0)*0.475*44/12</f>
        <v>1.3226655323706836E-9</v>
      </c>
      <c r="DI153" s="22">
        <f t="shared" si="123"/>
        <v>13.486908028308267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-9.9475983006414026E-14</v>
      </c>
      <c r="DP153" s="17">
        <f>DO153*VLOOKUP('Données projet'!$B$14,Paramètres!$A$1:$I$89,3,0)*VLOOKUP('Données projet'!$B$14,Paramètres!$A$1:$I$89,5,0)</f>
        <v>-9.6213170763803652E-14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206.5245935130306</v>
      </c>
      <c r="DU153" s="59">
        <f t="shared" si="152"/>
        <v>130.57011290898546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7.7688175252926177</v>
      </c>
      <c r="EB153" s="21">
        <f>EXP(-LN(2)/25)*EB152+(1-EXP(-LN(2)/25))/(LN(2)/25)*Calculateur!DW153*Calculateur!DY153*VLOOKUP('Données projet'!$B$14,Paramètres!$A$1:$I$89,3,0)*0.475*44/12</f>
        <v>8.0065514001576936</v>
      </c>
      <c r="EC153" s="21">
        <f>EXP(-LN(2)/2)*EC152+(1-EXP(-LN(2)/2))/(LN(2)/2)*DW153*DZ153*VLOOKUP('Données projet'!$B$14,Paramètres!$A$1:$I$89,3,0)*0.475*44/12</f>
        <v>8.6202962972460205E-4</v>
      </c>
      <c r="ED153" s="22">
        <f t="shared" si="126"/>
        <v>15.776230955080036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1.7053025658242404E-13</v>
      </c>
      <c r="EK153" s="17">
        <f>EJ153*VLOOKUP('Données projet'!$B$15,Paramètres!$A$1:$I$89,3,0)*VLOOKUP('Données projet'!$B$15,Paramètres!$A$1:$I$89,5,0)</f>
        <v>7.9808160080574461E-14</v>
      </c>
      <c r="EL153" s="13">
        <f t="shared" si="153"/>
        <v>1.2308384591775343E-12</v>
      </c>
      <c r="EM153" s="20">
        <f t="shared" si="127"/>
        <v>2.282709528541206E-12</v>
      </c>
      <c r="EN153" s="59">
        <f t="shared" si="128"/>
        <v>286.69302227186262</v>
      </c>
      <c r="EO153" s="59">
        <f ca="1">AVERAGE(OFFSET($EN$3,0,0,'Données projet'!$E$15+1,1))-AVERAGE(OFFSET($H$3,0,0,'Données projet'!$E$15+1,1))</f>
        <v>374.38106339726073</v>
      </c>
      <c r="EP153" s="59">
        <f t="shared" si="154"/>
        <v>296.53283288925957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99.8395457415739</v>
      </c>
      <c r="EW153" s="21">
        <f>EXP(-LN(2)/25)*EW152+(1-EXP(-LN(2)/25))/(LN(2)/25)*Calculateur!ER153*Calculateur!ET153*VLOOKUP('Données projet'!$B$15,Paramètres!$A$1:$I$89,3,0)*0.475*44/12</f>
        <v>26.52101958960208</v>
      </c>
      <c r="EX153" s="21">
        <f>EXP(-LN(2)/2)*EX152+(1-EXP(-LN(2)/2))/(LN(2)/2)*ER153*EU153*VLOOKUP('Données projet'!$B$15,Paramètres!$A$1:$I$89,3,0)*0.475*44/12</f>
        <v>4.4758552309416021E-2</v>
      </c>
      <c r="EY153" s="22">
        <f t="shared" si="129"/>
        <v>126.40532388348539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9">
        <f t="shared" si="109"/>
        <v>1287.8891974151597</v>
      </c>
      <c r="S154" s="59">
        <f ca="1">AVERAGE(OFFSET($R$3,0,0,'Données projet'!$E$9+1,1))-AVERAGE(OFFSET($H$3,0,0,'Données projet'!$E$9+1,1))</f>
        <v>681.47578137804555</v>
      </c>
      <c r="T154" s="59">
        <f t="shared" si="142"/>
        <v>300.88511065995885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1.0818439477588981E-13</v>
      </c>
      <c r="AK154" s="13">
        <f t="shared" ref="AK154:AK203" si="164">EXP(-1.0587+0.8836*LN(AJ154)+0.284)</f>
        <v>1.6104228458716316E-12</v>
      </c>
      <c r="AL154" s="20">
        <f t="shared" ref="AL154:AL203" si="165">(AJ154+AK154)*0.475*44/12</f>
        <v>2.9932409441277661E-12</v>
      </c>
      <c r="AM154" s="59">
        <f t="shared" si="113"/>
        <v>286.80821682326837</v>
      </c>
      <c r="AN154" s="59">
        <f ca="1">AVERAGE(OFFSET($AM$3,0,0,'Données projet'!$E$10+1,1))-AVERAGE(OFFSET($H$3,0,0,'Données projet'!$E$10+1,1))</f>
        <v>423.80243030843661</v>
      </c>
      <c r="AO154" s="59">
        <f t="shared" si="144"/>
        <v>260.29028006191834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24.891811772642182</v>
      </c>
      <c r="AV154" s="21">
        <f>EXP(-LN(2)/25)*AV153+(1-EXP(-LN(2)/25))/(LN(2)/25)*Calculateur!AQ154*Calculateur!AS154*VLOOKUP('Données projet'!$B$10,Paramètres!$A$1:$I$89,3,0)*0.475*44/12</f>
        <v>19.569998577089503</v>
      </c>
      <c r="AW154" s="21">
        <f>EXP(-LN(2)/2)*AW153+(1-EXP(-LN(2)/2))/(LN(2)/2)*AQ154*AT154*VLOOKUP('Données projet'!$B$10,Paramètres!$A$1:$I$89,3,0)*0.475*44/12</f>
        <v>1.3994199846471289E-3</v>
      </c>
      <c r="AX154" s="21">
        <f t="shared" ref="AX154:AX203" si="166">SUM(AU154:AW154)</f>
        <v>44.463209769716329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-1.3596945791505279E-13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373.61861223558259</v>
      </c>
      <c r="BJ154" s="59">
        <f t="shared" si="146"/>
        <v>277.62293009761049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37.565497182064696</v>
      </c>
      <c r="BQ154" s="21">
        <f>EXP(-LN(2)/25)*BQ153+(1-EXP(-LN(2)/25))/(LN(2)/25)*Calculateur!BL154*Calculateur!BN154*VLOOKUP('Données projet'!$B$11,Paramètres!$A$1:$I$89,3,0)*0.475*44/12</f>
        <v>7.2266652716008268</v>
      </c>
      <c r="BR154" s="21">
        <f>EXP(-LN(2)/2)*BR153+(1-EXP(-LN(2)/2))/(LN(2)/2)*BL154*BO154*VLOOKUP('Données projet'!$B$11,Paramètres!$A$1:$I$89,3,0)*0.475*44/12</f>
        <v>1.4553142731159904E-9</v>
      </c>
      <c r="BS154" s="22">
        <f t="shared" ref="BS154:BS203" si="169">SUM(BP154:BR154)</f>
        <v>44.792162455120838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8.5265128291212022E-14</v>
      </c>
      <c r="BZ154" s="13">
        <f>BY154*VLOOKUP('Données projet'!$B$12,Paramètres!$A$1:$I$89,3,0)*VLOOKUP('Données projet'!$B$12,Paramètres!$A$1:$I$89,5,0)</f>
        <v>7.4487616075202836E-14</v>
      </c>
      <c r="CA154" s="13">
        <f t="shared" ref="CA154:CA203" si="170">EXP(-1.0587+0.8836*LN(BZ154)+0.284)</f>
        <v>1.1580453144473142E-12</v>
      </c>
      <c r="CB154" s="20">
        <f t="shared" ref="CB154:CB203" si="171">(BZ154+CA154)*0.475*44/12</f>
        <v>2.1466615206600508E-12</v>
      </c>
      <c r="CC154" s="59">
        <f t="shared" si="119"/>
        <v>286.80821682326751</v>
      </c>
      <c r="CD154" s="59">
        <f ca="1">AVERAGE(OFFSET($CC$3,0,0,'Données projet'!$E$12+1,1))-AVERAGE(OFFSET($H$3,0,0,'Données projet'!$E$12+1,1))</f>
        <v>251.30277097589737</v>
      </c>
      <c r="CE154" s="59">
        <f t="shared" si="148"/>
        <v>224.11983819941796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5.4184112001901426</v>
      </c>
      <c r="CL154" s="21">
        <f>EXP(-LN(2)/25)*CL153+(1-EXP(-LN(2)/25))/(LN(2)/25)*Calculateur!CG154*Calculateur!CI154*VLOOKUP('Données projet'!$B$12,Paramètres!$A$1:$I$89,3,0)*0.475*44/12</f>
        <v>9.2366544228442162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14.655065623034359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2.8421709430404007E-14</v>
      </c>
      <c r="CU154" s="17">
        <f>CT154*VLOOKUP('Données projet'!$B$13,Paramètres!$A$1:$I$89,3,0)*VLOOKUP('Données projet'!$B$13,Paramètres!$A$1:$I$89,5,0)</f>
        <v>2.4829205358400945E-14</v>
      </c>
      <c r="CV154" s="13">
        <f t="shared" ref="CV154:CV203" si="173">EXP(-1.0587+0.8836*LN(CU154)+0.284)</f>
        <v>4.3867331143352915E-13</v>
      </c>
      <c r="CW154" s="20">
        <f t="shared" ref="CW154:CW203" si="174">(CU154+CV154)*0.475*44/12</f>
        <v>8.0726688341261168E-13</v>
      </c>
      <c r="CX154" s="59">
        <f t="shared" si="122"/>
        <v>286.80821682326615</v>
      </c>
      <c r="CY154" s="59">
        <f ca="1">AVERAGE(OFFSET($CX$3,0,0,'Données projet'!$E$13+1,1))-AVERAGE(OFFSET($H$3,0,0,'Données projet'!$E$13+1,1))</f>
        <v>287.28439432670405</v>
      </c>
      <c r="CZ154" s="59">
        <f t="shared" si="150"/>
        <v>276.01618888357268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8.0848404587629066</v>
      </c>
      <c r="DG154" s="21">
        <f>EXP(-LN(2)/25)*DG153+(1-EXP(-LN(2)/25))/(LN(2)/25)*Calculateur!DB154*Calculateur!DD154*VLOOKUP('Données projet'!$B$13,Paramètres!$A$1:$I$89,3,0)*0.475*44/12</f>
        <v>5.0970598889599996</v>
      </c>
      <c r="DH154" s="21">
        <f>EXP(-LN(2)/2)*DH153+(1-EXP(-LN(2)/2))/(LN(2)/2)*DB154*DE154*VLOOKUP('Données projet'!$B$13,Paramètres!$A$1:$I$89,3,0)*0.475*44/12</f>
        <v>9.3526576718102533E-10</v>
      </c>
      <c r="DI154" s="22">
        <f t="shared" ref="DI154:DI203" si="175">SUM(DF154:DH154)</f>
        <v>13.181900348658171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-9.9475983006414026E-14</v>
      </c>
      <c r="DP154" s="17">
        <f>DO154*VLOOKUP('Données projet'!$B$14,Paramètres!$A$1:$I$89,3,0)*VLOOKUP('Données projet'!$B$14,Paramètres!$A$1:$I$89,5,0)</f>
        <v>-9.6213170763803652E-14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206.5245935130306</v>
      </c>
      <c r="DU154" s="59">
        <f t="shared" si="152"/>
        <v>130.57011290898546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7.6164757521324304</v>
      </c>
      <c r="EB154" s="21">
        <f>EXP(-LN(2)/25)*EB153+(1-EXP(-LN(2)/25))/(LN(2)/25)*Calculateur!DW154*Calculateur!DY154*VLOOKUP('Données projet'!$B$14,Paramètres!$A$1:$I$89,3,0)*0.475*44/12</f>
        <v>7.7876118310741429</v>
      </c>
      <c r="EC154" s="21">
        <f>EXP(-LN(2)/2)*EC153+(1-EXP(-LN(2)/2))/(LN(2)/2)*DW154*DZ154*VLOOKUP('Données projet'!$B$14,Paramètres!$A$1:$I$89,3,0)*0.475*44/12</f>
        <v>6.0954699676199476E-4</v>
      </c>
      <c r="ED154" s="22">
        <f t="shared" ref="ED154:ED203" si="178">SUM(EA154:EC154)</f>
        <v>15.404697130203335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1.7053025658242404E-13</v>
      </c>
      <c r="EK154" s="17">
        <f>EJ154*VLOOKUP('Données projet'!$B$15,Paramètres!$A$1:$I$89,3,0)*VLOOKUP('Données projet'!$B$15,Paramètres!$A$1:$I$89,5,0)</f>
        <v>7.9808160080574461E-14</v>
      </c>
      <c r="EL154" s="13">
        <f t="shared" ref="EL154:EL203" si="179">EXP(-1.0587+0.8836*LN(EK154)+0.284)</f>
        <v>1.2308384591775343E-12</v>
      </c>
      <c r="EM154" s="20">
        <f t="shared" ref="EM154:EM203" si="180">(EK154+EL154)*0.475*44/12</f>
        <v>2.282709528541206E-12</v>
      </c>
      <c r="EN154" s="59">
        <f t="shared" si="128"/>
        <v>286.80821682326763</v>
      </c>
      <c r="EO154" s="59">
        <f ca="1">AVERAGE(OFFSET($EN$3,0,0,'Données projet'!$E$15+1,1))-AVERAGE(OFFSET($H$3,0,0,'Données projet'!$E$15+1,1))</f>
        <v>374.38106339726073</v>
      </c>
      <c r="EP154" s="59">
        <f t="shared" si="154"/>
        <v>296.53283288925957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97.881753145691548</v>
      </c>
      <c r="EW154" s="21">
        <f>EXP(-LN(2)/25)*EW153+(1-EXP(-LN(2)/25))/(LN(2)/25)*Calculateur!ER154*Calculateur!ET154*VLOOKUP('Données projet'!$B$15,Paramètres!$A$1:$I$89,3,0)*0.475*44/12</f>
        <v>25.795800914244605</v>
      </c>
      <c r="EX154" s="21">
        <f>EXP(-LN(2)/2)*EX153+(1-EXP(-LN(2)/2))/(LN(2)/2)*ER154*EU154*VLOOKUP('Données projet'!$B$15,Paramètres!$A$1:$I$89,3,0)*0.475*44/12</f>
        <v>3.1649075854080874E-2</v>
      </c>
      <c r="EY154" s="22">
        <f t="shared" ref="EY154:EY203" si="181">SUM(EV154:EX154)</f>
        <v>123.70920313579023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9">
        <f t="shared" si="109"/>
        <v>1305.63753183671</v>
      </c>
      <c r="S155" s="59">
        <f ca="1">AVERAGE(OFFSET($R$3,0,0,'Données projet'!$E$9+1,1))-AVERAGE(OFFSET($H$3,0,0,'Données projet'!$E$9+1,1))</f>
        <v>681.47578137804555</v>
      </c>
      <c r="T155" s="59">
        <f t="shared" si="142"/>
        <v>300.88511065995885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1.0818439477588981E-13</v>
      </c>
      <c r="AK155" s="13">
        <f t="shared" si="164"/>
        <v>1.6104228458716316E-12</v>
      </c>
      <c r="AL155" s="20">
        <f t="shared" si="165"/>
        <v>2.9932409441277661E-12</v>
      </c>
      <c r="AM155" s="59">
        <f t="shared" si="113"/>
        <v>286.92141300674291</v>
      </c>
      <c r="AN155" s="59">
        <f ca="1">AVERAGE(OFFSET($AM$3,0,0,'Données projet'!$E$10+1,1))-AVERAGE(OFFSET($H$3,0,0,'Données projet'!$E$10+1,1))</f>
        <v>423.80243030843661</v>
      </c>
      <c r="AO155" s="59">
        <f t="shared" si="144"/>
        <v>260.29028006191834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24.403698526286703</v>
      </c>
      <c r="AV155" s="21">
        <f>EXP(-LN(2)/25)*AV154+(1-EXP(-LN(2)/25))/(LN(2)/25)*Calculateur!AQ155*Calculateur!AS155*VLOOKUP('Données projet'!$B$10,Paramètres!$A$1:$I$89,3,0)*0.475*44/12</f>
        <v>19.034855936857493</v>
      </c>
      <c r="AW155" s="21">
        <f>EXP(-LN(2)/2)*AW154+(1-EXP(-LN(2)/2))/(LN(2)/2)*AQ155*AT155*VLOOKUP('Données projet'!$B$10,Paramètres!$A$1:$I$89,3,0)*0.475*44/12</f>
        <v>9.8953936087195905E-4</v>
      </c>
      <c r="AX155" s="21">
        <f t="shared" si="166"/>
        <v>43.439544002505073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-1.3596945791505279E-13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373.61861223558259</v>
      </c>
      <c r="BJ155" s="59">
        <f t="shared" si="146"/>
        <v>277.62293009761049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36.828860695015251</v>
      </c>
      <c r="BQ155" s="21">
        <f>EXP(-LN(2)/25)*BQ154+(1-EXP(-LN(2)/25))/(LN(2)/25)*Calculateur!BL155*Calculateur!BN155*VLOOKUP('Données projet'!$B$11,Paramètres!$A$1:$I$89,3,0)*0.475*44/12</f>
        <v>7.0290517297150927</v>
      </c>
      <c r="BR155" s="21">
        <f>EXP(-LN(2)/2)*BR154+(1-EXP(-LN(2)/2))/(LN(2)/2)*BL155*BO155*VLOOKUP('Données projet'!$B$11,Paramètres!$A$1:$I$89,3,0)*0.475*44/12</f>
        <v>1.0290625912778881E-9</v>
      </c>
      <c r="BS155" s="22">
        <f t="shared" si="169"/>
        <v>43.857912425759409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8.5265128291212022E-14</v>
      </c>
      <c r="BZ155" s="13">
        <f>BY155*VLOOKUP('Données projet'!$B$12,Paramètres!$A$1:$I$89,3,0)*VLOOKUP('Données projet'!$B$12,Paramètres!$A$1:$I$89,5,0)</f>
        <v>7.4487616075202836E-14</v>
      </c>
      <c r="CA155" s="13">
        <f t="shared" si="170"/>
        <v>1.1580453144473142E-12</v>
      </c>
      <c r="CB155" s="20">
        <f t="shared" si="171"/>
        <v>2.1466615206600508E-12</v>
      </c>
      <c r="CC155" s="59">
        <f t="shared" si="119"/>
        <v>286.92141300674206</v>
      </c>
      <c r="CD155" s="59">
        <f ca="1">AVERAGE(OFFSET($CC$3,0,0,'Données projet'!$E$12+1,1))-AVERAGE(OFFSET($H$3,0,0,'Données projet'!$E$12+1,1))</f>
        <v>251.30277097589737</v>
      </c>
      <c r="CE155" s="59">
        <f t="shared" si="148"/>
        <v>224.11983819941796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5.312159461458914</v>
      </c>
      <c r="CL155" s="21">
        <f>EXP(-LN(2)/25)*CL154+(1-EXP(-LN(2)/25))/(LN(2)/25)*Calculateur!CG155*Calculateur!CI155*VLOOKUP('Données projet'!$B$12,Paramètres!$A$1:$I$89,3,0)*0.475*44/12</f>
        <v>8.9840776219169953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14.29623708337591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2.8421709430404007E-14</v>
      </c>
      <c r="CU155" s="17">
        <f>CT155*VLOOKUP('Données projet'!$B$13,Paramètres!$A$1:$I$89,3,0)*VLOOKUP('Données projet'!$B$13,Paramètres!$A$1:$I$89,5,0)</f>
        <v>2.4829205358400945E-14</v>
      </c>
      <c r="CV155" s="13">
        <f t="shared" si="173"/>
        <v>4.3867331143352915E-13</v>
      </c>
      <c r="CW155" s="20">
        <f t="shared" si="174"/>
        <v>8.0726688341261168E-13</v>
      </c>
      <c r="CX155" s="59">
        <f t="shared" si="122"/>
        <v>286.92141300674069</v>
      </c>
      <c r="CY155" s="59">
        <f ca="1">AVERAGE(OFFSET($CX$3,0,0,'Données projet'!$E$13+1,1))-AVERAGE(OFFSET($H$3,0,0,'Données projet'!$E$13+1,1))</f>
        <v>287.28439432670405</v>
      </c>
      <c r="CZ155" s="59">
        <f t="shared" si="150"/>
        <v>276.01618888357268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7.9263016686323242</v>
      </c>
      <c r="DG155" s="21">
        <f>EXP(-LN(2)/25)*DG154+(1-EXP(-LN(2)/25))/(LN(2)/25)*Calculateur!DB155*Calculateur!DD155*VLOOKUP('Données projet'!$B$13,Paramètres!$A$1:$I$89,3,0)*0.475*44/12</f>
        <v>4.9576805182536585</v>
      </c>
      <c r="DH155" s="21">
        <f>EXP(-LN(2)/2)*DH154+(1-EXP(-LN(2)/2))/(LN(2)/2)*DB155*DE155*VLOOKUP('Données projet'!$B$13,Paramètres!$A$1:$I$89,3,0)*0.475*44/12</f>
        <v>6.613327661853418E-10</v>
      </c>
      <c r="DI155" s="22">
        <f t="shared" si="175"/>
        <v>12.883982187547316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-9.9475983006414026E-14</v>
      </c>
      <c r="DP155" s="17">
        <f>DO155*VLOOKUP('Données projet'!$B$14,Paramètres!$A$1:$I$89,3,0)*VLOOKUP('Données projet'!$B$14,Paramètres!$A$1:$I$89,5,0)</f>
        <v>-9.6213170763803652E-14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206.5245935130306</v>
      </c>
      <c r="DU155" s="59">
        <f t="shared" si="152"/>
        <v>130.57011290898546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7.4671213082246082</v>
      </c>
      <c r="EB155" s="21">
        <f>EXP(-LN(2)/25)*EB154+(1-EXP(-LN(2)/25))/(LN(2)/25)*Calculateur!DW155*Calculateur!DY155*VLOOKUP('Données projet'!$B$14,Paramètres!$A$1:$I$89,3,0)*0.475*44/12</f>
        <v>7.5746591760207131</v>
      </c>
      <c r="EC155" s="21">
        <f>EXP(-LN(2)/2)*EC154+(1-EXP(-LN(2)/2))/(LN(2)/2)*DW155*DZ155*VLOOKUP('Données projet'!$B$14,Paramètres!$A$1:$I$89,3,0)*0.475*44/12</f>
        <v>4.3101481486230102E-4</v>
      </c>
      <c r="ED155" s="22">
        <f t="shared" si="178"/>
        <v>15.042211499060185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1.7053025658242404E-13</v>
      </c>
      <c r="EK155" s="17">
        <f>EJ155*VLOOKUP('Données projet'!$B$15,Paramètres!$A$1:$I$89,3,0)*VLOOKUP('Données projet'!$B$15,Paramètres!$A$1:$I$89,5,0)</f>
        <v>7.9808160080574461E-14</v>
      </c>
      <c r="EL155" s="13">
        <f t="shared" si="179"/>
        <v>1.2308384591775343E-12</v>
      </c>
      <c r="EM155" s="20">
        <f t="shared" si="180"/>
        <v>2.282709528541206E-12</v>
      </c>
      <c r="EN155" s="59">
        <f t="shared" si="128"/>
        <v>286.92141300674217</v>
      </c>
      <c r="EO155" s="59">
        <f ca="1">AVERAGE(OFFSET($EN$3,0,0,'Données projet'!$E$15+1,1))-AVERAGE(OFFSET($H$3,0,0,'Données projet'!$E$15+1,1))</f>
        <v>374.38106339726073</v>
      </c>
      <c r="EP155" s="59">
        <f t="shared" si="154"/>
        <v>296.53283288925957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95.962351668478874</v>
      </c>
      <c r="EW155" s="21">
        <f>EXP(-LN(2)/25)*EW154+(1-EXP(-LN(2)/25))/(LN(2)/25)*Calculateur!ER155*Calculateur!ET155*VLOOKUP('Données projet'!$B$15,Paramètres!$A$1:$I$89,3,0)*0.475*44/12</f>
        <v>25.090413381702373</v>
      </c>
      <c r="EX155" s="21">
        <f>EXP(-LN(2)/2)*EX154+(1-EXP(-LN(2)/2))/(LN(2)/2)*ER155*EU155*VLOOKUP('Données projet'!$B$15,Paramètres!$A$1:$I$89,3,0)*0.475*44/12</f>
        <v>2.237927615470801E-2</v>
      </c>
      <c r="EY155" s="22">
        <f t="shared" si="181"/>
        <v>121.07514432633596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9">
        <f t="shared" si="109"/>
        <v>1323.3778879421343</v>
      </c>
      <c r="S156" s="59">
        <f ca="1">AVERAGE(OFFSET($R$3,0,0,'Données projet'!$E$9+1,1))-AVERAGE(OFFSET($H$3,0,0,'Données projet'!$E$9+1,1))</f>
        <v>681.47578137804555</v>
      </c>
      <c r="T156" s="59">
        <f t="shared" si="142"/>
        <v>300.88511065995885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1.0818439477588981E-13</v>
      </c>
      <c r="AK156" s="13">
        <f t="shared" si="164"/>
        <v>1.6104228458716316E-12</v>
      </c>
      <c r="AL156" s="20">
        <f t="shared" si="165"/>
        <v>2.9932409441277661E-12</v>
      </c>
      <c r="AM156" s="59">
        <f t="shared" si="113"/>
        <v>287.03264548950301</v>
      </c>
      <c r="AN156" s="59">
        <f ca="1">AVERAGE(OFFSET($AM$3,0,0,'Données projet'!$E$10+1,1))-AVERAGE(OFFSET($H$3,0,0,'Données projet'!$E$10+1,1))</f>
        <v>423.80243030843661</v>
      </c>
      <c r="AO156" s="59">
        <f t="shared" si="144"/>
        <v>260.29028006191834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23.925156882972573</v>
      </c>
      <c r="AV156" s="21">
        <f>EXP(-LN(2)/25)*AV155+(1-EXP(-LN(2)/25))/(LN(2)/25)*Calculateur!AQ156*Calculateur!AS156*VLOOKUP('Données projet'!$B$10,Paramètres!$A$1:$I$89,3,0)*0.475*44/12</f>
        <v>18.514346800264555</v>
      </c>
      <c r="AW156" s="21">
        <f>EXP(-LN(2)/2)*AW155+(1-EXP(-LN(2)/2))/(LN(2)/2)*AQ156*AT156*VLOOKUP('Données projet'!$B$10,Paramètres!$A$1:$I$89,3,0)*0.475*44/12</f>
        <v>6.9970999232356443E-4</v>
      </c>
      <c r="AX156" s="21">
        <f t="shared" si="166"/>
        <v>42.440203393229453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-1.3596945791505279E-13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373.61861223558259</v>
      </c>
      <c r="BJ156" s="59">
        <f t="shared" si="146"/>
        <v>277.62293009761049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36.106669200172952</v>
      </c>
      <c r="BQ156" s="21">
        <f>EXP(-LN(2)/25)*BQ155+(1-EXP(-LN(2)/25))/(LN(2)/25)*Calculateur!BL156*Calculateur!BN156*VLOOKUP('Données projet'!$B$11,Paramètres!$A$1:$I$89,3,0)*0.475*44/12</f>
        <v>6.836841940524268</v>
      </c>
      <c r="BR156" s="21">
        <f>EXP(-LN(2)/2)*BR155+(1-EXP(-LN(2)/2))/(LN(2)/2)*BL156*BO156*VLOOKUP('Données projet'!$B$11,Paramètres!$A$1:$I$89,3,0)*0.475*44/12</f>
        <v>7.2765713655799521E-10</v>
      </c>
      <c r="BS156" s="22">
        <f t="shared" si="169"/>
        <v>42.943511141424878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8.5265128291212022E-14</v>
      </c>
      <c r="BZ156" s="13">
        <f>BY156*VLOOKUP('Données projet'!$B$12,Paramètres!$A$1:$I$89,3,0)*VLOOKUP('Données projet'!$B$12,Paramètres!$A$1:$I$89,5,0)</f>
        <v>7.4487616075202836E-14</v>
      </c>
      <c r="CA156" s="13">
        <f t="shared" si="170"/>
        <v>1.1580453144473142E-12</v>
      </c>
      <c r="CB156" s="20">
        <f t="shared" si="171"/>
        <v>2.1466615206600508E-12</v>
      </c>
      <c r="CC156" s="59">
        <f t="shared" si="119"/>
        <v>287.03264548950216</v>
      </c>
      <c r="CD156" s="59">
        <f ca="1">AVERAGE(OFFSET($CC$3,0,0,'Données projet'!$E$12+1,1))-AVERAGE(OFFSET($H$3,0,0,'Données projet'!$E$12+1,1))</f>
        <v>251.30277097589737</v>
      </c>
      <c r="CE156" s="59">
        <f t="shared" si="148"/>
        <v>224.11983819941796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5.2079912545170428</v>
      </c>
      <c r="CL156" s="21">
        <f>EXP(-LN(2)/25)*CL155+(1-EXP(-LN(2)/25))/(LN(2)/25)*Calculateur!CG156*Calculateur!CI156*VLOOKUP('Données projet'!$B$12,Paramètres!$A$1:$I$89,3,0)*0.475*44/12</f>
        <v>8.7384075468935656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13.946398801410609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2.8421709430404007E-14</v>
      </c>
      <c r="CU156" s="17">
        <f>CT156*VLOOKUP('Données projet'!$B$13,Paramètres!$A$1:$I$89,3,0)*VLOOKUP('Données projet'!$B$13,Paramètres!$A$1:$I$89,5,0)</f>
        <v>2.4829205358400945E-14</v>
      </c>
      <c r="CV156" s="13">
        <f t="shared" si="173"/>
        <v>4.3867331143352915E-13</v>
      </c>
      <c r="CW156" s="20">
        <f t="shared" si="174"/>
        <v>8.0726688341261168E-13</v>
      </c>
      <c r="CX156" s="59">
        <f t="shared" si="122"/>
        <v>287.03264548950079</v>
      </c>
      <c r="CY156" s="59">
        <f ca="1">AVERAGE(OFFSET($CX$3,0,0,'Données projet'!$E$13+1,1))-AVERAGE(OFFSET($H$3,0,0,'Données projet'!$E$13+1,1))</f>
        <v>287.28439432670405</v>
      </c>
      <c r="CZ156" s="59">
        <f t="shared" si="150"/>
        <v>276.01618888357268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7.770871727477088</v>
      </c>
      <c r="DG156" s="21">
        <f>EXP(-LN(2)/25)*DG155+(1-EXP(-LN(2)/25))/(LN(2)/25)*Calculateur!DB156*Calculateur!DD156*VLOOKUP('Données projet'!$B$13,Paramètres!$A$1:$I$89,3,0)*0.475*44/12</f>
        <v>4.8221124837689251</v>
      </c>
      <c r="DH156" s="21">
        <f>EXP(-LN(2)/2)*DH155+(1-EXP(-LN(2)/2))/(LN(2)/2)*DB156*DE156*VLOOKUP('Données projet'!$B$13,Paramètres!$A$1:$I$89,3,0)*0.475*44/12</f>
        <v>4.6763288359051267E-10</v>
      </c>
      <c r="DI156" s="22">
        <f t="shared" si="175"/>
        <v>12.592984211713645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-9.9475983006414026E-14</v>
      </c>
      <c r="DP156" s="17">
        <f>DO156*VLOOKUP('Données projet'!$B$14,Paramètres!$A$1:$I$89,3,0)*VLOOKUP('Données projet'!$B$14,Paramètres!$A$1:$I$89,5,0)</f>
        <v>-9.6213170763803652E-14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206.5245935130306</v>
      </c>
      <c r="DU156" s="59">
        <f t="shared" si="152"/>
        <v>130.57011290898546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7.3206956138646024</v>
      </c>
      <c r="EB156" s="21">
        <f>EXP(-LN(2)/25)*EB155+(1-EXP(-LN(2)/25))/(LN(2)/25)*Calculateur!DW156*Calculateur!DY156*VLOOKUP('Données projet'!$B$14,Paramètres!$A$1:$I$89,3,0)*0.475*44/12</f>
        <v>7.3675297225184124</v>
      </c>
      <c r="EC156" s="21">
        <f>EXP(-LN(2)/2)*EC155+(1-EXP(-LN(2)/2))/(LN(2)/2)*DW156*DZ156*VLOOKUP('Données projet'!$B$14,Paramètres!$A$1:$I$89,3,0)*0.475*44/12</f>
        <v>3.0477349838099738E-4</v>
      </c>
      <c r="ED156" s="22">
        <f t="shared" si="178"/>
        <v>14.688530109881397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1.7053025658242404E-13</v>
      </c>
      <c r="EK156" s="17">
        <f>EJ156*VLOOKUP('Données projet'!$B$15,Paramètres!$A$1:$I$89,3,0)*VLOOKUP('Données projet'!$B$15,Paramètres!$A$1:$I$89,5,0)</f>
        <v>7.9808160080574461E-14</v>
      </c>
      <c r="EL156" s="13">
        <f t="shared" si="179"/>
        <v>1.2308384591775343E-12</v>
      </c>
      <c r="EM156" s="20">
        <f t="shared" si="180"/>
        <v>2.282709528541206E-12</v>
      </c>
      <c r="EN156" s="59">
        <f t="shared" si="128"/>
        <v>287.03264548950227</v>
      </c>
      <c r="EO156" s="59">
        <f ca="1">AVERAGE(OFFSET($EN$3,0,0,'Données projet'!$E$15+1,1))-AVERAGE(OFFSET($H$3,0,0,'Données projet'!$E$15+1,1))</f>
        <v>374.38106339726073</v>
      </c>
      <c r="EP156" s="59">
        <f t="shared" si="154"/>
        <v>296.53283288925957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94.080588483515044</v>
      </c>
      <c r="EW156" s="21">
        <f>EXP(-LN(2)/25)*EW155+(1-EXP(-LN(2)/25))/(LN(2)/25)*Calculateur!ER156*Calculateur!ET156*VLOOKUP('Données projet'!$B$15,Paramètres!$A$1:$I$89,3,0)*0.475*44/12</f>
        <v>24.404314708332226</v>
      </c>
      <c r="EX156" s="21">
        <f>EXP(-LN(2)/2)*EX155+(1-EXP(-LN(2)/2))/(LN(2)/2)*ER156*EU156*VLOOKUP('Données projet'!$B$15,Paramètres!$A$1:$I$89,3,0)*0.475*44/12</f>
        <v>1.5824537927040437E-2</v>
      </c>
      <c r="EY156" s="22">
        <f t="shared" si="181"/>
        <v>118.50072772977431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9">
        <f t="shared" si="109"/>
        <v>1341.1104163834841</v>
      </c>
      <c r="S157" s="59">
        <f ca="1">AVERAGE(OFFSET($R$3,0,0,'Données projet'!$E$9+1,1))-AVERAGE(OFFSET($H$3,0,0,'Données projet'!$E$9+1,1))</f>
        <v>681.47578137804555</v>
      </c>
      <c r="T157" s="59">
        <f t="shared" si="142"/>
        <v>300.88511065995885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1.0818439477588981E-13</v>
      </c>
      <c r="AK157" s="13">
        <f t="shared" si="164"/>
        <v>1.6104228458716316E-12</v>
      </c>
      <c r="AL157" s="20">
        <f t="shared" si="165"/>
        <v>2.9932409441277661E-12</v>
      </c>
      <c r="AM157" s="59">
        <f t="shared" si="113"/>
        <v>287.14194833736576</v>
      </c>
      <c r="AN157" s="59">
        <f ca="1">AVERAGE(OFFSET($AM$3,0,0,'Données projet'!$E$10+1,1))-AVERAGE(OFFSET($H$3,0,0,'Données projet'!$E$10+1,1))</f>
        <v>423.80243030843661</v>
      </c>
      <c r="AO157" s="59">
        <f t="shared" si="144"/>
        <v>260.29028006191834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23.455999149402249</v>
      </c>
      <c r="AV157" s="21">
        <f>EXP(-LN(2)/25)*AV156+(1-EXP(-LN(2)/25))/(LN(2)/25)*Calculateur!AQ157*Calculateur!AS157*VLOOKUP('Données projet'!$B$10,Paramètres!$A$1:$I$89,3,0)*0.475*44/12</f>
        <v>18.008071013384136</v>
      </c>
      <c r="AW157" s="21">
        <f>EXP(-LN(2)/2)*AW156+(1-EXP(-LN(2)/2))/(LN(2)/2)*AQ157*AT157*VLOOKUP('Données projet'!$B$10,Paramètres!$A$1:$I$89,3,0)*0.475*44/12</f>
        <v>4.9476968043597953E-4</v>
      </c>
      <c r="AX157" s="21">
        <f t="shared" si="166"/>
        <v>41.464564932466821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-1.3596945791505279E-13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373.61861223558259</v>
      </c>
      <c r="BJ157" s="59">
        <f t="shared" si="146"/>
        <v>277.62293009761049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35.398639440051191</v>
      </c>
      <c r="BQ157" s="21">
        <f>EXP(-LN(2)/25)*BQ156+(1-EXP(-LN(2)/25))/(LN(2)/25)*Calculateur!BL157*Calculateur!BN157*VLOOKUP('Données projet'!$B$11,Paramètres!$A$1:$I$89,3,0)*0.475*44/12</f>
        <v>6.6498881381267401</v>
      </c>
      <c r="BR157" s="21">
        <f>EXP(-LN(2)/2)*BR156+(1-EXP(-LN(2)/2))/(LN(2)/2)*BL157*BO157*VLOOKUP('Données projet'!$B$11,Paramètres!$A$1:$I$89,3,0)*0.475*44/12</f>
        <v>5.1453129563894404E-10</v>
      </c>
      <c r="BS157" s="22">
        <f t="shared" si="169"/>
        <v>42.048527578692465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8.5265128291212022E-14</v>
      </c>
      <c r="BZ157" s="13">
        <f>BY157*VLOOKUP('Données projet'!$B$12,Paramètres!$A$1:$I$89,3,0)*VLOOKUP('Données projet'!$B$12,Paramètres!$A$1:$I$89,5,0)</f>
        <v>7.4487616075202836E-14</v>
      </c>
      <c r="CA157" s="13">
        <f t="shared" si="170"/>
        <v>1.1580453144473142E-12</v>
      </c>
      <c r="CB157" s="20">
        <f t="shared" si="171"/>
        <v>2.1466615206600508E-12</v>
      </c>
      <c r="CC157" s="59">
        <f t="shared" si="119"/>
        <v>287.14194833736491</v>
      </c>
      <c r="CD157" s="59">
        <f ca="1">AVERAGE(OFFSET($CC$3,0,0,'Données projet'!$E$12+1,1))-AVERAGE(OFFSET($H$3,0,0,'Données projet'!$E$12+1,1))</f>
        <v>251.30277097589737</v>
      </c>
      <c r="CE157" s="59">
        <f t="shared" si="148"/>
        <v>224.11983819941796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5.1058657225769695</v>
      </c>
      <c r="CL157" s="21">
        <f>EXP(-LN(2)/25)*CL156+(1-EXP(-LN(2)/25))/(LN(2)/25)*Calculateur!CG157*Calculateur!CI157*VLOOKUP('Données projet'!$B$12,Paramètres!$A$1:$I$89,3,0)*0.475*44/12</f>
        <v>8.4994553329908804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13.605321055567849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2.8421709430404007E-14</v>
      </c>
      <c r="CU157" s="17">
        <f>CT157*VLOOKUP('Données projet'!$B$13,Paramètres!$A$1:$I$89,3,0)*VLOOKUP('Données projet'!$B$13,Paramètres!$A$1:$I$89,5,0)</f>
        <v>2.4829205358400945E-14</v>
      </c>
      <c r="CV157" s="13">
        <f t="shared" si="173"/>
        <v>4.3867331143352915E-13</v>
      </c>
      <c r="CW157" s="20">
        <f t="shared" si="174"/>
        <v>8.0726688341261168E-13</v>
      </c>
      <c r="CX157" s="59">
        <f t="shared" si="122"/>
        <v>287.14194833736354</v>
      </c>
      <c r="CY157" s="59">
        <f ca="1">AVERAGE(OFFSET($CX$3,0,0,'Données projet'!$E$13+1,1))-AVERAGE(OFFSET($H$3,0,0,'Données projet'!$E$13+1,1))</f>
        <v>287.28439432670405</v>
      </c>
      <c r="CZ157" s="59">
        <f t="shared" si="150"/>
        <v>276.01618888357268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7.6184896726650031</v>
      </c>
      <c r="DG157" s="21">
        <f>EXP(-LN(2)/25)*DG156+(1-EXP(-LN(2)/25))/(LN(2)/25)*Calculateur!DB157*Calculateur!DD157*VLOOKUP('Données projet'!$B$13,Paramètres!$A$1:$I$89,3,0)*0.475*44/12</f>
        <v>4.6902515643163891</v>
      </c>
      <c r="DH157" s="21">
        <f>EXP(-LN(2)/2)*DH156+(1-EXP(-LN(2)/2))/(LN(2)/2)*DB157*DE157*VLOOKUP('Données projet'!$B$13,Paramètres!$A$1:$I$89,3,0)*0.475*44/12</f>
        <v>3.306663830926709E-10</v>
      </c>
      <c r="DI157" s="22">
        <f t="shared" si="175"/>
        <v>12.308741237312059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-9.9475983006414026E-14</v>
      </c>
      <c r="DP157" s="17">
        <f>DO157*VLOOKUP('Données projet'!$B$14,Paramètres!$A$1:$I$89,3,0)*VLOOKUP('Données projet'!$B$14,Paramètres!$A$1:$I$89,5,0)</f>
        <v>-9.6213170763803652E-14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206.5245935130306</v>
      </c>
      <c r="DU157" s="59">
        <f t="shared" si="152"/>
        <v>130.57011290898546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7.177141238060142</v>
      </c>
      <c r="EB157" s="21">
        <f>EXP(-LN(2)/25)*EB156+(1-EXP(-LN(2)/25))/(LN(2)/25)*Calculateur!DW157*Calculateur!DY157*VLOOKUP('Données projet'!$B$14,Paramètres!$A$1:$I$89,3,0)*0.475*44/12</f>
        <v>7.1660642348145966</v>
      </c>
      <c r="EC157" s="21">
        <f>EXP(-LN(2)/2)*EC156+(1-EXP(-LN(2)/2))/(LN(2)/2)*DW157*DZ157*VLOOKUP('Données projet'!$B$14,Paramètres!$A$1:$I$89,3,0)*0.475*44/12</f>
        <v>2.1550740743115051E-4</v>
      </c>
      <c r="ED157" s="22">
        <f t="shared" si="178"/>
        <v>14.34342098028217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1.7053025658242404E-13</v>
      </c>
      <c r="EK157" s="17">
        <f>EJ157*VLOOKUP('Données projet'!$B$15,Paramètres!$A$1:$I$89,3,0)*VLOOKUP('Données projet'!$B$15,Paramètres!$A$1:$I$89,5,0)</f>
        <v>7.9808160080574461E-14</v>
      </c>
      <c r="EL157" s="13">
        <f t="shared" si="179"/>
        <v>1.2308384591775343E-12</v>
      </c>
      <c r="EM157" s="20">
        <f t="shared" si="180"/>
        <v>2.282709528541206E-12</v>
      </c>
      <c r="EN157" s="59">
        <f t="shared" si="128"/>
        <v>287.14194833736502</v>
      </c>
      <c r="EO157" s="59">
        <f ca="1">AVERAGE(OFFSET($EN$3,0,0,'Données projet'!$E$15+1,1))-AVERAGE(OFFSET($H$3,0,0,'Données projet'!$E$15+1,1))</f>
        <v>374.38106339726073</v>
      </c>
      <c r="EP157" s="59">
        <f t="shared" si="154"/>
        <v>296.53283288925957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92.235725526846139</v>
      </c>
      <c r="EW157" s="21">
        <f>EXP(-LN(2)/25)*EW156+(1-EXP(-LN(2)/25))/(LN(2)/25)*Calculateur!ER157*Calculateur!ET157*VLOOKUP('Données projet'!$B$15,Paramètres!$A$1:$I$89,3,0)*0.475*44/12</f>
        <v>23.736977439265747</v>
      </c>
      <c r="EX157" s="21">
        <f>EXP(-LN(2)/2)*EX156+(1-EXP(-LN(2)/2))/(LN(2)/2)*ER157*EU157*VLOOKUP('Données projet'!$B$15,Paramètres!$A$1:$I$89,3,0)*0.475*44/12</f>
        <v>1.1189638077354005E-2</v>
      </c>
      <c r="EY157" s="22">
        <f t="shared" si="181"/>
        <v>115.98389260418924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9">
        <f t="shared" si="109"/>
        <v>1243.800260086452</v>
      </c>
      <c r="S158" s="59">
        <f ca="1">AVERAGE(OFFSET($R$3,0,0,'Données projet'!$E$9+1,1))-AVERAGE(OFFSET($H$3,0,0,'Données projet'!$E$9+1,1))</f>
        <v>681.47578137804555</v>
      </c>
      <c r="T158" s="59">
        <f t="shared" si="142"/>
        <v>300.88511065995885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1.0818439477588981E-13</v>
      </c>
      <c r="AK158" s="13">
        <f t="shared" si="164"/>
        <v>1.6104228458716316E-12</v>
      </c>
      <c r="AL158" s="20">
        <f t="shared" si="165"/>
        <v>2.9932409441277661E-12</v>
      </c>
      <c r="AM158" s="59">
        <f t="shared" si="113"/>
        <v>287.24935502518269</v>
      </c>
      <c r="AN158" s="59">
        <f ca="1">AVERAGE(OFFSET($AM$3,0,0,'Données projet'!$E$10+1,1))-AVERAGE(OFFSET($H$3,0,0,'Données projet'!$E$10+1,1))</f>
        <v>423.80243030843661</v>
      </c>
      <c r="AO158" s="59">
        <f t="shared" si="144"/>
        <v>260.29028006191834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22.996041312829277</v>
      </c>
      <c r="AV158" s="21">
        <f>EXP(-LN(2)/25)*AV157+(1-EXP(-LN(2)/25))/(LN(2)/25)*Calculateur!AQ158*Calculateur!AS158*VLOOKUP('Données projet'!$B$10,Paramètres!$A$1:$I$89,3,0)*0.475*44/12</f>
        <v>17.515639364519849</v>
      </c>
      <c r="AW158" s="21">
        <f>EXP(-LN(2)/2)*AW157+(1-EXP(-LN(2)/2))/(LN(2)/2)*AQ158*AT158*VLOOKUP('Données projet'!$B$10,Paramètres!$A$1:$I$89,3,0)*0.475*44/12</f>
        <v>3.4985499616178221E-4</v>
      </c>
      <c r="AX158" s="21">
        <f t="shared" si="166"/>
        <v>40.512030532345285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-1.3596945791505279E-13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373.61861223558259</v>
      </c>
      <c r="BJ158" s="59">
        <f t="shared" si="146"/>
        <v>277.62293009761049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34.704493711669905</v>
      </c>
      <c r="BQ158" s="21">
        <f>EXP(-LN(2)/25)*BQ157+(1-EXP(-LN(2)/25))/(LN(2)/25)*Calculateur!BL158*Calculateur!BN158*VLOOKUP('Données projet'!$B$11,Paramètres!$A$1:$I$89,3,0)*0.475*44/12</f>
        <v>6.4680465972872456</v>
      </c>
      <c r="BR158" s="21">
        <f>EXP(-LN(2)/2)*BR157+(1-EXP(-LN(2)/2))/(LN(2)/2)*BL158*BO158*VLOOKUP('Données projet'!$B$11,Paramètres!$A$1:$I$89,3,0)*0.475*44/12</f>
        <v>3.638285682789976E-10</v>
      </c>
      <c r="BS158" s="22">
        <f t="shared" si="169"/>
        <v>41.172540309320979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8.5265128291212022E-14</v>
      </c>
      <c r="BZ158" s="13">
        <f>BY158*VLOOKUP('Données projet'!$B$12,Paramètres!$A$1:$I$89,3,0)*VLOOKUP('Données projet'!$B$12,Paramètres!$A$1:$I$89,5,0)</f>
        <v>7.4487616075202836E-14</v>
      </c>
      <c r="CA158" s="13">
        <f t="shared" si="170"/>
        <v>1.1580453144473142E-12</v>
      </c>
      <c r="CB158" s="20">
        <f t="shared" si="171"/>
        <v>2.1466615206600508E-12</v>
      </c>
      <c r="CC158" s="59">
        <f t="shared" si="119"/>
        <v>287.24935502518184</v>
      </c>
      <c r="CD158" s="59">
        <f ca="1">AVERAGE(OFFSET($CC$3,0,0,'Données projet'!$E$12+1,1))-AVERAGE(OFFSET($H$3,0,0,'Données projet'!$E$12+1,1))</f>
        <v>251.30277097589737</v>
      </c>
      <c r="CE158" s="59">
        <f t="shared" si="148"/>
        <v>224.11983819941796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5.005742810027817</v>
      </c>
      <c r="CL158" s="21">
        <f>EXP(-LN(2)/25)*CL157+(1-EXP(-LN(2)/25))/(LN(2)/25)*Calculateur!CG158*Calculateur!CI158*VLOOKUP('Données projet'!$B$12,Paramètres!$A$1:$I$89,3,0)*0.475*44/12</f>
        <v>8.2670372799433149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13.272780089971132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2.8421709430404007E-14</v>
      </c>
      <c r="CU158" s="17">
        <f>CT158*VLOOKUP('Données projet'!$B$13,Paramètres!$A$1:$I$89,3,0)*VLOOKUP('Données projet'!$B$13,Paramètres!$A$1:$I$89,5,0)</f>
        <v>2.4829205358400945E-14</v>
      </c>
      <c r="CV158" s="13">
        <f t="shared" si="173"/>
        <v>4.3867331143352915E-13</v>
      </c>
      <c r="CW158" s="20">
        <f t="shared" si="174"/>
        <v>8.0726688341261168E-13</v>
      </c>
      <c r="CX158" s="59">
        <f t="shared" si="122"/>
        <v>287.24935502518048</v>
      </c>
      <c r="CY158" s="59">
        <f ca="1">AVERAGE(OFFSET($CX$3,0,0,'Données projet'!$E$13+1,1))-AVERAGE(OFFSET($H$3,0,0,'Données projet'!$E$13+1,1))</f>
        <v>287.28439432670405</v>
      </c>
      <c r="CZ158" s="59">
        <f t="shared" si="150"/>
        <v>276.01618888357268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7.4690957370039071</v>
      </c>
      <c r="DG158" s="21">
        <f>EXP(-LN(2)/25)*DG157+(1-EXP(-LN(2)/25))/(LN(2)/25)*Calculateur!DB158*Calculateur!DD158*VLOOKUP('Données projet'!$B$13,Paramètres!$A$1:$I$89,3,0)*0.475*44/12</f>
        <v>4.561996388640547</v>
      </c>
      <c r="DH158" s="21">
        <f>EXP(-LN(2)/2)*DH157+(1-EXP(-LN(2)/2))/(LN(2)/2)*DB158*DE158*VLOOKUP('Données projet'!$B$13,Paramètres!$A$1:$I$89,3,0)*0.475*44/12</f>
        <v>2.3381644179525633E-10</v>
      </c>
      <c r="DI158" s="22">
        <f t="shared" si="175"/>
        <v>12.031092125878271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-9.9475983006414026E-14</v>
      </c>
      <c r="DP158" s="17">
        <f>DO158*VLOOKUP('Données projet'!$B$14,Paramètres!$A$1:$I$89,3,0)*VLOOKUP('Données projet'!$B$14,Paramètres!$A$1:$I$89,5,0)</f>
        <v>-9.6213170763803652E-14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206.5245935130306</v>
      </c>
      <c r="DU158" s="59">
        <f t="shared" si="152"/>
        <v>130.57011290898546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7.0364018760056837</v>
      </c>
      <c r="EB158" s="21">
        <f>EXP(-LN(2)/25)*EB157+(1-EXP(-LN(2)/25))/(LN(2)/25)*Calculateur!DW158*Calculateur!DY158*VLOOKUP('Données projet'!$B$14,Paramètres!$A$1:$I$89,3,0)*0.475*44/12</f>
        <v>6.9701078314666516</v>
      </c>
      <c r="EC158" s="21">
        <f>EXP(-LN(2)/2)*EC157+(1-EXP(-LN(2)/2))/(LN(2)/2)*DW158*DZ158*VLOOKUP('Données projet'!$B$14,Paramètres!$A$1:$I$89,3,0)*0.475*44/12</f>
        <v>1.5238674919049869E-4</v>
      </c>
      <c r="ED158" s="22">
        <f t="shared" si="178"/>
        <v>14.006662094221527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1.7053025658242404E-13</v>
      </c>
      <c r="EK158" s="17">
        <f>EJ158*VLOOKUP('Données projet'!$B$15,Paramètres!$A$1:$I$89,3,0)*VLOOKUP('Données projet'!$B$15,Paramètres!$A$1:$I$89,5,0)</f>
        <v>7.9808160080574461E-14</v>
      </c>
      <c r="EL158" s="13">
        <f t="shared" si="179"/>
        <v>1.2308384591775343E-12</v>
      </c>
      <c r="EM158" s="20">
        <f t="shared" si="180"/>
        <v>2.282709528541206E-12</v>
      </c>
      <c r="EN158" s="59">
        <f t="shared" si="128"/>
        <v>287.24935502518196</v>
      </c>
      <c r="EO158" s="59">
        <f ca="1">AVERAGE(OFFSET($EN$3,0,0,'Données projet'!$E$15+1,1))-AVERAGE(OFFSET($H$3,0,0,'Données projet'!$E$15+1,1))</f>
        <v>374.38106339726073</v>
      </c>
      <c r="EP158" s="59">
        <f t="shared" si="154"/>
        <v>296.53283288925957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90.427039207502219</v>
      </c>
      <c r="EW158" s="21">
        <f>EXP(-LN(2)/25)*EW157+(1-EXP(-LN(2)/25))/(LN(2)/25)*Calculateur!ER158*Calculateur!ET158*VLOOKUP('Données projet'!$B$15,Paramètres!$A$1:$I$89,3,0)*0.475*44/12</f>
        <v>23.087888542915632</v>
      </c>
      <c r="EX158" s="21">
        <f>EXP(-LN(2)/2)*EX157+(1-EXP(-LN(2)/2))/(LN(2)/2)*ER158*EU158*VLOOKUP('Données projet'!$B$15,Paramètres!$A$1:$I$89,3,0)*0.475*44/12</f>
        <v>7.9122689635202186E-3</v>
      </c>
      <c r="EY158" s="22">
        <f t="shared" si="181"/>
        <v>113.52284001938138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9">
        <f t="shared" si="109"/>
        <v>1261.8459118763585</v>
      </c>
      <c r="S159" s="59">
        <f ca="1">AVERAGE(OFFSET($R$3,0,0,'Données projet'!$E$9+1,1))-AVERAGE(OFFSET($H$3,0,0,'Données projet'!$E$9+1,1))</f>
        <v>681.47578137804555</v>
      </c>
      <c r="T159" s="59">
        <f t="shared" si="142"/>
        <v>300.88511065995885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1.0818439477588981E-13</v>
      </c>
      <c r="AK159" s="13">
        <f t="shared" si="164"/>
        <v>1.6104228458716316E-12</v>
      </c>
      <c r="AL159" s="20">
        <f t="shared" si="165"/>
        <v>2.9932409441277661E-12</v>
      </c>
      <c r="AM159" s="59">
        <f t="shared" si="113"/>
        <v>287.35489844709133</v>
      </c>
      <c r="AN159" s="59">
        <f ca="1">AVERAGE(OFFSET($AM$3,0,0,'Données projet'!$E$10+1,1))-AVERAGE(OFFSET($H$3,0,0,'Données projet'!$E$10+1,1))</f>
        <v>423.80243030843661</v>
      </c>
      <c r="AO159" s="59">
        <f t="shared" si="144"/>
        <v>260.29028006191834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22.545102968884922</v>
      </c>
      <c r="AV159" s="21">
        <f>EXP(-LN(2)/25)*AV158+(1-EXP(-LN(2)/25))/(LN(2)/25)*Calculateur!AQ159*Calculateur!AS159*VLOOKUP('Données projet'!$B$10,Paramètres!$A$1:$I$89,3,0)*0.475*44/12</f>
        <v>17.036673284989611</v>
      </c>
      <c r="AW159" s="21">
        <f>EXP(-LN(2)/2)*AW158+(1-EXP(-LN(2)/2))/(LN(2)/2)*AQ159*AT159*VLOOKUP('Données projet'!$B$10,Paramètres!$A$1:$I$89,3,0)*0.475*44/12</f>
        <v>2.4738484021798976E-4</v>
      </c>
      <c r="AX159" s="21">
        <f t="shared" si="166"/>
        <v>39.582023638714752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-1.3596945791505279E-13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373.61861223558259</v>
      </c>
      <c r="BJ159" s="59">
        <f t="shared" si="146"/>
        <v>277.62293009761049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34.02395975763509</v>
      </c>
      <c r="BQ159" s="21">
        <f>EXP(-LN(2)/25)*BQ158+(1-EXP(-LN(2)/25))/(LN(2)/25)*Calculateur!BL159*Calculateur!BN159*VLOOKUP('Données projet'!$B$11,Paramètres!$A$1:$I$89,3,0)*0.475*44/12</f>
        <v>6.2911775229446381</v>
      </c>
      <c r="BR159" s="21">
        <f>EXP(-LN(2)/2)*BR158+(1-EXP(-LN(2)/2))/(LN(2)/2)*BL159*BO159*VLOOKUP('Données projet'!$B$11,Paramètres!$A$1:$I$89,3,0)*0.475*44/12</f>
        <v>2.5726564781947202E-10</v>
      </c>
      <c r="BS159" s="22">
        <f t="shared" si="169"/>
        <v>40.315137280836993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8.5265128291212022E-14</v>
      </c>
      <c r="BZ159" s="13">
        <f>BY159*VLOOKUP('Données projet'!$B$12,Paramètres!$A$1:$I$89,3,0)*VLOOKUP('Données projet'!$B$12,Paramètres!$A$1:$I$89,5,0)</f>
        <v>7.4487616075202836E-14</v>
      </c>
      <c r="CA159" s="13">
        <f t="shared" si="170"/>
        <v>1.1580453144473142E-12</v>
      </c>
      <c r="CB159" s="20">
        <f t="shared" si="171"/>
        <v>2.1466615206600508E-12</v>
      </c>
      <c r="CC159" s="59">
        <f t="shared" si="119"/>
        <v>287.35489844709048</v>
      </c>
      <c r="CD159" s="59">
        <f ca="1">AVERAGE(OFFSET($CC$3,0,0,'Données projet'!$E$12+1,1))-AVERAGE(OFFSET($H$3,0,0,'Données projet'!$E$12+1,1))</f>
        <v>251.30277097589737</v>
      </c>
      <c r="CE159" s="59">
        <f t="shared" si="148"/>
        <v>224.11983819941796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4.9075832467248066</v>
      </c>
      <c r="CL159" s="21">
        <f>EXP(-LN(2)/25)*CL158+(1-EXP(-LN(2)/25))/(LN(2)/25)*Calculateur!CG159*Calculateur!CI159*VLOOKUP('Données projet'!$B$12,Paramètres!$A$1:$I$89,3,0)*0.475*44/12</f>
        <v>8.0409747107786682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12.948557957503475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2.8421709430404007E-14</v>
      </c>
      <c r="CU159" s="17">
        <f>CT159*VLOOKUP('Données projet'!$B$13,Paramètres!$A$1:$I$89,3,0)*VLOOKUP('Données projet'!$B$13,Paramètres!$A$1:$I$89,5,0)</f>
        <v>2.4829205358400945E-14</v>
      </c>
      <c r="CV159" s="13">
        <f t="shared" si="173"/>
        <v>4.3867331143352915E-13</v>
      </c>
      <c r="CW159" s="20">
        <f t="shared" si="174"/>
        <v>8.0726688341261168E-13</v>
      </c>
      <c r="CX159" s="59">
        <f t="shared" si="122"/>
        <v>287.35489844708911</v>
      </c>
      <c r="CY159" s="59">
        <f ca="1">AVERAGE(OFFSET($CX$3,0,0,'Données projet'!$E$13+1,1))-AVERAGE(OFFSET($H$3,0,0,'Données projet'!$E$13+1,1))</f>
        <v>287.28439432670405</v>
      </c>
      <c r="CZ159" s="59">
        <f t="shared" si="150"/>
        <v>276.01618888357268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7.3226313252998221</v>
      </c>
      <c r="DG159" s="21">
        <f>EXP(-LN(2)/25)*DG158+(1-EXP(-LN(2)/25))/(LN(2)/25)*Calculateur!DB159*Calculateur!DD159*VLOOKUP('Données projet'!$B$13,Paramètres!$A$1:$I$89,3,0)*0.475*44/12</f>
        <v>4.4372483574882073</v>
      </c>
      <c r="DH159" s="21">
        <f>EXP(-LN(2)/2)*DH158+(1-EXP(-LN(2)/2))/(LN(2)/2)*DB159*DE159*VLOOKUP('Données projet'!$B$13,Paramètres!$A$1:$I$89,3,0)*0.475*44/12</f>
        <v>1.6533319154633545E-10</v>
      </c>
      <c r="DI159" s="22">
        <f t="shared" si="175"/>
        <v>11.759879682953361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-9.9475983006414026E-14</v>
      </c>
      <c r="DP159" s="17">
        <f>DO159*VLOOKUP('Données projet'!$B$14,Paramètres!$A$1:$I$89,3,0)*VLOOKUP('Données projet'!$B$14,Paramètres!$A$1:$I$89,5,0)</f>
        <v>-9.6213170763803652E-14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206.5245935130306</v>
      </c>
      <c r="DU159" s="59">
        <f t="shared" si="152"/>
        <v>130.57011290898546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6.8984223269985785</v>
      </c>
      <c r="EB159" s="21">
        <f>EXP(-LN(2)/25)*EB158+(1-EXP(-LN(2)/25))/(LN(2)/25)*Calculateur!DW159*Calculateur!DY159*VLOOKUP('Données projet'!$B$14,Paramètres!$A$1:$I$89,3,0)*0.475*44/12</f>
        <v>6.7795098662731554</v>
      </c>
      <c r="EC159" s="21">
        <f>EXP(-LN(2)/2)*EC158+(1-EXP(-LN(2)/2))/(LN(2)/2)*DW159*DZ159*VLOOKUP('Données projet'!$B$14,Paramètres!$A$1:$I$89,3,0)*0.475*44/12</f>
        <v>1.0775370371557526E-4</v>
      </c>
      <c r="ED159" s="22">
        <f t="shared" si="178"/>
        <v>13.678039946975449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1.7053025658242404E-13</v>
      </c>
      <c r="EK159" s="17">
        <f>EJ159*VLOOKUP('Données projet'!$B$15,Paramètres!$A$1:$I$89,3,0)*VLOOKUP('Données projet'!$B$15,Paramètres!$A$1:$I$89,5,0)</f>
        <v>7.9808160080574461E-14</v>
      </c>
      <c r="EL159" s="13">
        <f t="shared" si="179"/>
        <v>1.2308384591775343E-12</v>
      </c>
      <c r="EM159" s="20">
        <f t="shared" si="180"/>
        <v>2.282709528541206E-12</v>
      </c>
      <c r="EN159" s="59">
        <f t="shared" si="128"/>
        <v>287.35489844709059</v>
      </c>
      <c r="EO159" s="59">
        <f ca="1">AVERAGE(OFFSET($EN$3,0,0,'Données projet'!$E$15+1,1))-AVERAGE(OFFSET($H$3,0,0,'Données projet'!$E$15+1,1))</f>
        <v>374.38106339726073</v>
      </c>
      <c r="EP159" s="59">
        <f t="shared" si="154"/>
        <v>296.53283288925957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88.653820123690906</v>
      </c>
      <c r="EW159" s="21">
        <f>EXP(-LN(2)/25)*EW158+(1-EXP(-LN(2)/25))/(LN(2)/25)*Calculateur!ER159*Calculateur!ET159*VLOOKUP('Données projet'!$B$15,Paramètres!$A$1:$I$89,3,0)*0.475*44/12</f>
        <v>22.456549016570314</v>
      </c>
      <c r="EX159" s="21">
        <f>EXP(-LN(2)/2)*EX158+(1-EXP(-LN(2)/2))/(LN(2)/2)*ER159*EU159*VLOOKUP('Données projet'!$B$15,Paramètres!$A$1:$I$89,3,0)*0.475*44/12</f>
        <v>5.5948190386770026E-3</v>
      </c>
      <c r="EY159" s="22">
        <f t="shared" si="181"/>
        <v>111.11596395929989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9">
        <f t="shared" si="109"/>
        <v>1279.8831965770746</v>
      </c>
      <c r="S160" s="59">
        <f ca="1">AVERAGE(OFFSET($R$3,0,0,'Données projet'!$E$9+1,1))-AVERAGE(OFFSET($H$3,0,0,'Données projet'!$E$9+1,1))</f>
        <v>681.47578137804555</v>
      </c>
      <c r="T160" s="59">
        <f t="shared" si="142"/>
        <v>300.88511065995885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1.0818439477588981E-13</v>
      </c>
      <c r="AK160" s="13">
        <f t="shared" si="164"/>
        <v>1.6104228458716316E-12</v>
      </c>
      <c r="AL160" s="20">
        <f t="shared" si="165"/>
        <v>2.9932409441277661E-12</v>
      </c>
      <c r="AM160" s="59">
        <f t="shared" si="113"/>
        <v>287.45861092658959</v>
      </c>
      <c r="AN160" s="59">
        <f ca="1">AVERAGE(OFFSET($AM$3,0,0,'Données projet'!$E$10+1,1))-AVERAGE(OFFSET($H$3,0,0,'Données projet'!$E$10+1,1))</f>
        <v>423.80243030843661</v>
      </c>
      <c r="AO160" s="59">
        <f t="shared" si="144"/>
        <v>260.29028006191834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22.103007250820088</v>
      </c>
      <c r="AV160" s="21">
        <f>EXP(-LN(2)/25)*AV159+(1-EXP(-LN(2)/25))/(LN(2)/25)*Calculateur!AQ160*Calculateur!AS160*VLOOKUP('Données projet'!$B$10,Paramètres!$A$1:$I$89,3,0)*0.475*44/12</f>
        <v>16.570804558091861</v>
      </c>
      <c r="AW160" s="21">
        <f>EXP(-LN(2)/2)*AW159+(1-EXP(-LN(2)/2))/(LN(2)/2)*AQ160*AT160*VLOOKUP('Données projet'!$B$10,Paramètres!$A$1:$I$89,3,0)*0.475*44/12</f>
        <v>1.7492749808089111E-4</v>
      </c>
      <c r="AX160" s="21">
        <f t="shared" si="166"/>
        <v>38.673986736410029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-1.3596945791505279E-13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373.61861223558259</v>
      </c>
      <c r="BJ160" s="59">
        <f t="shared" si="146"/>
        <v>277.62293009761049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33.356770659354176</v>
      </c>
      <c r="BQ160" s="21">
        <f>EXP(-LN(2)/25)*BQ159+(1-EXP(-LN(2)/25))/(LN(2)/25)*Calculateur!BL160*Calculateur!BN160*VLOOKUP('Données projet'!$B$11,Paramètres!$A$1:$I$89,3,0)*0.475*44/12</f>
        <v>6.1191449427410696</v>
      </c>
      <c r="BR160" s="21">
        <f>EXP(-LN(2)/2)*BR159+(1-EXP(-LN(2)/2))/(LN(2)/2)*BL160*BO160*VLOOKUP('Données projet'!$B$11,Paramètres!$A$1:$I$89,3,0)*0.475*44/12</f>
        <v>1.819142841394988E-10</v>
      </c>
      <c r="BS160" s="22">
        <f t="shared" si="169"/>
        <v>39.475915602277155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8.5265128291212022E-14</v>
      </c>
      <c r="BZ160" s="13">
        <f>BY160*VLOOKUP('Données projet'!$B$12,Paramètres!$A$1:$I$89,3,0)*VLOOKUP('Données projet'!$B$12,Paramètres!$A$1:$I$89,5,0)</f>
        <v>7.4487616075202836E-14</v>
      </c>
      <c r="CA160" s="13">
        <f t="shared" si="170"/>
        <v>1.1580453144473142E-12</v>
      </c>
      <c r="CB160" s="20">
        <f t="shared" si="171"/>
        <v>2.1466615206600508E-12</v>
      </c>
      <c r="CC160" s="59">
        <f t="shared" si="119"/>
        <v>287.45861092658873</v>
      </c>
      <c r="CD160" s="59">
        <f ca="1">AVERAGE(OFFSET($CC$3,0,0,'Données projet'!$E$12+1,1))-AVERAGE(OFFSET($H$3,0,0,'Données projet'!$E$12+1,1))</f>
        <v>251.30277097589737</v>
      </c>
      <c r="CE160" s="59">
        <f t="shared" si="148"/>
        <v>224.11983819941796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4.8113485325867469</v>
      </c>
      <c r="CL160" s="21">
        <f>EXP(-LN(2)/25)*CL159+(1-EXP(-LN(2)/25))/(LN(2)/25)*Calculateur!CG160*Calculateur!CI160*VLOOKUP('Données projet'!$B$12,Paramètres!$A$1:$I$89,3,0)*0.475*44/12</f>
        <v>7.8210938344559437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12.632442367042691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2.8421709430404007E-14</v>
      </c>
      <c r="CU160" s="17">
        <f>CT160*VLOOKUP('Données projet'!$B$13,Paramètres!$A$1:$I$89,3,0)*VLOOKUP('Données projet'!$B$13,Paramètres!$A$1:$I$89,5,0)</f>
        <v>2.4829205358400945E-14</v>
      </c>
      <c r="CV160" s="13">
        <f t="shared" si="173"/>
        <v>4.3867331143352915E-13</v>
      </c>
      <c r="CW160" s="20">
        <f t="shared" si="174"/>
        <v>8.0726688341261168E-13</v>
      </c>
      <c r="CX160" s="59">
        <f t="shared" si="122"/>
        <v>287.45861092658737</v>
      </c>
      <c r="CY160" s="59">
        <f ca="1">AVERAGE(OFFSET($CX$3,0,0,'Données projet'!$E$13+1,1))-AVERAGE(OFFSET($H$3,0,0,'Données projet'!$E$13+1,1))</f>
        <v>287.28439432670405</v>
      </c>
      <c r="CZ160" s="59">
        <f t="shared" si="150"/>
        <v>276.01618888357268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7.1790389913747843</v>
      </c>
      <c r="DG160" s="21">
        <f>EXP(-LN(2)/25)*DG159+(1-EXP(-LN(2)/25))/(LN(2)/25)*Calculateur!DB160*Calculateur!DD160*VLOOKUP('Données projet'!$B$13,Paramètres!$A$1:$I$89,3,0)*0.475*44/12</f>
        <v>4.3159115678079427</v>
      </c>
      <c r="DH160" s="21">
        <f>EXP(-LN(2)/2)*DH159+(1-EXP(-LN(2)/2))/(LN(2)/2)*DB160*DE160*VLOOKUP('Données projet'!$B$13,Paramètres!$A$1:$I$89,3,0)*0.475*44/12</f>
        <v>1.1690822089762817E-10</v>
      </c>
      <c r="DI160" s="22">
        <f t="shared" si="175"/>
        <v>11.494950559299633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-9.9475983006414026E-14</v>
      </c>
      <c r="DP160" s="17">
        <f>DO160*VLOOKUP('Données projet'!$B$14,Paramètres!$A$1:$I$89,3,0)*VLOOKUP('Données projet'!$B$14,Paramètres!$A$1:$I$89,5,0)</f>
        <v>-9.6213170763803652E-14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206.5245935130306</v>
      </c>
      <c r="DU160" s="59">
        <f t="shared" si="152"/>
        <v>130.57011290898546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6.7631484727882878</v>
      </c>
      <c r="EB160" s="21">
        <f>EXP(-LN(2)/25)*EB159+(1-EXP(-LN(2)/25))/(LN(2)/25)*Calculateur!DW160*Calculateur!DY160*VLOOKUP('Données projet'!$B$14,Paramètres!$A$1:$I$89,3,0)*0.475*44/12</f>
        <v>6.5941238124609871</v>
      </c>
      <c r="EC160" s="21">
        <f>EXP(-LN(2)/2)*EC159+(1-EXP(-LN(2)/2))/(LN(2)/2)*DW160*DZ160*VLOOKUP('Données projet'!$B$14,Paramètres!$A$1:$I$89,3,0)*0.475*44/12</f>
        <v>7.6193374595249344E-5</v>
      </c>
      <c r="ED160" s="22">
        <f t="shared" si="178"/>
        <v>13.357348478623869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1.7053025658242404E-13</v>
      </c>
      <c r="EK160" s="17">
        <f>EJ160*VLOOKUP('Données projet'!$B$15,Paramètres!$A$1:$I$89,3,0)*VLOOKUP('Données projet'!$B$15,Paramètres!$A$1:$I$89,5,0)</f>
        <v>7.9808160080574461E-14</v>
      </c>
      <c r="EL160" s="13">
        <f t="shared" si="179"/>
        <v>1.2308384591775343E-12</v>
      </c>
      <c r="EM160" s="20">
        <f t="shared" si="180"/>
        <v>2.282709528541206E-12</v>
      </c>
      <c r="EN160" s="59">
        <f t="shared" si="128"/>
        <v>287.45861092658885</v>
      </c>
      <c r="EO160" s="59">
        <f ca="1">AVERAGE(OFFSET($EN$3,0,0,'Données projet'!$E$15+1,1))-AVERAGE(OFFSET($H$3,0,0,'Données projet'!$E$15+1,1))</f>
        <v>374.38106339726073</v>
      </c>
      <c r="EP160" s="59">
        <f t="shared" si="154"/>
        <v>296.53283288925957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86.915372784556283</v>
      </c>
      <c r="EW160" s="21">
        <f>EXP(-LN(2)/25)*EW159+(1-EXP(-LN(2)/25))/(LN(2)/25)*Calculateur!ER160*Calculateur!ET160*VLOOKUP('Données projet'!$B$15,Paramètres!$A$1:$I$89,3,0)*0.475*44/12</f>
        <v>21.842473502773611</v>
      </c>
      <c r="EX160" s="21">
        <f>EXP(-LN(2)/2)*EX159+(1-EXP(-LN(2)/2))/(LN(2)/2)*ER160*EU160*VLOOKUP('Données projet'!$B$15,Paramètres!$A$1:$I$89,3,0)*0.475*44/12</f>
        <v>3.9561344817601093E-3</v>
      </c>
      <c r="EY160" s="22">
        <f t="shared" si="181"/>
        <v>108.76180242181165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9">
        <f t="shared" si="109"/>
        <v>1297.9122805428137</v>
      </c>
      <c r="S161" s="59">
        <f ca="1">AVERAGE(OFFSET($R$3,0,0,'Données projet'!$E$9+1,1))-AVERAGE(OFFSET($H$3,0,0,'Données projet'!$E$9+1,1))</f>
        <v>681.47578137804555</v>
      </c>
      <c r="T161" s="59">
        <f t="shared" si="142"/>
        <v>300.88511065995885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1.0818439477588981E-13</v>
      </c>
      <c r="AK161" s="13">
        <f t="shared" si="164"/>
        <v>1.6104228458716316E-12</v>
      </c>
      <c r="AL161" s="20">
        <f t="shared" si="165"/>
        <v>2.9932409441277661E-12</v>
      </c>
      <c r="AM161" s="59">
        <f t="shared" si="113"/>
        <v>287.56052422643501</v>
      </c>
      <c r="AN161" s="59">
        <f ca="1">AVERAGE(OFFSET($AM$3,0,0,'Données projet'!$E$10+1,1))-AVERAGE(OFFSET($H$3,0,0,'Données projet'!$E$10+1,1))</f>
        <v>423.80243030843661</v>
      </c>
      <c r="AO161" s="59">
        <f t="shared" si="144"/>
        <v>260.29028006191834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21.669580760134743</v>
      </c>
      <c r="AV161" s="21">
        <f>EXP(-LN(2)/25)*AV160+(1-EXP(-LN(2)/25))/(LN(2)/25)*Calculateur!AQ161*Calculateur!AS161*VLOOKUP('Données projet'!$B$10,Paramètres!$A$1:$I$89,3,0)*0.475*44/12</f>
        <v>16.1176750360301</v>
      </c>
      <c r="AW161" s="21">
        <f>EXP(-LN(2)/2)*AW160+(1-EXP(-LN(2)/2))/(LN(2)/2)*AQ161*AT161*VLOOKUP('Données projet'!$B$10,Paramètres!$A$1:$I$89,3,0)*0.475*44/12</f>
        <v>1.2369242010899488E-4</v>
      </c>
      <c r="AX161" s="21">
        <f t="shared" si="166"/>
        <v>37.787379488584953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-1.3596945791505279E-13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373.61861223558259</v>
      </c>
      <c r="BJ161" s="59">
        <f t="shared" si="146"/>
        <v>277.62293009761049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32.702664732345376</v>
      </c>
      <c r="BQ161" s="21">
        <f>EXP(-LN(2)/25)*BQ160+(1-EXP(-LN(2)/25))/(LN(2)/25)*Calculateur!BL161*Calculateur!BN161*VLOOKUP('Données projet'!$B$11,Paramètres!$A$1:$I$89,3,0)*0.475*44/12</f>
        <v>5.9518166024899681</v>
      </c>
      <c r="BR161" s="21">
        <f>EXP(-LN(2)/2)*BR160+(1-EXP(-LN(2)/2))/(LN(2)/2)*BL161*BO161*VLOOKUP('Données projet'!$B$11,Paramètres!$A$1:$I$89,3,0)*0.475*44/12</f>
        <v>1.2863282390973601E-10</v>
      </c>
      <c r="BS161" s="22">
        <f t="shared" si="169"/>
        <v>38.654481334963975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8.5265128291212022E-14</v>
      </c>
      <c r="BZ161" s="13">
        <f>BY161*VLOOKUP('Données projet'!$B$12,Paramètres!$A$1:$I$89,3,0)*VLOOKUP('Données projet'!$B$12,Paramètres!$A$1:$I$89,5,0)</f>
        <v>7.4487616075202836E-14</v>
      </c>
      <c r="CA161" s="13">
        <f t="shared" si="170"/>
        <v>1.1580453144473142E-12</v>
      </c>
      <c r="CB161" s="20">
        <f t="shared" si="171"/>
        <v>2.1466615206600508E-12</v>
      </c>
      <c r="CC161" s="59">
        <f t="shared" si="119"/>
        <v>287.56052422643415</v>
      </c>
      <c r="CD161" s="59">
        <f ca="1">AVERAGE(OFFSET($CC$3,0,0,'Données projet'!$E$12+1,1))-AVERAGE(OFFSET($H$3,0,0,'Données projet'!$E$12+1,1))</f>
        <v>251.30277097589737</v>
      </c>
      <c r="CE161" s="59">
        <f t="shared" si="148"/>
        <v>224.11983819941796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4.7170009224955551</v>
      </c>
      <c r="CL161" s="21">
        <f>EXP(-LN(2)/25)*CL160+(1-EXP(-LN(2)/25))/(LN(2)/25)*Calculateur!CG161*Calculateur!CI161*VLOOKUP('Données projet'!$B$12,Paramètres!$A$1:$I$89,3,0)*0.475*44/12</f>
        <v>7.6072256122592963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12.324226534754851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2.8421709430404007E-14</v>
      </c>
      <c r="CU161" s="17">
        <f>CT161*VLOOKUP('Données projet'!$B$13,Paramètres!$A$1:$I$89,3,0)*VLOOKUP('Données projet'!$B$13,Paramètres!$A$1:$I$89,5,0)</f>
        <v>2.4829205358400945E-14</v>
      </c>
      <c r="CV161" s="13">
        <f t="shared" si="173"/>
        <v>4.3867331143352915E-13</v>
      </c>
      <c r="CW161" s="20">
        <f t="shared" si="174"/>
        <v>8.0726688341261168E-13</v>
      </c>
      <c r="CX161" s="59">
        <f t="shared" si="122"/>
        <v>287.56052422643279</v>
      </c>
      <c r="CY161" s="59">
        <f ca="1">AVERAGE(OFFSET($CX$3,0,0,'Données projet'!$E$13+1,1))-AVERAGE(OFFSET($H$3,0,0,'Données projet'!$E$13+1,1))</f>
        <v>287.28439432670405</v>
      </c>
      <c r="CZ161" s="59">
        <f t="shared" si="150"/>
        <v>276.01618888357268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7.0382624155353408</v>
      </c>
      <c r="DG161" s="21">
        <f>EXP(-LN(2)/25)*DG160+(1-EXP(-LN(2)/25))/(LN(2)/25)*Calculateur!DB161*Calculateur!DD161*VLOOKUP('Données projet'!$B$13,Paramètres!$A$1:$I$89,3,0)*0.475*44/12</f>
        <v>4.1978927390223095</v>
      </c>
      <c r="DH161" s="21">
        <f>EXP(-LN(2)/2)*DH160+(1-EXP(-LN(2)/2))/(LN(2)/2)*DB161*DE161*VLOOKUP('Données projet'!$B$13,Paramètres!$A$1:$I$89,3,0)*0.475*44/12</f>
        <v>8.2666595773167725E-11</v>
      </c>
      <c r="DI161" s="22">
        <f t="shared" si="175"/>
        <v>11.236155154640317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-9.9475983006414026E-14</v>
      </c>
      <c r="DP161" s="17">
        <f>DO161*VLOOKUP('Données projet'!$B$14,Paramètres!$A$1:$I$89,3,0)*VLOOKUP('Données projet'!$B$14,Paramètres!$A$1:$I$89,5,0)</f>
        <v>-9.6213170763803652E-14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206.5245935130306</v>
      </c>
      <c r="DU161" s="59">
        <f t="shared" si="152"/>
        <v>130.57011290898546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6.6305272563501569</v>
      </c>
      <c r="EB161" s="21">
        <f>EXP(-LN(2)/25)*EB160+(1-EXP(-LN(2)/25))/(LN(2)/25)*Calculateur!DW161*Calculateur!DY161*VLOOKUP('Données projet'!$B$14,Paramètres!$A$1:$I$89,3,0)*0.475*44/12</f>
        <v>6.4138071500393412</v>
      </c>
      <c r="EC161" s="21">
        <f>EXP(-LN(2)/2)*EC160+(1-EXP(-LN(2)/2))/(LN(2)/2)*DW161*DZ161*VLOOKUP('Données projet'!$B$14,Paramètres!$A$1:$I$89,3,0)*0.475*44/12</f>
        <v>5.3876851857787628E-5</v>
      </c>
      <c r="ED161" s="22">
        <f t="shared" si="178"/>
        <v>13.044388283241357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1.7053025658242404E-13</v>
      </c>
      <c r="EK161" s="17">
        <f>EJ161*VLOOKUP('Données projet'!$B$15,Paramètres!$A$1:$I$89,3,0)*VLOOKUP('Données projet'!$B$15,Paramètres!$A$1:$I$89,5,0)</f>
        <v>7.9808160080574461E-14</v>
      </c>
      <c r="EL161" s="13">
        <f t="shared" si="179"/>
        <v>1.2308384591775343E-12</v>
      </c>
      <c r="EM161" s="20">
        <f t="shared" si="180"/>
        <v>2.282709528541206E-12</v>
      </c>
      <c r="EN161" s="59">
        <f t="shared" si="128"/>
        <v>287.56052422643427</v>
      </c>
      <c r="EO161" s="59">
        <f ca="1">AVERAGE(OFFSET($EN$3,0,0,'Données projet'!$E$15+1,1))-AVERAGE(OFFSET($H$3,0,0,'Données projet'!$E$15+1,1))</f>
        <v>374.38106339726073</v>
      </c>
      <c r="EP161" s="59">
        <f t="shared" si="154"/>
        <v>296.53283288925957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85.211015337393917</v>
      </c>
      <c r="EW161" s="21">
        <f>EXP(-LN(2)/25)*EW160+(1-EXP(-LN(2)/25))/(LN(2)/25)*Calculateur!ER161*Calculateur!ET161*VLOOKUP('Données projet'!$B$15,Paramètres!$A$1:$I$89,3,0)*0.475*44/12</f>
        <v>21.245189916194509</v>
      </c>
      <c r="EX161" s="21">
        <f>EXP(-LN(2)/2)*EX160+(1-EXP(-LN(2)/2))/(LN(2)/2)*ER161*EU161*VLOOKUP('Données projet'!$B$15,Paramètres!$A$1:$I$89,3,0)*0.475*44/12</f>
        <v>2.7974095193385013E-3</v>
      </c>
      <c r="EY161" s="22">
        <f t="shared" si="181"/>
        <v>106.45900266310775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9">
        <f t="shared" si="109"/>
        <v>1315.9333244176519</v>
      </c>
      <c r="S162" s="59">
        <f ca="1">AVERAGE(OFFSET($R$3,0,0,'Données projet'!$E$9+1,1))-AVERAGE(OFFSET($H$3,0,0,'Données projet'!$E$9+1,1))</f>
        <v>681.47578137804555</v>
      </c>
      <c r="T162" s="59">
        <f t="shared" si="142"/>
        <v>300.88511065995885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1.0818439477588981E-13</v>
      </c>
      <c r="AK162" s="13">
        <f t="shared" si="164"/>
        <v>1.6104228458716316E-12</v>
      </c>
      <c r="AL162" s="20">
        <f t="shared" si="165"/>
        <v>2.9932409441277661E-12</v>
      </c>
      <c r="AM162" s="59">
        <f t="shared" si="113"/>
        <v>287.66066955837198</v>
      </c>
      <c r="AN162" s="59">
        <f ca="1">AVERAGE(OFFSET($AM$3,0,0,'Données projet'!$E$10+1,1))-AVERAGE(OFFSET($H$3,0,0,'Données projet'!$E$10+1,1))</f>
        <v>423.80243030843661</v>
      </c>
      <c r="AO162" s="59">
        <f t="shared" si="144"/>
        <v>260.29028006191834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21.244653498567679</v>
      </c>
      <c r="AV162" s="21">
        <f>EXP(-LN(2)/25)*AV161+(1-EXP(-LN(2)/25))/(LN(2)/25)*Calculateur!AQ162*Calculateur!AS162*VLOOKUP('Données projet'!$B$10,Paramètres!$A$1:$I$89,3,0)*0.475*44/12</f>
        <v>15.676936364578165</v>
      </c>
      <c r="AW162" s="21">
        <f>EXP(-LN(2)/2)*AW161+(1-EXP(-LN(2)/2))/(LN(2)/2)*AQ162*AT162*VLOOKUP('Données projet'!$B$10,Paramètres!$A$1:$I$89,3,0)*0.475*44/12</f>
        <v>8.7463749040445554E-5</v>
      </c>
      <c r="AX162" s="21">
        <f t="shared" si="166"/>
        <v>36.92167732689488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-1.3596945791505279E-13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373.61861223558259</v>
      </c>
      <c r="BJ162" s="59">
        <f t="shared" si="146"/>
        <v>277.62293009761049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32.061385423600001</v>
      </c>
      <c r="BQ162" s="21">
        <f>EXP(-LN(2)/25)*BQ161+(1-EXP(-LN(2)/25))/(LN(2)/25)*Calculateur!BL162*Calculateur!BN162*VLOOKUP('Données projet'!$B$11,Paramètres!$A$1:$I$89,3,0)*0.475*44/12</f>
        <v>5.7890638645024479</v>
      </c>
      <c r="BR162" s="21">
        <f>EXP(-LN(2)/2)*BR161+(1-EXP(-LN(2)/2))/(LN(2)/2)*BL162*BO162*VLOOKUP('Données projet'!$B$11,Paramètres!$A$1:$I$89,3,0)*0.475*44/12</f>
        <v>9.0957142069749401E-11</v>
      </c>
      <c r="BS162" s="22">
        <f t="shared" si="169"/>
        <v>37.850449288193403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8.5265128291212022E-14</v>
      </c>
      <c r="BZ162" s="13">
        <f>BY162*VLOOKUP('Données projet'!$B$12,Paramètres!$A$1:$I$89,3,0)*VLOOKUP('Données projet'!$B$12,Paramètres!$A$1:$I$89,5,0)</f>
        <v>7.4487616075202836E-14</v>
      </c>
      <c r="CA162" s="13">
        <f t="shared" si="170"/>
        <v>1.1580453144473142E-12</v>
      </c>
      <c r="CB162" s="20">
        <f t="shared" si="171"/>
        <v>2.1466615206600508E-12</v>
      </c>
      <c r="CC162" s="59">
        <f t="shared" si="119"/>
        <v>287.66066955837113</v>
      </c>
      <c r="CD162" s="59">
        <f ca="1">AVERAGE(OFFSET($CC$3,0,0,'Données projet'!$E$12+1,1))-AVERAGE(OFFSET($H$3,0,0,'Données projet'!$E$12+1,1))</f>
        <v>251.30277097589737</v>
      </c>
      <c r="CE162" s="59">
        <f t="shared" si="148"/>
        <v>224.11983819941796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4.624503411491891</v>
      </c>
      <c r="CL162" s="21">
        <f>EXP(-LN(2)/25)*CL161+(1-EXP(-LN(2)/25))/(LN(2)/25)*Calculateur!CG162*Calculateur!CI162*VLOOKUP('Données projet'!$B$12,Paramètres!$A$1:$I$89,3,0)*0.475*44/12</f>
        <v>7.3992056278454577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12.023709039337348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2.8421709430404007E-14</v>
      </c>
      <c r="CU162" s="17">
        <f>CT162*VLOOKUP('Données projet'!$B$13,Paramètres!$A$1:$I$89,3,0)*VLOOKUP('Données projet'!$B$13,Paramètres!$A$1:$I$89,5,0)</f>
        <v>2.4829205358400945E-14</v>
      </c>
      <c r="CV162" s="13">
        <f t="shared" si="173"/>
        <v>4.3867331143352915E-13</v>
      </c>
      <c r="CW162" s="20">
        <f t="shared" si="174"/>
        <v>8.0726688341261168E-13</v>
      </c>
      <c r="CX162" s="59">
        <f t="shared" si="122"/>
        <v>287.66066955836976</v>
      </c>
      <c r="CY162" s="59">
        <f ca="1">AVERAGE(OFFSET($CX$3,0,0,'Données projet'!$E$13+1,1))-AVERAGE(OFFSET($H$3,0,0,'Données projet'!$E$13+1,1))</f>
        <v>287.28439432670405</v>
      </c>
      <c r="CZ162" s="59">
        <f t="shared" si="150"/>
        <v>276.01618888357268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6.9002463824828757</v>
      </c>
      <c r="DG162" s="21">
        <f>EXP(-LN(2)/25)*DG161+(1-EXP(-LN(2)/25))/(LN(2)/25)*Calculateur!DB162*Calculateur!DD162*VLOOKUP('Données projet'!$B$13,Paramètres!$A$1:$I$89,3,0)*0.475*44/12</f>
        <v>4.0831011413161598</v>
      </c>
      <c r="DH162" s="21">
        <f>EXP(-LN(2)/2)*DH161+(1-EXP(-LN(2)/2))/(LN(2)/2)*DB162*DE162*VLOOKUP('Données projet'!$B$13,Paramètres!$A$1:$I$89,3,0)*0.475*44/12</f>
        <v>5.8454110448814083E-11</v>
      </c>
      <c r="DI162" s="22">
        <f t="shared" si="175"/>
        <v>10.983347523857491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-9.9475983006414026E-14</v>
      </c>
      <c r="DP162" s="17">
        <f>DO162*VLOOKUP('Données projet'!$B$14,Paramètres!$A$1:$I$89,3,0)*VLOOKUP('Données projet'!$B$14,Paramètres!$A$1:$I$89,5,0)</f>
        <v>-9.6213170763803652E-14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206.5245935130306</v>
      </c>
      <c r="DU162" s="59">
        <f t="shared" si="152"/>
        <v>130.57011290898546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6.5005066610754225</v>
      </c>
      <c r="EB162" s="21">
        <f>EXP(-LN(2)/25)*EB161+(1-EXP(-LN(2)/25))/(LN(2)/25)*Calculateur!DW162*Calculateur!DY162*VLOOKUP('Données projet'!$B$14,Paramètres!$A$1:$I$89,3,0)*0.475*44/12</f>
        <v>6.238421256234056</v>
      </c>
      <c r="EC162" s="21">
        <f>EXP(-LN(2)/2)*EC161+(1-EXP(-LN(2)/2))/(LN(2)/2)*DW162*DZ162*VLOOKUP('Données projet'!$B$14,Paramètres!$A$1:$I$89,3,0)*0.475*44/12</f>
        <v>3.8096687297624672E-5</v>
      </c>
      <c r="ED162" s="22">
        <f t="shared" si="178"/>
        <v>12.738966013996777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1.7053025658242404E-13</v>
      </c>
      <c r="EK162" s="17">
        <f>EJ162*VLOOKUP('Données projet'!$B$15,Paramètres!$A$1:$I$89,3,0)*VLOOKUP('Données projet'!$B$15,Paramètres!$A$1:$I$89,5,0)</f>
        <v>7.9808160080574461E-14</v>
      </c>
      <c r="EL162" s="13">
        <f t="shared" si="179"/>
        <v>1.2308384591775343E-12</v>
      </c>
      <c r="EM162" s="20">
        <f t="shared" si="180"/>
        <v>2.282709528541206E-12</v>
      </c>
      <c r="EN162" s="59">
        <f t="shared" si="128"/>
        <v>287.66066955837124</v>
      </c>
      <c r="EO162" s="59">
        <f ca="1">AVERAGE(OFFSET($EN$3,0,0,'Données projet'!$E$15+1,1))-AVERAGE(OFFSET($H$3,0,0,'Données projet'!$E$15+1,1))</f>
        <v>374.38106339726073</v>
      </c>
      <c r="EP162" s="59">
        <f t="shared" si="154"/>
        <v>296.53283288925957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83.540079300215012</v>
      </c>
      <c r="EW162" s="21">
        <f>EXP(-LN(2)/25)*EW161+(1-EXP(-LN(2)/25))/(LN(2)/25)*Calculateur!ER162*Calculateur!ET162*VLOOKUP('Données projet'!$B$15,Paramètres!$A$1:$I$89,3,0)*0.475*44/12</f>
        <v>20.664239080700188</v>
      </c>
      <c r="EX162" s="21">
        <f>EXP(-LN(2)/2)*EX161+(1-EXP(-LN(2)/2))/(LN(2)/2)*ER162*EU162*VLOOKUP('Données projet'!$B$15,Paramètres!$A$1:$I$89,3,0)*0.475*44/12</f>
        <v>1.9780672408800546E-3</v>
      </c>
      <c r="EY162" s="22">
        <f t="shared" si="181"/>
        <v>104.20629644815608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9">
        <f t="shared" si="109"/>
        <v>1333.9464834311204</v>
      </c>
      <c r="S163" s="59">
        <f ca="1">AVERAGE(OFFSET($R$3,0,0,'Données projet'!$E$9+1,1))-AVERAGE(OFFSET($H$3,0,0,'Données projet'!$E$9+1,1))</f>
        <v>681.47578137804555</v>
      </c>
      <c r="T163" s="59">
        <f t="shared" si="142"/>
        <v>300.88511065995885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1.0818439477588981E-13</v>
      </c>
      <c r="AK163" s="13">
        <f t="shared" si="164"/>
        <v>1.6104228458716316E-12</v>
      </c>
      <c r="AL163" s="20">
        <f t="shared" si="165"/>
        <v>2.9932409441277661E-12</v>
      </c>
      <c r="AM163" s="59">
        <f t="shared" si="113"/>
        <v>287.75907759269137</v>
      </c>
      <c r="AN163" s="59">
        <f ca="1">AVERAGE(OFFSET($AM$3,0,0,'Données projet'!$E$10+1,1))-AVERAGE(OFFSET($H$3,0,0,'Données projet'!$E$10+1,1))</f>
        <v>423.80243030843661</v>
      </c>
      <c r="AO163" s="59">
        <f t="shared" si="144"/>
        <v>260.29028006191834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20.82805880141991</v>
      </c>
      <c r="AV163" s="21">
        <f>EXP(-LN(2)/25)*AV162+(1-EXP(-LN(2)/25))/(LN(2)/25)*Calculateur!AQ163*Calculateur!AS163*VLOOKUP('Données projet'!$B$10,Paramètres!$A$1:$I$89,3,0)*0.475*44/12</f>
        <v>15.248249715274522</v>
      </c>
      <c r="AW163" s="21">
        <f>EXP(-LN(2)/2)*AW162+(1-EXP(-LN(2)/2))/(LN(2)/2)*AQ163*AT163*VLOOKUP('Données projet'!$B$10,Paramètres!$A$1:$I$89,3,0)*0.475*44/12</f>
        <v>6.1846210054497441E-5</v>
      </c>
      <c r="AX163" s="21">
        <f t="shared" si="166"/>
        <v>36.076370362904484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-1.3596945791505279E-13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373.61861223558259</v>
      </c>
      <c r="BJ163" s="59">
        <f t="shared" si="146"/>
        <v>277.62293009761049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31.432681210957366</v>
      </c>
      <c r="BQ163" s="21">
        <f>EXP(-LN(2)/25)*BQ162+(1-EXP(-LN(2)/25))/(LN(2)/25)*Calculateur!BL163*Calculateur!BN163*VLOOKUP('Données projet'!$B$11,Paramètres!$A$1:$I$89,3,0)*0.475*44/12</f>
        <v>5.6307616086939909</v>
      </c>
      <c r="BR163" s="21">
        <f>EXP(-LN(2)/2)*BR162+(1-EXP(-LN(2)/2))/(LN(2)/2)*BL163*BO163*VLOOKUP('Données projet'!$B$11,Paramètres!$A$1:$I$89,3,0)*0.475*44/12</f>
        <v>6.4316411954868005E-11</v>
      </c>
      <c r="BS163" s="22">
        <f t="shared" si="169"/>
        <v>37.063442819715675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8.5265128291212022E-14</v>
      </c>
      <c r="BZ163" s="13">
        <f>BY163*VLOOKUP('Données projet'!$B$12,Paramètres!$A$1:$I$89,3,0)*VLOOKUP('Données projet'!$B$12,Paramètres!$A$1:$I$89,5,0)</f>
        <v>7.4487616075202836E-14</v>
      </c>
      <c r="CA163" s="13">
        <f t="shared" si="170"/>
        <v>1.1580453144473142E-12</v>
      </c>
      <c r="CB163" s="20">
        <f t="shared" si="171"/>
        <v>2.1466615206600508E-12</v>
      </c>
      <c r="CC163" s="59">
        <f t="shared" si="119"/>
        <v>287.75907759269052</v>
      </c>
      <c r="CD163" s="59">
        <f ca="1">AVERAGE(OFFSET($CC$3,0,0,'Données projet'!$E$12+1,1))-AVERAGE(OFFSET($H$3,0,0,'Données projet'!$E$12+1,1))</f>
        <v>251.30277097589737</v>
      </c>
      <c r="CE163" s="59">
        <f t="shared" si="148"/>
        <v>224.11983819941796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4.5338197202610981</v>
      </c>
      <c r="CL163" s="21">
        <f>EXP(-LN(2)/25)*CL162+(1-EXP(-LN(2)/25))/(LN(2)/25)*Calculateur!CG163*Calculateur!CI163*VLOOKUP('Données projet'!$B$12,Paramètres!$A$1:$I$89,3,0)*0.475*44/12</f>
        <v>7.1968739608447105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11.730693681105809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2.8421709430404007E-14</v>
      </c>
      <c r="CU163" s="17">
        <f>CT163*VLOOKUP('Données projet'!$B$13,Paramètres!$A$1:$I$89,3,0)*VLOOKUP('Données projet'!$B$13,Paramètres!$A$1:$I$89,5,0)</f>
        <v>2.4829205358400945E-14</v>
      </c>
      <c r="CV163" s="13">
        <f t="shared" si="173"/>
        <v>4.3867331143352915E-13</v>
      </c>
      <c r="CW163" s="20">
        <f t="shared" si="174"/>
        <v>8.0726688341261168E-13</v>
      </c>
      <c r="CX163" s="59">
        <f t="shared" si="122"/>
        <v>287.75907759268915</v>
      </c>
      <c r="CY163" s="59">
        <f ca="1">AVERAGE(OFFSET($CX$3,0,0,'Données projet'!$E$13+1,1))-AVERAGE(OFFSET($H$3,0,0,'Données projet'!$E$13+1,1))</f>
        <v>287.28439432670405</v>
      </c>
      <c r="CZ163" s="59">
        <f t="shared" si="150"/>
        <v>276.01618888357268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6.7649367596571022</v>
      </c>
      <c r="DG163" s="21">
        <f>EXP(-LN(2)/25)*DG162+(1-EXP(-LN(2)/25))/(LN(2)/25)*Calculateur!DB163*Calculateur!DD163*VLOOKUP('Données projet'!$B$13,Paramètres!$A$1:$I$89,3,0)*0.475*44/12</f>
        <v>3.9714485258859122</v>
      </c>
      <c r="DH163" s="21">
        <f>EXP(-LN(2)/2)*DH162+(1-EXP(-LN(2)/2))/(LN(2)/2)*DB163*DE163*VLOOKUP('Données projet'!$B$13,Paramètres!$A$1:$I$89,3,0)*0.475*44/12</f>
        <v>4.1333297886583862E-11</v>
      </c>
      <c r="DI163" s="22">
        <f t="shared" si="175"/>
        <v>10.736385285584349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-9.9475983006414026E-14</v>
      </c>
      <c r="DP163" s="17">
        <f>DO163*VLOOKUP('Données projet'!$B$14,Paramètres!$A$1:$I$89,3,0)*VLOOKUP('Données projet'!$B$14,Paramètres!$A$1:$I$89,5,0)</f>
        <v>-9.6213170763803652E-14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206.5245935130306</v>
      </c>
      <c r="DU163" s="59">
        <f t="shared" si="152"/>
        <v>130.57011290898546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6.373035690369294</v>
      </c>
      <c r="EB163" s="21">
        <f>EXP(-LN(2)/25)*EB162+(1-EXP(-LN(2)/25))/(LN(2)/25)*Calculateur!DW163*Calculateur!DY163*VLOOKUP('Données projet'!$B$14,Paramètres!$A$1:$I$89,3,0)*0.475*44/12</f>
        <v>6.0678312989180201</v>
      </c>
      <c r="EC163" s="21">
        <f>EXP(-LN(2)/2)*EC162+(1-EXP(-LN(2)/2))/(LN(2)/2)*DW163*DZ163*VLOOKUP('Données projet'!$B$14,Paramètres!$A$1:$I$89,3,0)*0.475*44/12</f>
        <v>2.6938425928893814E-5</v>
      </c>
      <c r="ED163" s="22">
        <f t="shared" si="178"/>
        <v>12.440893927713244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1.7053025658242404E-13</v>
      </c>
      <c r="EK163" s="17">
        <f>EJ163*VLOOKUP('Données projet'!$B$15,Paramètres!$A$1:$I$89,3,0)*VLOOKUP('Données projet'!$B$15,Paramètres!$A$1:$I$89,5,0)</f>
        <v>7.9808160080574461E-14</v>
      </c>
      <c r="EL163" s="13">
        <f t="shared" si="179"/>
        <v>1.2308384591775343E-12</v>
      </c>
      <c r="EM163" s="20">
        <f t="shared" si="180"/>
        <v>2.282709528541206E-12</v>
      </c>
      <c r="EN163" s="59">
        <f t="shared" si="128"/>
        <v>287.75907759269063</v>
      </c>
      <c r="EO163" s="59">
        <f ca="1">AVERAGE(OFFSET($EN$3,0,0,'Données projet'!$E$15+1,1))-AVERAGE(OFFSET($H$3,0,0,'Données projet'!$E$15+1,1))</f>
        <v>374.38106339726073</v>
      </c>
      <c r="EP163" s="59">
        <f t="shared" si="154"/>
        <v>296.53283288925957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81.901909299554845</v>
      </c>
      <c r="EW163" s="21">
        <f>EXP(-LN(2)/25)*EW162+(1-EXP(-LN(2)/25))/(LN(2)/25)*Calculateur!ER163*Calculateur!ET163*VLOOKUP('Données projet'!$B$15,Paramètres!$A$1:$I$89,3,0)*0.475*44/12</f>
        <v>20.099174376353336</v>
      </c>
      <c r="EX163" s="21">
        <f>EXP(-LN(2)/2)*EX162+(1-EXP(-LN(2)/2))/(LN(2)/2)*ER163*EU163*VLOOKUP('Données projet'!$B$15,Paramètres!$A$1:$I$89,3,0)*0.475*44/12</f>
        <v>1.3987047596692506E-3</v>
      </c>
      <c r="EY163" s="22">
        <f t="shared" si="181"/>
        <v>102.00248238066784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9">
        <f t="shared" si="109"/>
        <v>1351.9519076730503</v>
      </c>
      <c r="S164" s="59">
        <f ca="1">AVERAGE(OFFSET($R$3,0,0,'Données projet'!$E$9+1,1))-AVERAGE(OFFSET($H$3,0,0,'Données projet'!$E$9+1,1))</f>
        <v>681.47578137804555</v>
      </c>
      <c r="T164" s="59">
        <f t="shared" si="142"/>
        <v>300.88511065995885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1.0818439477588981E-13</v>
      </c>
      <c r="AK164" s="13">
        <f t="shared" si="164"/>
        <v>1.6104228458716316E-12</v>
      </c>
      <c r="AL164" s="20">
        <f t="shared" si="165"/>
        <v>2.9932409441277661E-12</v>
      </c>
      <c r="AM164" s="59">
        <f t="shared" si="113"/>
        <v>287.85577846762271</v>
      </c>
      <c r="AN164" s="59">
        <f ca="1">AVERAGE(OFFSET($AM$3,0,0,'Données projet'!$E$10+1,1))-AVERAGE(OFFSET($H$3,0,0,'Données projet'!$E$10+1,1))</f>
        <v>423.80243030843661</v>
      </c>
      <c r="AO164" s="59">
        <f t="shared" si="144"/>
        <v>260.29028006191834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20.419633272185532</v>
      </c>
      <c r="AV164" s="21">
        <f>EXP(-LN(2)/25)*AV163+(1-EXP(-LN(2)/25))/(LN(2)/25)*Calculateur!AQ164*Calculateur!AS164*VLOOKUP('Données projet'!$B$10,Paramètres!$A$1:$I$89,3,0)*0.475*44/12</f>
        <v>14.831285524939737</v>
      </c>
      <c r="AW164" s="21">
        <f>EXP(-LN(2)/2)*AW163+(1-EXP(-LN(2)/2))/(LN(2)/2)*AQ164*AT164*VLOOKUP('Données projet'!$B$10,Paramètres!$A$1:$I$89,3,0)*0.475*44/12</f>
        <v>4.3731874520222777E-5</v>
      </c>
      <c r="AX164" s="21">
        <f t="shared" si="166"/>
        <v>35.250962528999786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-1.3596945791505279E-13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373.61861223558259</v>
      </c>
      <c r="BJ164" s="59">
        <f t="shared" si="146"/>
        <v>277.62293009761049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30.816305504452949</v>
      </c>
      <c r="BQ164" s="21">
        <f>EXP(-LN(2)/25)*BQ163+(1-EXP(-LN(2)/25))/(LN(2)/25)*Calculateur!BL164*Calculateur!BN164*VLOOKUP('Données projet'!$B$11,Paramètres!$A$1:$I$89,3,0)*0.475*44/12</f>
        <v>5.4767881363953697</v>
      </c>
      <c r="BR164" s="21">
        <f>EXP(-LN(2)/2)*BR163+(1-EXP(-LN(2)/2))/(LN(2)/2)*BL164*BO164*VLOOKUP('Données projet'!$B$11,Paramètres!$A$1:$I$89,3,0)*0.475*44/12</f>
        <v>4.54785710348747E-11</v>
      </c>
      <c r="BS164" s="22">
        <f t="shared" si="169"/>
        <v>36.293093640893801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8.5265128291212022E-14</v>
      </c>
      <c r="BZ164" s="13">
        <f>BY164*VLOOKUP('Données projet'!$B$12,Paramètres!$A$1:$I$89,3,0)*VLOOKUP('Données projet'!$B$12,Paramètres!$A$1:$I$89,5,0)</f>
        <v>7.4487616075202836E-14</v>
      </c>
      <c r="CA164" s="13">
        <f t="shared" si="170"/>
        <v>1.1580453144473142E-12</v>
      </c>
      <c r="CB164" s="20">
        <f t="shared" si="171"/>
        <v>2.1466615206600508E-12</v>
      </c>
      <c r="CC164" s="59">
        <f t="shared" si="119"/>
        <v>287.85577846762186</v>
      </c>
      <c r="CD164" s="59">
        <f ca="1">AVERAGE(OFFSET($CC$3,0,0,'Données projet'!$E$12+1,1))-AVERAGE(OFFSET($H$3,0,0,'Données projet'!$E$12+1,1))</f>
        <v>251.30277097589737</v>
      </c>
      <c r="CE164" s="59">
        <f t="shared" si="148"/>
        <v>224.11983819941796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4.4449142809037507</v>
      </c>
      <c r="CL164" s="21">
        <f>EXP(-LN(2)/25)*CL163+(1-EXP(-LN(2)/25))/(LN(2)/25)*Calculateur!CG164*Calculateur!CI164*VLOOKUP('Données projet'!$B$12,Paramètres!$A$1:$I$89,3,0)*0.475*44/12</f>
        <v>7.000075063918259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11.444989344822009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2.8421709430404007E-14</v>
      </c>
      <c r="CU164" s="17">
        <f>CT164*VLOOKUP('Données projet'!$B$13,Paramètres!$A$1:$I$89,3,0)*VLOOKUP('Données projet'!$B$13,Paramètres!$A$1:$I$89,5,0)</f>
        <v>2.4829205358400945E-14</v>
      </c>
      <c r="CV164" s="13">
        <f t="shared" si="173"/>
        <v>4.3867331143352915E-13</v>
      </c>
      <c r="CW164" s="20">
        <f t="shared" si="174"/>
        <v>8.0726688341261168E-13</v>
      </c>
      <c r="CX164" s="59">
        <f t="shared" si="122"/>
        <v>287.8557784676205</v>
      </c>
      <c r="CY164" s="59">
        <f ca="1">AVERAGE(OFFSET($CX$3,0,0,'Données projet'!$E$13+1,1))-AVERAGE(OFFSET($H$3,0,0,'Données projet'!$E$13+1,1))</f>
        <v>287.28439432670405</v>
      </c>
      <c r="CZ164" s="59">
        <f t="shared" si="150"/>
        <v>276.01618888357268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6.6322804760042207</v>
      </c>
      <c r="DG164" s="21">
        <f>EXP(-LN(2)/25)*DG163+(1-EXP(-LN(2)/25))/(LN(2)/25)*Calculateur!DB164*Calculateur!DD164*VLOOKUP('Données projet'!$B$13,Paramètres!$A$1:$I$89,3,0)*0.475*44/12</f>
        <v>3.8628490570961609</v>
      </c>
      <c r="DH164" s="21">
        <f>EXP(-LN(2)/2)*DH163+(1-EXP(-LN(2)/2))/(LN(2)/2)*DB164*DE164*VLOOKUP('Données projet'!$B$13,Paramètres!$A$1:$I$89,3,0)*0.475*44/12</f>
        <v>2.9227055224407042E-11</v>
      </c>
      <c r="DI164" s="22">
        <f t="shared" si="175"/>
        <v>10.495129533129608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-9.9475983006414026E-14</v>
      </c>
      <c r="DP164" s="17">
        <f>DO164*VLOOKUP('Données projet'!$B$14,Paramètres!$A$1:$I$89,3,0)*VLOOKUP('Données projet'!$B$14,Paramètres!$A$1:$I$89,5,0)</f>
        <v>-9.6213170763803652E-14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206.5245935130306</v>
      </c>
      <c r="DU164" s="59">
        <f t="shared" si="152"/>
        <v>130.57011290898546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6.2480643476490973</v>
      </c>
      <c r="EB164" s="21">
        <f>EXP(-LN(2)/25)*EB163+(1-EXP(-LN(2)/25))/(LN(2)/25)*Calculateur!DW164*Calculateur!DY164*VLOOKUP('Données projet'!$B$14,Paramètres!$A$1:$I$89,3,0)*0.475*44/12</f>
        <v>5.9019061329557267</v>
      </c>
      <c r="EC164" s="21">
        <f>EXP(-LN(2)/2)*EC163+(1-EXP(-LN(2)/2))/(LN(2)/2)*DW164*DZ164*VLOOKUP('Données projet'!$B$14,Paramètres!$A$1:$I$89,3,0)*0.475*44/12</f>
        <v>1.9048343648812336E-5</v>
      </c>
      <c r="ED164" s="22">
        <f t="shared" si="178"/>
        <v>12.149989528948474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1.7053025658242404E-13</v>
      </c>
      <c r="EK164" s="17">
        <f>EJ164*VLOOKUP('Données projet'!$B$15,Paramètres!$A$1:$I$89,3,0)*VLOOKUP('Données projet'!$B$15,Paramètres!$A$1:$I$89,5,0)</f>
        <v>7.9808160080574461E-14</v>
      </c>
      <c r="EL164" s="13">
        <f t="shared" si="179"/>
        <v>1.2308384591775343E-12</v>
      </c>
      <c r="EM164" s="20">
        <f t="shared" si="180"/>
        <v>2.282709528541206E-12</v>
      </c>
      <c r="EN164" s="59">
        <f t="shared" si="128"/>
        <v>287.85577846762197</v>
      </c>
      <c r="EO164" s="59">
        <f ca="1">AVERAGE(OFFSET($EN$3,0,0,'Données projet'!$E$15+1,1))-AVERAGE(OFFSET($H$3,0,0,'Données projet'!$E$15+1,1))</f>
        <v>374.38106339726073</v>
      </c>
      <c r="EP164" s="59">
        <f t="shared" si="154"/>
        <v>296.53283288925957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80.295862813422573</v>
      </c>
      <c r="EW164" s="21">
        <f>EXP(-LN(2)/25)*EW163+(1-EXP(-LN(2)/25))/(LN(2)/25)*Calculateur!ER164*Calculateur!ET164*VLOOKUP('Données projet'!$B$15,Paramètres!$A$1:$I$89,3,0)*0.475*44/12</f>
        <v>19.549561396062309</v>
      </c>
      <c r="EX164" s="21">
        <f>EXP(-LN(2)/2)*EX163+(1-EXP(-LN(2)/2))/(LN(2)/2)*ER164*EU164*VLOOKUP('Données projet'!$B$15,Paramètres!$A$1:$I$89,3,0)*0.475*44/12</f>
        <v>9.8903362044002732E-4</v>
      </c>
      <c r="EY164" s="22">
        <f t="shared" si="181"/>
        <v>99.846413243105332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9">
        <f t="shared" si="109"/>
        <v>1369.9497423494806</v>
      </c>
      <c r="S165" s="59">
        <f ca="1">AVERAGE(OFFSET($R$3,0,0,'Données projet'!$E$9+1,1))-AVERAGE(OFFSET($H$3,0,0,'Données projet'!$E$9+1,1))</f>
        <v>681.47578137804555</v>
      </c>
      <c r="T165" s="59">
        <f t="shared" si="142"/>
        <v>300.88511065995885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1.0818439477588981E-13</v>
      </c>
      <c r="AK165" s="13">
        <f t="shared" si="164"/>
        <v>1.6104228458716316E-12</v>
      </c>
      <c r="AL165" s="20">
        <f t="shared" si="165"/>
        <v>2.9932409441277661E-12</v>
      </c>
      <c r="AM165" s="59">
        <f t="shared" si="113"/>
        <v>287.95080179856473</v>
      </c>
      <c r="AN165" s="59">
        <f ca="1">AVERAGE(OFFSET($AM$3,0,0,'Données projet'!$E$10+1,1))-AVERAGE(OFFSET($H$3,0,0,'Données projet'!$E$10+1,1))</f>
        <v>423.80243030843661</v>
      </c>
      <c r="AO165" s="59">
        <f t="shared" si="144"/>
        <v>260.29028006191834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20.019216718464467</v>
      </c>
      <c r="AV165" s="21">
        <f>EXP(-LN(2)/25)*AV164+(1-EXP(-LN(2)/25))/(LN(2)/25)*Calculateur!AQ165*Calculateur!AS165*VLOOKUP('Données projet'!$B$10,Paramètres!$A$1:$I$89,3,0)*0.475*44/12</f>
        <v>14.425723242316852</v>
      </c>
      <c r="AW165" s="21">
        <f>EXP(-LN(2)/2)*AW164+(1-EXP(-LN(2)/2))/(LN(2)/2)*AQ165*AT165*VLOOKUP('Données projet'!$B$10,Paramètres!$A$1:$I$89,3,0)*0.475*44/12</f>
        <v>3.092310502724872E-5</v>
      </c>
      <c r="AX165" s="21">
        <f t="shared" si="166"/>
        <v>34.444970883886349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-1.3596945791505279E-13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373.61861223558259</v>
      </c>
      <c r="BJ165" s="59">
        <f t="shared" si="146"/>
        <v>277.62293009761049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30.212016549601024</v>
      </c>
      <c r="BQ165" s="21">
        <f>EXP(-LN(2)/25)*BQ164+(1-EXP(-LN(2)/25))/(LN(2)/25)*Calculateur!BL165*Calculateur!BN165*VLOOKUP('Données projet'!$B$11,Paramètres!$A$1:$I$89,3,0)*0.475*44/12</f>
        <v>5.3270250767938672</v>
      </c>
      <c r="BR165" s="21">
        <f>EXP(-LN(2)/2)*BR164+(1-EXP(-LN(2)/2))/(LN(2)/2)*BL165*BO165*VLOOKUP('Données projet'!$B$11,Paramètres!$A$1:$I$89,3,0)*0.475*44/12</f>
        <v>3.2158205977434003E-11</v>
      </c>
      <c r="BS165" s="22">
        <f t="shared" si="169"/>
        <v>35.53904162642705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8.5265128291212022E-14</v>
      </c>
      <c r="BZ165" s="13">
        <f>BY165*VLOOKUP('Données projet'!$B$12,Paramètres!$A$1:$I$89,3,0)*VLOOKUP('Données projet'!$B$12,Paramètres!$A$1:$I$89,5,0)</f>
        <v>7.4487616075202836E-14</v>
      </c>
      <c r="CA165" s="13">
        <f t="shared" si="170"/>
        <v>1.1580453144473142E-12</v>
      </c>
      <c r="CB165" s="20">
        <f t="shared" si="171"/>
        <v>2.1466615206600508E-12</v>
      </c>
      <c r="CC165" s="59">
        <f t="shared" si="119"/>
        <v>287.95080179856387</v>
      </c>
      <c r="CD165" s="59">
        <f ca="1">AVERAGE(OFFSET($CC$3,0,0,'Données projet'!$E$12+1,1))-AVERAGE(OFFSET($H$3,0,0,'Données projet'!$E$12+1,1))</f>
        <v>251.30277097589737</v>
      </c>
      <c r="CE165" s="59">
        <f t="shared" si="148"/>
        <v>224.11983819941796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4.3577522229852379</v>
      </c>
      <c r="CL165" s="21">
        <f>EXP(-LN(2)/25)*CL164+(1-EXP(-LN(2)/25))/(LN(2)/25)*Calculateur!CG165*Calculateur!CI165*VLOOKUP('Données projet'!$B$12,Paramètres!$A$1:$I$89,3,0)*0.475*44/12</f>
        <v>6.8086576431774652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11.166409866162702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2.8421709430404007E-14</v>
      </c>
      <c r="CU165" s="17">
        <f>CT165*VLOOKUP('Données projet'!$B$13,Paramètres!$A$1:$I$89,3,0)*VLOOKUP('Données projet'!$B$13,Paramètres!$A$1:$I$89,5,0)</f>
        <v>2.4829205358400945E-14</v>
      </c>
      <c r="CV165" s="13">
        <f t="shared" si="173"/>
        <v>4.3867331143352915E-13</v>
      </c>
      <c r="CW165" s="20">
        <f t="shared" si="174"/>
        <v>8.0726688341261168E-13</v>
      </c>
      <c r="CX165" s="59">
        <f t="shared" si="122"/>
        <v>287.95080179856251</v>
      </c>
      <c r="CY165" s="59">
        <f ca="1">AVERAGE(OFFSET($CX$3,0,0,'Données projet'!$E$13+1,1))-AVERAGE(OFFSET($H$3,0,0,'Données projet'!$E$13+1,1))</f>
        <v>287.28439432670405</v>
      </c>
      <c r="CZ165" s="59">
        <f t="shared" si="150"/>
        <v>276.01618888357268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6.5022255011614289</v>
      </c>
      <c r="DG165" s="21">
        <f>EXP(-LN(2)/25)*DG164+(1-EXP(-LN(2)/25))/(LN(2)/25)*Calculateur!DB165*Calculateur!DD165*VLOOKUP('Données projet'!$B$13,Paramètres!$A$1:$I$89,3,0)*0.475*44/12</f>
        <v>3.7572192464914633</v>
      </c>
      <c r="DH165" s="21">
        <f>EXP(-LN(2)/2)*DH164+(1-EXP(-LN(2)/2))/(LN(2)/2)*DB165*DE165*VLOOKUP('Données projet'!$B$13,Paramètres!$A$1:$I$89,3,0)*0.475*44/12</f>
        <v>2.0666648943291931E-11</v>
      </c>
      <c r="DI165" s="22">
        <f t="shared" si="175"/>
        <v>10.259444747673559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-9.9475983006414026E-14</v>
      </c>
      <c r="DP165" s="17">
        <f>DO165*VLOOKUP('Données projet'!$B$14,Paramètres!$A$1:$I$89,3,0)*VLOOKUP('Données projet'!$B$14,Paramètres!$A$1:$I$89,5,0)</f>
        <v>-9.6213170763803652E-14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206.5245935130306</v>
      </c>
      <c r="DU165" s="59">
        <f t="shared" si="152"/>
        <v>130.57011290898546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6.1255436167346513</v>
      </c>
      <c r="EB165" s="21">
        <f>EXP(-LN(2)/25)*EB164+(1-EXP(-LN(2)/25))/(LN(2)/25)*Calculateur!DW165*Calculateur!DY165*VLOOKUP('Données projet'!$B$14,Paramètres!$A$1:$I$89,3,0)*0.475*44/12</f>
        <v>5.740518199382298</v>
      </c>
      <c r="EC165" s="21">
        <f>EXP(-LN(2)/2)*EC164+(1-EXP(-LN(2)/2))/(LN(2)/2)*DW165*DZ165*VLOOKUP('Données projet'!$B$14,Paramètres!$A$1:$I$89,3,0)*0.475*44/12</f>
        <v>1.3469212964446907E-5</v>
      </c>
      <c r="ED165" s="22">
        <f t="shared" si="178"/>
        <v>11.866075285329915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1.7053025658242404E-13</v>
      </c>
      <c r="EK165" s="17">
        <f>EJ165*VLOOKUP('Données projet'!$B$15,Paramètres!$A$1:$I$89,3,0)*VLOOKUP('Données projet'!$B$15,Paramètres!$A$1:$I$89,5,0)</f>
        <v>7.9808160080574461E-14</v>
      </c>
      <c r="EL165" s="13">
        <f t="shared" si="179"/>
        <v>1.2308384591775343E-12</v>
      </c>
      <c r="EM165" s="20">
        <f t="shared" si="180"/>
        <v>2.282709528541206E-12</v>
      </c>
      <c r="EN165" s="59">
        <f t="shared" si="128"/>
        <v>287.95080179856399</v>
      </c>
      <c r="EO165" s="59">
        <f ca="1">AVERAGE(OFFSET($EN$3,0,0,'Données projet'!$E$15+1,1))-AVERAGE(OFFSET($H$3,0,0,'Données projet'!$E$15+1,1))</f>
        <v>374.38106339726073</v>
      </c>
      <c r="EP165" s="59">
        <f t="shared" si="154"/>
        <v>296.53283288925957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78.721309919291727</v>
      </c>
      <c r="EW165" s="21">
        <f>EXP(-LN(2)/25)*EW164+(1-EXP(-LN(2)/25))/(LN(2)/25)*Calculateur!ER165*Calculateur!ET165*VLOOKUP('Données projet'!$B$15,Paramètres!$A$1:$I$89,3,0)*0.475*44/12</f>
        <v>19.014977611620232</v>
      </c>
      <c r="EX165" s="21">
        <f>EXP(-LN(2)/2)*EX164+(1-EXP(-LN(2)/2))/(LN(2)/2)*ER165*EU165*VLOOKUP('Données projet'!$B$15,Paramètres!$A$1:$I$89,3,0)*0.475*44/12</f>
        <v>6.9935237983462532E-4</v>
      </c>
      <c r="EY165" s="22">
        <f t="shared" si="181"/>
        <v>97.736986883291806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9">
        <f t="shared" si="109"/>
        <v>1387.9401280212558</v>
      </c>
      <c r="S166" s="59">
        <f ca="1">AVERAGE(OFFSET($R$3,0,0,'Données projet'!$E$9+1,1))-AVERAGE(OFFSET($H$3,0,0,'Données projet'!$E$9+1,1))</f>
        <v>681.47578137804555</v>
      </c>
      <c r="T166" s="59">
        <f t="shared" si="142"/>
        <v>300.88511065995885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1.0818439477588981E-13</v>
      </c>
      <c r="AK166" s="13">
        <f t="shared" si="164"/>
        <v>1.6104228458716316E-12</v>
      </c>
      <c r="AL166" s="20">
        <f t="shared" si="165"/>
        <v>2.9932409441277661E-12</v>
      </c>
      <c r="AM166" s="59">
        <f t="shared" si="113"/>
        <v>288.04417668715524</v>
      </c>
      <c r="AN166" s="59">
        <f ca="1">AVERAGE(OFFSET($AM$3,0,0,'Données projet'!$E$10+1,1))-AVERAGE(OFFSET($H$3,0,0,'Données projet'!$E$10+1,1))</f>
        <v>423.80243030843661</v>
      </c>
      <c r="AO166" s="59">
        <f t="shared" si="144"/>
        <v>260.29028006191834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19.626652089131888</v>
      </c>
      <c r="AV166" s="21">
        <f>EXP(-LN(2)/25)*AV165+(1-EXP(-LN(2)/25))/(LN(2)/25)*Calculateur!AQ166*Calculateur!AS166*VLOOKUP('Données projet'!$B$10,Paramètres!$A$1:$I$89,3,0)*0.475*44/12</f>
        <v>14.031251081639883</v>
      </c>
      <c r="AW166" s="21">
        <f>EXP(-LN(2)/2)*AW165+(1-EXP(-LN(2)/2))/(LN(2)/2)*AQ166*AT166*VLOOKUP('Données projet'!$B$10,Paramètres!$A$1:$I$89,3,0)*0.475*44/12</f>
        <v>2.1865937260111388E-5</v>
      </c>
      <c r="AX166" s="21">
        <f t="shared" si="166"/>
        <v>33.657925036709038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-1.3596945791505279E-13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373.61861223558259</v>
      </c>
      <c r="BJ166" s="59">
        <f t="shared" si="146"/>
        <v>277.62293009761049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29.619577332573879</v>
      </c>
      <c r="BQ166" s="21">
        <f>EXP(-LN(2)/25)*BQ165+(1-EXP(-LN(2)/25))/(LN(2)/25)*Calculateur!BL166*Calculateur!BN166*VLOOKUP('Données projet'!$B$11,Paramètres!$A$1:$I$89,3,0)*0.475*44/12</f>
        <v>5.1813572959328651</v>
      </c>
      <c r="BR166" s="21">
        <f>EXP(-LN(2)/2)*BR165+(1-EXP(-LN(2)/2))/(LN(2)/2)*BL166*BO166*VLOOKUP('Données projet'!$B$11,Paramètres!$A$1:$I$89,3,0)*0.475*44/12</f>
        <v>2.273928551743735E-11</v>
      </c>
      <c r="BS166" s="22">
        <f t="shared" si="169"/>
        <v>34.800934628529482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8.5265128291212022E-14</v>
      </c>
      <c r="BZ166" s="13">
        <f>BY166*VLOOKUP('Données projet'!$B$12,Paramètres!$A$1:$I$89,3,0)*VLOOKUP('Données projet'!$B$12,Paramètres!$A$1:$I$89,5,0)</f>
        <v>7.4487616075202836E-14</v>
      </c>
      <c r="CA166" s="13">
        <f t="shared" si="170"/>
        <v>1.1580453144473142E-12</v>
      </c>
      <c r="CB166" s="20">
        <f t="shared" si="171"/>
        <v>2.1466615206600508E-12</v>
      </c>
      <c r="CC166" s="59">
        <f t="shared" si="119"/>
        <v>288.04417668715439</v>
      </c>
      <c r="CD166" s="59">
        <f ca="1">AVERAGE(OFFSET($CC$3,0,0,'Données projet'!$E$12+1,1))-AVERAGE(OFFSET($H$3,0,0,'Données projet'!$E$12+1,1))</f>
        <v>251.30277097589737</v>
      </c>
      <c r="CE166" s="59">
        <f t="shared" si="148"/>
        <v>224.11983819941796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4.2722993598589012</v>
      </c>
      <c r="CL166" s="21">
        <f>EXP(-LN(2)/25)*CL165+(1-EXP(-LN(2)/25))/(LN(2)/25)*Calculateur!CG166*Calculateur!CI166*VLOOKUP('Données projet'!$B$12,Paramètres!$A$1:$I$89,3,0)*0.475*44/12</f>
        <v>6.6224745418730331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10.894773901731934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2.8421709430404007E-14</v>
      </c>
      <c r="CU166" s="17">
        <f>CT166*VLOOKUP('Données projet'!$B$13,Paramètres!$A$1:$I$89,3,0)*VLOOKUP('Données projet'!$B$13,Paramètres!$A$1:$I$89,5,0)</f>
        <v>2.4829205358400945E-14</v>
      </c>
      <c r="CV166" s="13">
        <f t="shared" si="173"/>
        <v>4.3867331143352915E-13</v>
      </c>
      <c r="CW166" s="20">
        <f t="shared" si="174"/>
        <v>8.0726688341261168E-13</v>
      </c>
      <c r="CX166" s="59">
        <f t="shared" si="122"/>
        <v>288.04417668715303</v>
      </c>
      <c r="CY166" s="59">
        <f ca="1">AVERAGE(OFFSET($CX$3,0,0,'Données projet'!$E$13+1,1))-AVERAGE(OFFSET($H$3,0,0,'Données projet'!$E$13+1,1))</f>
        <v>287.28439432670405</v>
      </c>
      <c r="CZ166" s="59">
        <f t="shared" si="150"/>
        <v>276.01618888357268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6.3747208250496028</v>
      </c>
      <c r="DG166" s="21">
        <f>EXP(-LN(2)/25)*DG165+(1-EXP(-LN(2)/25))/(LN(2)/25)*Calculateur!DB166*Calculateur!DD166*VLOOKUP('Données projet'!$B$13,Paramètres!$A$1:$I$89,3,0)*0.475*44/12</f>
        <v>3.6544778886125813</v>
      </c>
      <c r="DH166" s="21">
        <f>EXP(-LN(2)/2)*DH165+(1-EXP(-LN(2)/2))/(LN(2)/2)*DB166*DE166*VLOOKUP('Données projet'!$B$13,Paramètres!$A$1:$I$89,3,0)*0.475*44/12</f>
        <v>1.4613527612203521E-11</v>
      </c>
      <c r="DI166" s="22">
        <f t="shared" si="175"/>
        <v>10.029198713676799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-9.9475983006414026E-14</v>
      </c>
      <c r="DP166" s="17">
        <f>DO166*VLOOKUP('Données projet'!$B$14,Paramètres!$A$1:$I$89,3,0)*VLOOKUP('Données projet'!$B$14,Paramètres!$A$1:$I$89,5,0)</f>
        <v>-9.6213170763803652E-14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206.5245935130306</v>
      </c>
      <c r="DU166" s="59">
        <f t="shared" si="152"/>
        <v>130.57011290898546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6.0054254426231708</v>
      </c>
      <c r="EB166" s="21">
        <f>EXP(-LN(2)/25)*EB165+(1-EXP(-LN(2)/25))/(LN(2)/25)*Calculateur!DW166*Calculateur!DY166*VLOOKUP('Données projet'!$B$14,Paramètres!$A$1:$I$89,3,0)*0.475*44/12</f>
        <v>5.5835434273394569</v>
      </c>
      <c r="EC166" s="21">
        <f>EXP(-LN(2)/2)*EC165+(1-EXP(-LN(2)/2))/(LN(2)/2)*DW166*DZ166*VLOOKUP('Données projet'!$B$14,Paramètres!$A$1:$I$89,3,0)*0.475*44/12</f>
        <v>9.5241718244061681E-6</v>
      </c>
      <c r="ED166" s="22">
        <f t="shared" si="178"/>
        <v>11.588978394134452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1.7053025658242404E-13</v>
      </c>
      <c r="EK166" s="17">
        <f>EJ166*VLOOKUP('Données projet'!$B$15,Paramètres!$A$1:$I$89,3,0)*VLOOKUP('Données projet'!$B$15,Paramètres!$A$1:$I$89,5,0)</f>
        <v>7.9808160080574461E-14</v>
      </c>
      <c r="EL166" s="13">
        <f t="shared" si="179"/>
        <v>1.2308384591775343E-12</v>
      </c>
      <c r="EM166" s="20">
        <f t="shared" si="180"/>
        <v>2.282709528541206E-12</v>
      </c>
      <c r="EN166" s="59">
        <f t="shared" si="128"/>
        <v>288.0441766871545</v>
      </c>
      <c r="EO166" s="59">
        <f ca="1">AVERAGE(OFFSET($EN$3,0,0,'Données projet'!$E$15+1,1))-AVERAGE(OFFSET($H$3,0,0,'Données projet'!$E$15+1,1))</f>
        <v>374.38106339726073</v>
      </c>
      <c r="EP166" s="59">
        <f t="shared" si="154"/>
        <v>296.53283288925957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77.177633047032359</v>
      </c>
      <c r="EW166" s="21">
        <f>EXP(-LN(2)/25)*EW165+(1-EXP(-LN(2)/25))/(LN(2)/25)*Calculateur!ER166*Calculateur!ET166*VLOOKUP('Données projet'!$B$15,Paramètres!$A$1:$I$89,3,0)*0.475*44/12</f>
        <v>18.495012048876262</v>
      </c>
      <c r="EX166" s="21">
        <f>EXP(-LN(2)/2)*EX165+(1-EXP(-LN(2)/2))/(LN(2)/2)*ER166*EU166*VLOOKUP('Données projet'!$B$15,Paramètres!$A$1:$I$89,3,0)*0.475*44/12</f>
        <v>4.9451681022001366E-4</v>
      </c>
      <c r="EY166" s="22">
        <f t="shared" si="181"/>
        <v>95.673139612718842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9">
        <f t="shared" si="109"/>
        <v>1405.9232008267759</v>
      </c>
      <c r="S167" s="59">
        <f ca="1">AVERAGE(OFFSET($R$3,0,0,'Données projet'!$E$9+1,1))-AVERAGE(OFFSET($H$3,0,0,'Données projet'!$E$9+1,1))</f>
        <v>681.47578137804555</v>
      </c>
      <c r="T167" s="59">
        <f t="shared" si="142"/>
        <v>300.88511065995885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1.0818439477588981E-13</v>
      </c>
      <c r="AK167" s="13">
        <f t="shared" si="164"/>
        <v>1.6104228458716316E-12</v>
      </c>
      <c r="AL167" s="20">
        <f t="shared" si="165"/>
        <v>2.9932409441277661E-12</v>
      </c>
      <c r="AM167" s="59">
        <f t="shared" si="113"/>
        <v>288.1359317301837</v>
      </c>
      <c r="AN167" s="59">
        <f ca="1">AVERAGE(OFFSET($AM$3,0,0,'Données projet'!$E$10+1,1))-AVERAGE(OFFSET($H$3,0,0,'Données projet'!$E$10+1,1))</f>
        <v>423.80243030843661</v>
      </c>
      <c r="AO167" s="59">
        <f t="shared" si="144"/>
        <v>260.29028006191834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19.241785412739741</v>
      </c>
      <c r="AV167" s="21">
        <f>EXP(-LN(2)/25)*AV166+(1-EXP(-LN(2)/25))/(LN(2)/25)*Calculateur!AQ167*Calculateur!AS167*VLOOKUP('Données projet'!$B$10,Paramètres!$A$1:$I$89,3,0)*0.475*44/12</f>
        <v>13.647565782941015</v>
      </c>
      <c r="AW167" s="21">
        <f>EXP(-LN(2)/2)*AW166+(1-EXP(-LN(2)/2))/(LN(2)/2)*AQ167*AT167*VLOOKUP('Données projet'!$B$10,Paramètres!$A$1:$I$89,3,0)*0.475*44/12</f>
        <v>1.546155251362436E-5</v>
      </c>
      <c r="AX167" s="21">
        <f t="shared" si="166"/>
        <v>32.889366657233275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-1.3596945791505279E-13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373.61861223558259</v>
      </c>
      <c r="BJ167" s="59">
        <f t="shared" si="146"/>
        <v>277.62293009761049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29.038755487240394</v>
      </c>
      <c r="BQ167" s="21">
        <f>EXP(-LN(2)/25)*BQ166+(1-EXP(-LN(2)/25))/(LN(2)/25)*Calculateur!BL167*Calculateur!BN167*VLOOKUP('Données projet'!$B$11,Paramètres!$A$1:$I$89,3,0)*0.475*44/12</f>
        <v>5.0396728081998425</v>
      </c>
      <c r="BR167" s="21">
        <f>EXP(-LN(2)/2)*BR166+(1-EXP(-LN(2)/2))/(LN(2)/2)*BL167*BO167*VLOOKUP('Données projet'!$B$11,Paramètres!$A$1:$I$89,3,0)*0.475*44/12</f>
        <v>1.6079102988717001E-11</v>
      </c>
      <c r="BS167" s="22">
        <f t="shared" si="169"/>
        <v>34.078428295456312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8.5265128291212022E-14</v>
      </c>
      <c r="BZ167" s="13">
        <f>BY167*VLOOKUP('Données projet'!$B$12,Paramètres!$A$1:$I$89,3,0)*VLOOKUP('Données projet'!$B$12,Paramètres!$A$1:$I$89,5,0)</f>
        <v>7.4487616075202836E-14</v>
      </c>
      <c r="CA167" s="13">
        <f t="shared" si="170"/>
        <v>1.1580453144473142E-12</v>
      </c>
      <c r="CB167" s="20">
        <f t="shared" si="171"/>
        <v>2.1466615206600508E-12</v>
      </c>
      <c r="CC167" s="59">
        <f t="shared" si="119"/>
        <v>288.13593173018285</v>
      </c>
      <c r="CD167" s="59">
        <f ca="1">AVERAGE(OFFSET($CC$3,0,0,'Données projet'!$E$12+1,1))-AVERAGE(OFFSET($H$3,0,0,'Données projet'!$E$12+1,1))</f>
        <v>251.30277097589737</v>
      </c>
      <c r="CE167" s="59">
        <f t="shared" si="148"/>
        <v>224.11983819941796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4.188522175257372</v>
      </c>
      <c r="CL167" s="21">
        <f>EXP(-LN(2)/25)*CL166+(1-EXP(-LN(2)/25))/(LN(2)/25)*Calculateur!CG167*Calculateur!CI167*VLOOKUP('Données projet'!$B$12,Paramètres!$A$1:$I$89,3,0)*0.475*44/12</f>
        <v>6.4413826272647148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10.629904802522088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2.8421709430404007E-14</v>
      </c>
      <c r="CU167" s="17">
        <f>CT167*VLOOKUP('Données projet'!$B$13,Paramètres!$A$1:$I$89,3,0)*VLOOKUP('Données projet'!$B$13,Paramètres!$A$1:$I$89,5,0)</f>
        <v>2.4829205358400945E-14</v>
      </c>
      <c r="CV167" s="13">
        <f t="shared" si="173"/>
        <v>4.3867331143352915E-13</v>
      </c>
      <c r="CW167" s="20">
        <f t="shared" si="174"/>
        <v>8.0726688341261168E-13</v>
      </c>
      <c r="CX167" s="59">
        <f t="shared" si="122"/>
        <v>288.13593173018148</v>
      </c>
      <c r="CY167" s="59">
        <f ca="1">AVERAGE(OFFSET($CX$3,0,0,'Données projet'!$E$13+1,1))-AVERAGE(OFFSET($H$3,0,0,'Données projet'!$E$13+1,1))</f>
        <v>287.28439432670405</v>
      </c>
      <c r="CZ167" s="59">
        <f t="shared" si="150"/>
        <v>276.01618888357268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6.249716437866156</v>
      </c>
      <c r="DG167" s="21">
        <f>EXP(-LN(2)/25)*DG166+(1-EXP(-LN(2)/25))/(LN(2)/25)*Calculateur!DB167*Calculateur!DD167*VLOOKUP('Données projet'!$B$13,Paramètres!$A$1:$I$89,3,0)*0.475*44/12</f>
        <v>3.5545459985678307</v>
      </c>
      <c r="DH167" s="21">
        <f>EXP(-LN(2)/2)*DH166+(1-EXP(-LN(2)/2))/(LN(2)/2)*DB167*DE167*VLOOKUP('Données projet'!$B$13,Paramètres!$A$1:$I$89,3,0)*0.475*44/12</f>
        <v>1.0333324471645966E-11</v>
      </c>
      <c r="DI167" s="22">
        <f t="shared" si="175"/>
        <v>9.8042624364443203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-9.9475983006414026E-14</v>
      </c>
      <c r="DP167" s="17">
        <f>DO167*VLOOKUP('Données projet'!$B$14,Paramètres!$A$1:$I$89,3,0)*VLOOKUP('Données projet'!$B$14,Paramètres!$A$1:$I$89,5,0)</f>
        <v>-9.6213170763803652E-14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206.5245935130306</v>
      </c>
      <c r="DU167" s="59">
        <f t="shared" si="152"/>
        <v>130.57011290898546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5.8876627126411645</v>
      </c>
      <c r="EB167" s="21">
        <f>EXP(-LN(2)/25)*EB166+(1-EXP(-LN(2)/25))/(LN(2)/25)*Calculateur!DW167*Calculateur!DY167*VLOOKUP('Données projet'!$B$14,Paramètres!$A$1:$I$89,3,0)*0.475*44/12</f>
        <v>5.4308611386930723</v>
      </c>
      <c r="EC167" s="21">
        <f>EXP(-LN(2)/2)*EC166+(1-EXP(-LN(2)/2))/(LN(2)/2)*DW167*DZ167*VLOOKUP('Données projet'!$B$14,Paramètres!$A$1:$I$89,3,0)*0.475*44/12</f>
        <v>6.7346064822234535E-6</v>
      </c>
      <c r="ED167" s="22">
        <f t="shared" si="178"/>
        <v>11.318530585940719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1.7053025658242404E-13</v>
      </c>
      <c r="EK167" s="17">
        <f>EJ167*VLOOKUP('Données projet'!$B$15,Paramètres!$A$1:$I$89,3,0)*VLOOKUP('Données projet'!$B$15,Paramètres!$A$1:$I$89,5,0)</f>
        <v>7.9808160080574461E-14</v>
      </c>
      <c r="EL167" s="13">
        <f t="shared" si="179"/>
        <v>1.2308384591775343E-12</v>
      </c>
      <c r="EM167" s="20">
        <f t="shared" si="180"/>
        <v>2.282709528541206E-12</v>
      </c>
      <c r="EN167" s="59">
        <f t="shared" si="128"/>
        <v>288.13593173018296</v>
      </c>
      <c r="EO167" s="59">
        <f ca="1">AVERAGE(OFFSET($EN$3,0,0,'Données projet'!$E$15+1,1))-AVERAGE(OFFSET($H$3,0,0,'Données projet'!$E$15+1,1))</f>
        <v>374.38106339726073</v>
      </c>
      <c r="EP167" s="59">
        <f t="shared" si="154"/>
        <v>296.53283288925957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75.664226736688065</v>
      </c>
      <c r="EW167" s="21">
        <f>EXP(-LN(2)/25)*EW166+(1-EXP(-LN(2)/25))/(LN(2)/25)*Calculateur!ER167*Calculateur!ET167*VLOOKUP('Données projet'!$B$15,Paramètres!$A$1:$I$89,3,0)*0.475*44/12</f>
        <v>17.989264971789328</v>
      </c>
      <c r="EX167" s="21">
        <f>EXP(-LN(2)/2)*EX166+(1-EXP(-LN(2)/2))/(LN(2)/2)*ER167*EU167*VLOOKUP('Données projet'!$B$15,Paramètres!$A$1:$I$89,3,0)*0.475*44/12</f>
        <v>3.4967618991731266E-4</v>
      </c>
      <c r="EY167" s="22">
        <f t="shared" si="181"/>
        <v>93.653841384667302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9">
        <f t="shared" si="109"/>
        <v>1299.5790775591615</v>
      </c>
      <c r="S168" s="59">
        <f ca="1">AVERAGE(OFFSET($R$3,0,0,'Données projet'!$E$9+1,1))-AVERAGE(OFFSET($H$3,0,0,'Données projet'!$E$9+1,1))</f>
        <v>681.47578137804555</v>
      </c>
      <c r="T168" s="59">
        <f t="shared" si="142"/>
        <v>300.88511065995885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1.0818439477588981E-13</v>
      </c>
      <c r="AK168" s="13">
        <f t="shared" si="164"/>
        <v>1.6104228458716316E-12</v>
      </c>
      <c r="AL168" s="20">
        <f t="shared" si="165"/>
        <v>2.9932409441277661E-12</v>
      </c>
      <c r="AM168" s="59">
        <f t="shared" si="113"/>
        <v>288.22609502834916</v>
      </c>
      <c r="AN168" s="59">
        <f ca="1">AVERAGE(OFFSET($AM$3,0,0,'Données projet'!$E$10+1,1))-AVERAGE(OFFSET($H$3,0,0,'Données projet'!$E$10+1,1))</f>
        <v>423.80243030843661</v>
      </c>
      <c r="AO168" s="59">
        <f t="shared" si="144"/>
        <v>260.29028006191834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18.864465737126149</v>
      </c>
      <c r="AV168" s="21">
        <f>EXP(-LN(2)/25)*AV167+(1-EXP(-LN(2)/25))/(LN(2)/25)*Calculateur!AQ168*Calculateur!AS168*VLOOKUP('Données projet'!$B$10,Paramètres!$A$1:$I$89,3,0)*0.475*44/12</f>
        <v>13.274372378912201</v>
      </c>
      <c r="AW168" s="21">
        <f>EXP(-LN(2)/2)*AW167+(1-EXP(-LN(2)/2))/(LN(2)/2)*AQ168*AT168*VLOOKUP('Données projet'!$B$10,Paramètres!$A$1:$I$89,3,0)*0.475*44/12</f>
        <v>1.0932968630055694E-5</v>
      </c>
      <c r="AX168" s="21">
        <f t="shared" si="166"/>
        <v>32.138849049006978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-1.3596945791505279E-13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373.61861223558259</v>
      </c>
      <c r="BJ168" s="59">
        <f t="shared" si="146"/>
        <v>277.62293009761049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28.469323204027553</v>
      </c>
      <c r="BQ168" s="21">
        <f>EXP(-LN(2)/25)*BQ167+(1-EXP(-LN(2)/25))/(LN(2)/25)*Calculateur!BL168*Calculateur!BN168*VLOOKUP('Données projet'!$B$11,Paramètres!$A$1:$I$89,3,0)*0.475*44/12</f>
        <v>4.9018626902347435</v>
      </c>
      <c r="BR168" s="21">
        <f>EXP(-LN(2)/2)*BR167+(1-EXP(-LN(2)/2))/(LN(2)/2)*BL168*BO168*VLOOKUP('Données projet'!$B$11,Paramètres!$A$1:$I$89,3,0)*0.475*44/12</f>
        <v>1.1369642758718675E-11</v>
      </c>
      <c r="BS168" s="22">
        <f t="shared" si="169"/>
        <v>33.371185894273665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8.5265128291212022E-14</v>
      </c>
      <c r="BZ168" s="13">
        <f>BY168*VLOOKUP('Données projet'!$B$12,Paramètres!$A$1:$I$89,3,0)*VLOOKUP('Données projet'!$B$12,Paramètres!$A$1:$I$89,5,0)</f>
        <v>7.4487616075202836E-14</v>
      </c>
      <c r="CA168" s="13">
        <f t="shared" si="170"/>
        <v>1.1580453144473142E-12</v>
      </c>
      <c r="CB168" s="20">
        <f t="shared" si="171"/>
        <v>2.1466615206600508E-12</v>
      </c>
      <c r="CC168" s="59">
        <f t="shared" si="119"/>
        <v>288.22609502834831</v>
      </c>
      <c r="CD168" s="59">
        <f ca="1">AVERAGE(OFFSET($CC$3,0,0,'Données projet'!$E$12+1,1))-AVERAGE(OFFSET($H$3,0,0,'Données projet'!$E$12+1,1))</f>
        <v>251.30277097589737</v>
      </c>
      <c r="CE168" s="59">
        <f t="shared" si="148"/>
        <v>224.11983819941796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4.1063878101468418</v>
      </c>
      <c r="CL168" s="21">
        <f>EXP(-LN(2)/25)*CL167+(1-EXP(-LN(2)/25))/(LN(2)/25)*Calculateur!CG168*Calculateur!CI168*VLOOKUP('Données projet'!$B$12,Paramètres!$A$1:$I$89,3,0)*0.475*44/12</f>
        <v>6.2652426805845707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10.371630490731413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2.8421709430404007E-14</v>
      </c>
      <c r="CU168" s="17">
        <f>CT168*VLOOKUP('Données projet'!$B$13,Paramètres!$A$1:$I$89,3,0)*VLOOKUP('Données projet'!$B$13,Paramètres!$A$1:$I$89,5,0)</f>
        <v>2.4829205358400945E-14</v>
      </c>
      <c r="CV168" s="13">
        <f t="shared" si="173"/>
        <v>4.3867331143352915E-13</v>
      </c>
      <c r="CW168" s="20">
        <f t="shared" si="174"/>
        <v>8.0726688341261168E-13</v>
      </c>
      <c r="CX168" s="59">
        <f t="shared" si="122"/>
        <v>288.22609502834695</v>
      </c>
      <c r="CY168" s="59">
        <f ca="1">AVERAGE(OFFSET($CX$3,0,0,'Données projet'!$E$13+1,1))-AVERAGE(OFFSET($H$3,0,0,'Données projet'!$E$13+1,1))</f>
        <v>287.28439432670405</v>
      </c>
      <c r="CZ168" s="59">
        <f t="shared" si="150"/>
        <v>276.01618888357268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6.1271633104702286</v>
      </c>
      <c r="DG168" s="21">
        <f>EXP(-LN(2)/25)*DG167+(1-EXP(-LN(2)/25))/(LN(2)/25)*Calculateur!DB168*Calculateur!DD168*VLOOKUP('Données projet'!$B$13,Paramètres!$A$1:$I$89,3,0)*0.475*44/12</f>
        <v>3.4573467513115435</v>
      </c>
      <c r="DH168" s="21">
        <f>EXP(-LN(2)/2)*DH167+(1-EXP(-LN(2)/2))/(LN(2)/2)*DB168*DE168*VLOOKUP('Données projet'!$B$13,Paramètres!$A$1:$I$89,3,0)*0.475*44/12</f>
        <v>7.3067638061017604E-12</v>
      </c>
      <c r="DI168" s="22">
        <f t="shared" si="175"/>
        <v>9.5845100617890786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-9.9475983006414026E-14</v>
      </c>
      <c r="DP168" s="17">
        <f>DO168*VLOOKUP('Données projet'!$B$14,Paramètres!$A$1:$I$89,3,0)*VLOOKUP('Données projet'!$B$14,Paramètres!$A$1:$I$89,5,0)</f>
        <v>-9.6213170763803652E-14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206.5245935130306</v>
      </c>
      <c r="DU168" s="59">
        <f t="shared" si="152"/>
        <v>130.57011290898546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5.7722092379659324</v>
      </c>
      <c r="EB168" s="21">
        <f>EXP(-LN(2)/25)*EB167+(1-EXP(-LN(2)/25))/(LN(2)/25)*Calculateur!DW168*Calculateur!DY168*VLOOKUP('Données projet'!$B$14,Paramètres!$A$1:$I$89,3,0)*0.475*44/12</f>
        <v>5.2823539552589356</v>
      </c>
      <c r="EC168" s="21">
        <f>EXP(-LN(2)/2)*EC167+(1-EXP(-LN(2)/2))/(LN(2)/2)*DW168*DZ168*VLOOKUP('Données projet'!$B$14,Paramètres!$A$1:$I$89,3,0)*0.475*44/12</f>
        <v>4.762085912203084E-6</v>
      </c>
      <c r="ED168" s="22">
        <f t="shared" si="178"/>
        <v>11.05456795531078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1.7053025658242404E-13</v>
      </c>
      <c r="EK168" s="17">
        <f>EJ168*VLOOKUP('Données projet'!$B$15,Paramètres!$A$1:$I$89,3,0)*VLOOKUP('Données projet'!$B$15,Paramètres!$A$1:$I$89,5,0)</f>
        <v>7.9808160080574461E-14</v>
      </c>
      <c r="EL168" s="13">
        <f t="shared" si="179"/>
        <v>1.2308384591775343E-12</v>
      </c>
      <c r="EM168" s="20">
        <f t="shared" si="180"/>
        <v>2.282709528541206E-12</v>
      </c>
      <c r="EN168" s="59">
        <f t="shared" si="128"/>
        <v>288.22609502834842</v>
      </c>
      <c r="EO168" s="59">
        <f ca="1">AVERAGE(OFFSET($EN$3,0,0,'Données projet'!$E$15+1,1))-AVERAGE(OFFSET($H$3,0,0,'Données projet'!$E$15+1,1))</f>
        <v>374.38106339726073</v>
      </c>
      <c r="EP168" s="59">
        <f t="shared" si="154"/>
        <v>296.53283288925957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74.180497401002924</v>
      </c>
      <c r="EW168" s="21">
        <f>EXP(-LN(2)/25)*EW167+(1-EXP(-LN(2)/25))/(LN(2)/25)*Calculateur!ER168*Calculateur!ET168*VLOOKUP('Données projet'!$B$15,Paramètres!$A$1:$I$89,3,0)*0.475*44/12</f>
        <v>17.49734757512142</v>
      </c>
      <c r="EX168" s="21">
        <f>EXP(-LN(2)/2)*EX167+(1-EXP(-LN(2)/2))/(LN(2)/2)*ER168*EU168*VLOOKUP('Données projet'!$B$15,Paramètres!$A$1:$I$89,3,0)*0.475*44/12</f>
        <v>2.4725840511000683E-4</v>
      </c>
      <c r="EY168" s="22">
        <f t="shared" si="181"/>
        <v>91.678092234529458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9">
        <f t="shared" si="109"/>
        <v>1317.8412781601244</v>
      </c>
      <c r="S169" s="59">
        <f ca="1">AVERAGE(OFFSET($R$3,0,0,'Données projet'!$E$9+1,1))-AVERAGE(OFFSET($H$3,0,0,'Données projet'!$E$9+1,1))</f>
        <v>681.47578137804555</v>
      </c>
      <c r="T169" s="59">
        <f t="shared" si="142"/>
        <v>300.88511065995885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1.0818439477588981E-13</v>
      </c>
      <c r="AK169" s="13">
        <f t="shared" si="164"/>
        <v>1.6104228458716316E-12</v>
      </c>
      <c r="AL169" s="20">
        <f t="shared" si="165"/>
        <v>2.9932409441277661E-12</v>
      </c>
      <c r="AM169" s="59">
        <f t="shared" si="113"/>
        <v>288.31469419486643</v>
      </c>
      <c r="AN169" s="59">
        <f ca="1">AVERAGE(OFFSET($AM$3,0,0,'Données projet'!$E$10+1,1))-AVERAGE(OFFSET($H$3,0,0,'Données projet'!$E$10+1,1))</f>
        <v>423.80243030843661</v>
      </c>
      <c r="AO169" s="59">
        <f t="shared" si="144"/>
        <v>260.29028006191834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18.494545070209064</v>
      </c>
      <c r="AV169" s="21">
        <f>EXP(-LN(2)/25)*AV168+(1-EXP(-LN(2)/25))/(LN(2)/25)*Calculateur!AQ169*Calculateur!AS169*VLOOKUP('Données projet'!$B$10,Paramètres!$A$1:$I$89,3,0)*0.475*44/12</f>
        <v>12.911383968141942</v>
      </c>
      <c r="AW169" s="21">
        <f>EXP(-LN(2)/2)*AW168+(1-EXP(-LN(2)/2))/(LN(2)/2)*AQ169*AT169*VLOOKUP('Données projet'!$B$10,Paramètres!$A$1:$I$89,3,0)*0.475*44/12</f>
        <v>7.7307762568121801E-6</v>
      </c>
      <c r="AX169" s="21">
        <f t="shared" si="166"/>
        <v>31.405936769127262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-1.3596945791505279E-13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373.61861223558259</v>
      </c>
      <c r="BJ169" s="59">
        <f t="shared" si="146"/>
        <v>277.62293009761049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27.911057140569117</v>
      </c>
      <c r="BQ169" s="21">
        <f>EXP(-LN(2)/25)*BQ168+(1-EXP(-LN(2)/25))/(LN(2)/25)*Calculateur!BL169*Calculateur!BN169*VLOOKUP('Données projet'!$B$11,Paramètres!$A$1:$I$89,3,0)*0.475*44/12</f>
        <v>4.7678209971925192</v>
      </c>
      <c r="BR169" s="21">
        <f>EXP(-LN(2)/2)*BR168+(1-EXP(-LN(2)/2))/(LN(2)/2)*BL169*BO169*VLOOKUP('Données projet'!$B$11,Paramètres!$A$1:$I$89,3,0)*0.475*44/12</f>
        <v>8.0395514943585007E-12</v>
      </c>
      <c r="BS169" s="22">
        <f t="shared" si="169"/>
        <v>32.678878137769672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8.5265128291212022E-14</v>
      </c>
      <c r="BZ169" s="13">
        <f>BY169*VLOOKUP('Données projet'!$B$12,Paramètres!$A$1:$I$89,3,0)*VLOOKUP('Données projet'!$B$12,Paramètres!$A$1:$I$89,5,0)</f>
        <v>7.4487616075202836E-14</v>
      </c>
      <c r="CA169" s="13">
        <f t="shared" si="170"/>
        <v>1.1580453144473142E-12</v>
      </c>
      <c r="CB169" s="20">
        <f t="shared" si="171"/>
        <v>2.1466615206600508E-12</v>
      </c>
      <c r="CC169" s="59">
        <f t="shared" si="119"/>
        <v>288.31469419486558</v>
      </c>
      <c r="CD169" s="59">
        <f ca="1">AVERAGE(OFFSET($CC$3,0,0,'Données projet'!$E$12+1,1))-AVERAGE(OFFSET($H$3,0,0,'Données projet'!$E$12+1,1))</f>
        <v>251.30277097589737</v>
      </c>
      <c r="CE169" s="59">
        <f t="shared" si="148"/>
        <v>224.11983819941796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4.0258640498391127</v>
      </c>
      <c r="CL169" s="21">
        <f>EXP(-LN(2)/25)*CL168+(1-EXP(-LN(2)/25))/(LN(2)/25)*Calculateur!CG169*Calculateur!CI169*VLOOKUP('Données projet'!$B$12,Paramètres!$A$1:$I$89,3,0)*0.475*44/12</f>
        <v>6.0939192900091923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10.119783339848304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2.8421709430404007E-14</v>
      </c>
      <c r="CU169" s="17">
        <f>CT169*VLOOKUP('Données projet'!$B$13,Paramètres!$A$1:$I$89,3,0)*VLOOKUP('Données projet'!$B$13,Paramètres!$A$1:$I$89,5,0)</f>
        <v>2.4829205358400945E-14</v>
      </c>
      <c r="CV169" s="13">
        <f t="shared" si="173"/>
        <v>4.3867331143352915E-13</v>
      </c>
      <c r="CW169" s="20">
        <f t="shared" si="174"/>
        <v>8.0726688341261168E-13</v>
      </c>
      <c r="CX169" s="59">
        <f t="shared" si="122"/>
        <v>288.31469419486422</v>
      </c>
      <c r="CY169" s="59">
        <f ca="1">AVERAGE(OFFSET($CX$3,0,0,'Données projet'!$E$13+1,1))-AVERAGE(OFFSET($H$3,0,0,'Données projet'!$E$13+1,1))</f>
        <v>287.28439432670405</v>
      </c>
      <c r="CZ169" s="59">
        <f t="shared" si="150"/>
        <v>276.01618888357268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6.0070133751525088</v>
      </c>
      <c r="DG169" s="21">
        <f>EXP(-LN(2)/25)*DG168+(1-EXP(-LN(2)/25))/(LN(2)/25)*Calculateur!DB169*Calculateur!DD169*VLOOKUP('Données projet'!$B$13,Paramètres!$A$1:$I$89,3,0)*0.475*44/12</f>
        <v>3.3628054225829653</v>
      </c>
      <c r="DH169" s="21">
        <f>EXP(-LN(2)/2)*DH168+(1-EXP(-LN(2)/2))/(LN(2)/2)*DB169*DE169*VLOOKUP('Données projet'!$B$13,Paramètres!$A$1:$I$89,3,0)*0.475*44/12</f>
        <v>5.1666622358229828E-12</v>
      </c>
      <c r="DI169" s="22">
        <f t="shared" si="175"/>
        <v>9.369818797740642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-9.9475983006414026E-14</v>
      </c>
      <c r="DP169" s="17">
        <f>DO169*VLOOKUP('Données projet'!$B$14,Paramètres!$A$1:$I$89,3,0)*VLOOKUP('Données projet'!$B$14,Paramètres!$A$1:$I$89,5,0)</f>
        <v>-9.6213170763803652E-14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206.5245935130306</v>
      </c>
      <c r="DU169" s="59">
        <f t="shared" si="152"/>
        <v>130.57011290898546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5.6590197355094158</v>
      </c>
      <c r="EB169" s="21">
        <f>EXP(-LN(2)/25)*EB168+(1-EXP(-LN(2)/25))/(LN(2)/25)*Calculateur!DW169*Calculateur!DY169*VLOOKUP('Données projet'!$B$14,Paramètres!$A$1:$I$89,3,0)*0.475*44/12</f>
        <v>5.1379077085654581</v>
      </c>
      <c r="EC169" s="21">
        <f>EXP(-LN(2)/2)*EC168+(1-EXP(-LN(2)/2))/(LN(2)/2)*DW169*DZ169*VLOOKUP('Données projet'!$B$14,Paramètres!$A$1:$I$89,3,0)*0.475*44/12</f>
        <v>3.3673032411117268E-6</v>
      </c>
      <c r="ED169" s="22">
        <f t="shared" si="178"/>
        <v>10.796930811378116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1.7053025658242404E-13</v>
      </c>
      <c r="EK169" s="17">
        <f>EJ169*VLOOKUP('Données projet'!$B$15,Paramètres!$A$1:$I$89,3,0)*VLOOKUP('Données projet'!$B$15,Paramètres!$A$1:$I$89,5,0)</f>
        <v>7.9808160080574461E-14</v>
      </c>
      <c r="EL169" s="13">
        <f t="shared" si="179"/>
        <v>1.2308384591775343E-12</v>
      </c>
      <c r="EM169" s="20">
        <f t="shared" si="180"/>
        <v>2.282709528541206E-12</v>
      </c>
      <c r="EN169" s="59">
        <f t="shared" si="128"/>
        <v>288.31469419486569</v>
      </c>
      <c r="EO169" s="59">
        <f ca="1">AVERAGE(OFFSET($EN$3,0,0,'Données projet'!$E$15+1,1))-AVERAGE(OFFSET($H$3,0,0,'Données projet'!$E$15+1,1))</f>
        <v>374.38106339726073</v>
      </c>
      <c r="EP169" s="59">
        <f t="shared" si="154"/>
        <v>296.53283288925957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72.725863092605039</v>
      </c>
      <c r="EW169" s="21">
        <f>EXP(-LN(2)/25)*EW168+(1-EXP(-LN(2)/25))/(LN(2)/25)*Calculateur!ER169*Calculateur!ET169*VLOOKUP('Données projet'!$B$15,Paramètres!$A$1:$I$89,3,0)*0.475*44/12</f>
        <v>17.018881685534208</v>
      </c>
      <c r="EX169" s="21">
        <f>EXP(-LN(2)/2)*EX168+(1-EXP(-LN(2)/2))/(LN(2)/2)*ER169*EU169*VLOOKUP('Données projet'!$B$15,Paramètres!$A$1:$I$89,3,0)*0.475*44/12</f>
        <v>1.7483809495865633E-4</v>
      </c>
      <c r="EY169" s="22">
        <f t="shared" si="181"/>
        <v>89.744919616234213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9">
        <f t="shared" si="109"/>
        <v>1336.0956281016738</v>
      </c>
      <c r="S170" s="59">
        <f ca="1">AVERAGE(OFFSET($R$3,0,0,'Données projet'!$E$9+1,1))-AVERAGE(OFFSET($H$3,0,0,'Données projet'!$E$9+1,1))</f>
        <v>681.47578137804555</v>
      </c>
      <c r="T170" s="59">
        <f t="shared" si="142"/>
        <v>300.88511065995885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1.0818439477588981E-13</v>
      </c>
      <c r="AK170" s="13">
        <f t="shared" si="164"/>
        <v>1.6104228458716316E-12</v>
      </c>
      <c r="AL170" s="20">
        <f t="shared" si="165"/>
        <v>2.9932409441277661E-12</v>
      </c>
      <c r="AM170" s="59">
        <f t="shared" si="113"/>
        <v>288.40175636392263</v>
      </c>
      <c r="AN170" s="59">
        <f ca="1">AVERAGE(OFFSET($AM$3,0,0,'Données projet'!$E$10+1,1))-AVERAGE(OFFSET($H$3,0,0,'Données projet'!$E$10+1,1))</f>
        <v>423.80243030843661</v>
      </c>
      <c r="AO170" s="59">
        <f t="shared" si="144"/>
        <v>260.29028006191834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18.131878321940896</v>
      </c>
      <c r="AV170" s="21">
        <f>EXP(-LN(2)/25)*AV169+(1-EXP(-LN(2)/25))/(LN(2)/25)*Calculateur!AQ170*Calculateur!AS170*VLOOKUP('Données projet'!$B$10,Paramètres!$A$1:$I$89,3,0)*0.475*44/12</f>
        <v>12.558321494552928</v>
      </c>
      <c r="AW170" s="21">
        <f>EXP(-LN(2)/2)*AW169+(1-EXP(-LN(2)/2))/(LN(2)/2)*AQ170*AT170*VLOOKUP('Données projet'!$B$10,Paramètres!$A$1:$I$89,3,0)*0.475*44/12</f>
        <v>5.4664843150278471E-6</v>
      </c>
      <c r="AX170" s="21">
        <f t="shared" si="166"/>
        <v>30.690205282978138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-1.3596945791505279E-13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373.61861223558259</v>
      </c>
      <c r="BJ170" s="59">
        <f t="shared" si="146"/>
        <v>277.62293009761049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27.363738334106426</v>
      </c>
      <c r="BQ170" s="21">
        <f>EXP(-LN(2)/25)*BQ169+(1-EXP(-LN(2)/25))/(LN(2)/25)*Calculateur!BL170*Calculateur!BN170*VLOOKUP('Données projet'!$B$11,Paramètres!$A$1:$I$89,3,0)*0.475*44/12</f>
        <v>4.6374446812954808</v>
      </c>
      <c r="BR170" s="21">
        <f>EXP(-LN(2)/2)*BR169+(1-EXP(-LN(2)/2))/(LN(2)/2)*BL170*BO170*VLOOKUP('Données projet'!$B$11,Paramètres!$A$1:$I$89,3,0)*0.475*44/12</f>
        <v>5.6848213793593375E-12</v>
      </c>
      <c r="BS170" s="22">
        <f t="shared" si="169"/>
        <v>32.001183015407591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8.5265128291212022E-14</v>
      </c>
      <c r="BZ170" s="13">
        <f>BY170*VLOOKUP('Données projet'!$B$12,Paramètres!$A$1:$I$89,3,0)*VLOOKUP('Données projet'!$B$12,Paramètres!$A$1:$I$89,5,0)</f>
        <v>7.4487616075202836E-14</v>
      </c>
      <c r="CA170" s="13">
        <f t="shared" si="170"/>
        <v>1.1580453144473142E-12</v>
      </c>
      <c r="CB170" s="20">
        <f t="shared" si="171"/>
        <v>2.1466615206600508E-12</v>
      </c>
      <c r="CC170" s="59">
        <f t="shared" si="119"/>
        <v>288.40175636392178</v>
      </c>
      <c r="CD170" s="59">
        <f ca="1">AVERAGE(OFFSET($CC$3,0,0,'Données projet'!$E$12+1,1))-AVERAGE(OFFSET($H$3,0,0,'Données projet'!$E$12+1,1))</f>
        <v>251.30277097589737</v>
      </c>
      <c r="CE170" s="59">
        <f t="shared" si="148"/>
        <v>224.11983819941796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3.9469193113563743</v>
      </c>
      <c r="CL170" s="21">
        <f>EXP(-LN(2)/25)*CL169+(1-EXP(-LN(2)/25))/(LN(2)/25)*Calculateur!CG170*Calculateur!CI170*VLOOKUP('Données projet'!$B$12,Paramètres!$A$1:$I$89,3,0)*0.475*44/12</f>
        <v>5.927280746558603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9.8742000579149778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2.8421709430404007E-14</v>
      </c>
      <c r="CU170" s="17">
        <f>CT170*VLOOKUP('Données projet'!$B$13,Paramètres!$A$1:$I$89,3,0)*VLOOKUP('Données projet'!$B$13,Paramètres!$A$1:$I$89,5,0)</f>
        <v>2.4829205358400945E-14</v>
      </c>
      <c r="CV170" s="13">
        <f t="shared" si="173"/>
        <v>4.3867331143352915E-13</v>
      </c>
      <c r="CW170" s="20">
        <f t="shared" si="174"/>
        <v>8.0726688341261168E-13</v>
      </c>
      <c r="CX170" s="59">
        <f t="shared" si="122"/>
        <v>288.40175636392041</v>
      </c>
      <c r="CY170" s="59">
        <f ca="1">AVERAGE(OFFSET($CX$3,0,0,'Données projet'!$E$13+1,1))-AVERAGE(OFFSET($H$3,0,0,'Données projet'!$E$13+1,1))</f>
        <v>287.28439432670405</v>
      </c>
      <c r="CZ170" s="59">
        <f t="shared" si="150"/>
        <v>276.01618888357268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5.8892195067821449</v>
      </c>
      <c r="DG170" s="21">
        <f>EXP(-LN(2)/25)*DG169+(1-EXP(-LN(2)/25))/(LN(2)/25)*Calculateur!DB170*Calculateur!DD170*VLOOKUP('Données projet'!$B$13,Paramètres!$A$1:$I$89,3,0)*0.475*44/12</f>
        <v>3.270849331460183</v>
      </c>
      <c r="DH170" s="21">
        <f>EXP(-LN(2)/2)*DH169+(1-EXP(-LN(2)/2))/(LN(2)/2)*DB170*DE170*VLOOKUP('Données projet'!$B$13,Paramètres!$A$1:$I$89,3,0)*0.475*44/12</f>
        <v>3.6533819030508802E-12</v>
      </c>
      <c r="DI170" s="22">
        <f t="shared" si="175"/>
        <v>9.1600688382459818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-9.9475983006414026E-14</v>
      </c>
      <c r="DP170" s="17">
        <f>DO170*VLOOKUP('Données projet'!$B$14,Paramètres!$A$1:$I$89,3,0)*VLOOKUP('Données projet'!$B$14,Paramètres!$A$1:$I$89,5,0)</f>
        <v>-9.6213170763803652E-14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206.5245935130306</v>
      </c>
      <c r="DU170" s="59">
        <f t="shared" si="152"/>
        <v>130.57011290898546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5.5480498101572913</v>
      </c>
      <c r="EB170" s="21">
        <f>EXP(-LN(2)/25)*EB169+(1-EXP(-LN(2)/25))/(LN(2)/25)*Calculateur!DW170*Calculateur!DY170*VLOOKUP('Données projet'!$B$14,Paramètres!$A$1:$I$89,3,0)*0.475*44/12</f>
        <v>4.9974113520839119</v>
      </c>
      <c r="EC170" s="21">
        <f>EXP(-LN(2)/2)*EC169+(1-EXP(-LN(2)/2))/(LN(2)/2)*DW170*DZ170*VLOOKUP('Données projet'!$B$14,Paramètres!$A$1:$I$89,3,0)*0.475*44/12</f>
        <v>2.381042956101542E-6</v>
      </c>
      <c r="ED170" s="22">
        <f t="shared" si="178"/>
        <v>10.545463543284159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1.7053025658242404E-13</v>
      </c>
      <c r="EK170" s="17">
        <f>EJ170*VLOOKUP('Données projet'!$B$15,Paramètres!$A$1:$I$89,3,0)*VLOOKUP('Données projet'!$B$15,Paramètres!$A$1:$I$89,5,0)</f>
        <v>7.9808160080574461E-14</v>
      </c>
      <c r="EL170" s="13">
        <f t="shared" si="179"/>
        <v>1.2308384591775343E-12</v>
      </c>
      <c r="EM170" s="20">
        <f t="shared" si="180"/>
        <v>2.282709528541206E-12</v>
      </c>
      <c r="EN170" s="59">
        <f t="shared" si="128"/>
        <v>288.40175636392189</v>
      </c>
      <c r="EO170" s="59">
        <f ca="1">AVERAGE(OFFSET($EN$3,0,0,'Données projet'!$E$15+1,1))-AVERAGE(OFFSET($H$3,0,0,'Données projet'!$E$15+1,1))</f>
        <v>374.38106339726073</v>
      </c>
      <c r="EP170" s="59">
        <f t="shared" si="154"/>
        <v>296.53283288925957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71.299753275755506</v>
      </c>
      <c r="EW170" s="21">
        <f>EXP(-LN(2)/25)*EW169+(1-EXP(-LN(2)/25))/(LN(2)/25)*Calculateur!ER170*Calculateur!ET170*VLOOKUP('Données projet'!$B$15,Paramètres!$A$1:$I$89,3,0)*0.475*44/12</f>
        <v>16.553499470859183</v>
      </c>
      <c r="EX170" s="21">
        <f>EXP(-LN(2)/2)*EX169+(1-EXP(-LN(2)/2))/(LN(2)/2)*ER170*EU170*VLOOKUP('Données projet'!$B$15,Paramètres!$A$1:$I$89,3,0)*0.475*44/12</f>
        <v>1.2362920255500341E-4</v>
      </c>
      <c r="EY170" s="22">
        <f t="shared" si="181"/>
        <v>87.853376375817234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9">
        <f t="shared" si="109"/>
        <v>1354.3422787948371</v>
      </c>
      <c r="S171" s="59">
        <f ca="1">AVERAGE(OFFSET($R$3,0,0,'Données projet'!$E$9+1,1))-AVERAGE(OFFSET($H$3,0,0,'Données projet'!$E$9+1,1))</f>
        <v>681.47578137804555</v>
      </c>
      <c r="T171" s="59">
        <f t="shared" si="142"/>
        <v>300.88511065995885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1.0818439477588981E-13</v>
      </c>
      <c r="AK171" s="13">
        <f t="shared" si="164"/>
        <v>1.6104228458716316E-12</v>
      </c>
      <c r="AL171" s="20">
        <f t="shared" si="165"/>
        <v>2.9932409441277661E-12</v>
      </c>
      <c r="AM171" s="59">
        <f t="shared" si="113"/>
        <v>288.48730819898753</v>
      </c>
      <c r="AN171" s="59">
        <f ca="1">AVERAGE(OFFSET($AM$3,0,0,'Données projet'!$E$10+1,1))-AVERAGE(OFFSET($H$3,0,0,'Données projet'!$E$10+1,1))</f>
        <v>423.80243030843661</v>
      </c>
      <c r="AO171" s="59">
        <f t="shared" si="144"/>
        <v>260.29028006191834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17.77632324740139</v>
      </c>
      <c r="AV171" s="21">
        <f>EXP(-LN(2)/25)*AV170+(1-EXP(-LN(2)/25))/(LN(2)/25)*Calculateur!AQ171*Calculateur!AS171*VLOOKUP('Données projet'!$B$10,Paramètres!$A$1:$I$89,3,0)*0.475*44/12</f>
        <v>12.214913532870954</v>
      </c>
      <c r="AW171" s="21">
        <f>EXP(-LN(2)/2)*AW170+(1-EXP(-LN(2)/2))/(LN(2)/2)*AQ171*AT171*VLOOKUP('Données projet'!$B$10,Paramètres!$A$1:$I$89,3,0)*0.475*44/12</f>
        <v>3.86538812840609E-6</v>
      </c>
      <c r="AX171" s="21">
        <f t="shared" si="166"/>
        <v>29.991240645660472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-1.3596945791505279E-13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373.61861223558259</v>
      </c>
      <c r="BJ171" s="59">
        <f t="shared" si="146"/>
        <v>277.62293009761049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26.82715211560696</v>
      </c>
      <c r="BQ171" s="21">
        <f>EXP(-LN(2)/25)*BQ170+(1-EXP(-LN(2)/25))/(LN(2)/25)*Calculateur!BL171*Calculateur!BN171*VLOOKUP('Données projet'!$B$11,Paramètres!$A$1:$I$89,3,0)*0.475*44/12</f>
        <v>4.5106335126128387</v>
      </c>
      <c r="BR171" s="21">
        <f>EXP(-LN(2)/2)*BR170+(1-EXP(-LN(2)/2))/(LN(2)/2)*BL171*BO171*VLOOKUP('Données projet'!$B$11,Paramètres!$A$1:$I$89,3,0)*0.475*44/12</f>
        <v>4.0197757471792503E-12</v>
      </c>
      <c r="BS171" s="22">
        <f t="shared" si="169"/>
        <v>31.337785628223816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8.5265128291212022E-14</v>
      </c>
      <c r="BZ171" s="13">
        <f>BY171*VLOOKUP('Données projet'!$B$12,Paramètres!$A$1:$I$89,3,0)*VLOOKUP('Données projet'!$B$12,Paramètres!$A$1:$I$89,5,0)</f>
        <v>7.4487616075202836E-14</v>
      </c>
      <c r="CA171" s="13">
        <f t="shared" si="170"/>
        <v>1.1580453144473142E-12</v>
      </c>
      <c r="CB171" s="20">
        <f t="shared" si="171"/>
        <v>2.1466615206600508E-12</v>
      </c>
      <c r="CC171" s="59">
        <f t="shared" si="119"/>
        <v>288.48730819898668</v>
      </c>
      <c r="CD171" s="59">
        <f ca="1">AVERAGE(OFFSET($CC$3,0,0,'Données projet'!$E$12+1,1))-AVERAGE(OFFSET($H$3,0,0,'Données projet'!$E$12+1,1))</f>
        <v>251.30277097589737</v>
      </c>
      <c r="CE171" s="59">
        <f t="shared" si="148"/>
        <v>224.11983819941796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3.8695226310437465</v>
      </c>
      <c r="CL171" s="21">
        <f>EXP(-LN(2)/25)*CL170+(1-EXP(-LN(2)/25))/(LN(2)/25)*Calculateur!CG171*Calculateur!CI171*VLOOKUP('Données projet'!$B$12,Paramètres!$A$1:$I$89,3,0)*0.475*44/12</f>
        <v>5.7651989428418107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9.6347215738855567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2.8421709430404007E-14</v>
      </c>
      <c r="CU171" s="17">
        <f>CT171*VLOOKUP('Données projet'!$B$13,Paramètres!$A$1:$I$89,3,0)*VLOOKUP('Données projet'!$B$13,Paramètres!$A$1:$I$89,5,0)</f>
        <v>2.4829205358400945E-14</v>
      </c>
      <c r="CV171" s="13">
        <f t="shared" si="173"/>
        <v>4.3867331143352915E-13</v>
      </c>
      <c r="CW171" s="20">
        <f t="shared" si="174"/>
        <v>8.0726688341261168E-13</v>
      </c>
      <c r="CX171" s="59">
        <f t="shared" si="122"/>
        <v>288.48730819898532</v>
      </c>
      <c r="CY171" s="59">
        <f ca="1">AVERAGE(OFFSET($CX$3,0,0,'Données projet'!$E$13+1,1))-AVERAGE(OFFSET($H$3,0,0,'Données projet'!$E$13+1,1))</f>
        <v>287.28439432670405</v>
      </c>
      <c r="CZ171" s="59">
        <f t="shared" si="150"/>
        <v>276.01618888357268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5.7737355043233585</v>
      </c>
      <c r="DG171" s="21">
        <f>EXP(-LN(2)/25)*DG170+(1-EXP(-LN(2)/25))/(LN(2)/25)*Calculateur!DB171*Calculateur!DD171*VLOOKUP('Données projet'!$B$13,Paramètres!$A$1:$I$89,3,0)*0.475*44/12</f>
        <v>3.1814077844849136</v>
      </c>
      <c r="DH171" s="21">
        <f>EXP(-LN(2)/2)*DH170+(1-EXP(-LN(2)/2))/(LN(2)/2)*DB171*DE171*VLOOKUP('Données projet'!$B$13,Paramètres!$A$1:$I$89,3,0)*0.475*44/12</f>
        <v>2.5833311179114914E-12</v>
      </c>
      <c r="DI171" s="22">
        <f t="shared" si="175"/>
        <v>8.9551432888108558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-9.9475983006414026E-14</v>
      </c>
      <c r="DP171" s="17">
        <f>DO171*VLOOKUP('Données projet'!$B$14,Paramètres!$A$1:$I$89,3,0)*VLOOKUP('Données projet'!$B$14,Paramètres!$A$1:$I$89,5,0)</f>
        <v>-9.6213170763803652E-14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206.5245935130306</v>
      </c>
      <c r="DU171" s="59">
        <f t="shared" si="152"/>
        <v>130.57011290898546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5.4392559373563509</v>
      </c>
      <c r="EB171" s="21">
        <f>EXP(-LN(2)/25)*EB170+(1-EXP(-LN(2)/25))/(LN(2)/25)*Calculateur!DW171*Calculateur!DY171*VLOOKUP('Données projet'!$B$14,Paramètres!$A$1:$I$89,3,0)*0.475*44/12</f>
        <v>4.8607568758587361</v>
      </c>
      <c r="EC171" s="21">
        <f>EXP(-LN(2)/2)*EC170+(1-EXP(-LN(2)/2))/(LN(2)/2)*DW171*DZ171*VLOOKUP('Données projet'!$B$14,Paramètres!$A$1:$I$89,3,0)*0.475*44/12</f>
        <v>1.6836516205558634E-6</v>
      </c>
      <c r="ED171" s="22">
        <f t="shared" si="178"/>
        <v>10.300014496866707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1.7053025658242404E-13</v>
      </c>
      <c r="EK171" s="17">
        <f>EJ171*VLOOKUP('Données projet'!$B$15,Paramètres!$A$1:$I$89,3,0)*VLOOKUP('Données projet'!$B$15,Paramètres!$A$1:$I$89,5,0)</f>
        <v>7.9808160080574461E-14</v>
      </c>
      <c r="EL171" s="13">
        <f t="shared" si="179"/>
        <v>1.2308384591775343E-12</v>
      </c>
      <c r="EM171" s="20">
        <f t="shared" si="180"/>
        <v>2.282709528541206E-12</v>
      </c>
      <c r="EN171" s="59">
        <f t="shared" si="128"/>
        <v>288.4873081989868</v>
      </c>
      <c r="EO171" s="59">
        <f ca="1">AVERAGE(OFFSET($EN$3,0,0,'Données projet'!$E$15+1,1))-AVERAGE(OFFSET($H$3,0,0,'Données projet'!$E$15+1,1))</f>
        <v>374.38106339726073</v>
      </c>
      <c r="EP171" s="59">
        <f t="shared" si="154"/>
        <v>296.53283288925957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69.901608602573305</v>
      </c>
      <c r="EW171" s="21">
        <f>EXP(-LN(2)/25)*EW170+(1-EXP(-LN(2)/25))/(LN(2)/25)*Calculateur!ER171*Calculateur!ET171*VLOOKUP('Données projet'!$B$15,Paramètres!$A$1:$I$89,3,0)*0.475*44/12</f>
        <v>16.100843157317836</v>
      </c>
      <c r="EX171" s="21">
        <f>EXP(-LN(2)/2)*EX170+(1-EXP(-LN(2)/2))/(LN(2)/2)*ER171*EU171*VLOOKUP('Données projet'!$B$15,Paramètres!$A$1:$I$89,3,0)*0.475*44/12</f>
        <v>8.7419047479328165E-5</v>
      </c>
      <c r="EY171" s="22">
        <f t="shared" si="181"/>
        <v>86.002539178938619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9">
        <f t="shared" si="109"/>
        <v>1372.5813765965065</v>
      </c>
      <c r="S172" s="59">
        <f ca="1">AVERAGE(OFFSET($R$3,0,0,'Données projet'!$E$9+1,1))-AVERAGE(OFFSET($H$3,0,0,'Données projet'!$E$9+1,1))</f>
        <v>681.47578137804555</v>
      </c>
      <c r="T172" s="59">
        <f t="shared" si="142"/>
        <v>300.88511065995885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1.0818439477588981E-13</v>
      </c>
      <c r="AK172" s="13">
        <f t="shared" si="164"/>
        <v>1.6104228458716316E-12</v>
      </c>
      <c r="AL172" s="20">
        <f t="shared" si="165"/>
        <v>2.9932409441277661E-12</v>
      </c>
      <c r="AM172" s="59">
        <f t="shared" si="113"/>
        <v>288.57137590097943</v>
      </c>
      <c r="AN172" s="59">
        <f ca="1">AVERAGE(OFFSET($AM$3,0,0,'Données projet'!$E$10+1,1))-AVERAGE(OFFSET($H$3,0,0,'Données projet'!$E$10+1,1))</f>
        <v>423.80243030843661</v>
      </c>
      <c r="AO172" s="59">
        <f t="shared" si="144"/>
        <v>260.29028006191834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17.427740391006424</v>
      </c>
      <c r="AV172" s="21">
        <f>EXP(-LN(2)/25)*AV171+(1-EXP(-LN(2)/25))/(LN(2)/25)*Calculateur!AQ172*Calculateur!AS172*VLOOKUP('Données projet'!$B$10,Paramètres!$A$1:$I$89,3,0)*0.475*44/12</f>
        <v>11.880896079960213</v>
      </c>
      <c r="AW172" s="21">
        <f>EXP(-LN(2)/2)*AW171+(1-EXP(-LN(2)/2))/(LN(2)/2)*AQ172*AT172*VLOOKUP('Données projet'!$B$10,Paramètres!$A$1:$I$89,3,0)*0.475*44/12</f>
        <v>2.7332421575139236E-6</v>
      </c>
      <c r="AX172" s="21">
        <f t="shared" si="166"/>
        <v>29.308639204208795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-1.3596945791505279E-13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373.61861223558259</v>
      </c>
      <c r="BJ172" s="59">
        <f t="shared" si="146"/>
        <v>277.62293009761049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26.30108802556699</v>
      </c>
      <c r="BQ172" s="21">
        <f>EXP(-LN(2)/25)*BQ171+(1-EXP(-LN(2)/25))/(LN(2)/25)*Calculateur!BL172*Calculateur!BN172*VLOOKUP('Données projet'!$B$11,Paramètres!$A$1:$I$89,3,0)*0.475*44/12</f>
        <v>4.3872900020065337</v>
      </c>
      <c r="BR172" s="21">
        <f>EXP(-LN(2)/2)*BR171+(1-EXP(-LN(2)/2))/(LN(2)/2)*BL172*BO172*VLOOKUP('Données projet'!$B$11,Paramètres!$A$1:$I$89,3,0)*0.475*44/12</f>
        <v>2.8424106896796688E-12</v>
      </c>
      <c r="BS172" s="22">
        <f t="shared" si="169"/>
        <v>30.688378027576366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8.5265128291212022E-14</v>
      </c>
      <c r="BZ172" s="13">
        <f>BY172*VLOOKUP('Données projet'!$B$12,Paramètres!$A$1:$I$89,3,0)*VLOOKUP('Données projet'!$B$12,Paramètres!$A$1:$I$89,5,0)</f>
        <v>7.4487616075202836E-14</v>
      </c>
      <c r="CA172" s="13">
        <f t="shared" si="170"/>
        <v>1.1580453144473142E-12</v>
      </c>
      <c r="CB172" s="20">
        <f t="shared" si="171"/>
        <v>2.1466615206600508E-12</v>
      </c>
      <c r="CC172" s="59">
        <f t="shared" si="119"/>
        <v>288.57137590097858</v>
      </c>
      <c r="CD172" s="59">
        <f ca="1">AVERAGE(OFFSET($CC$3,0,0,'Données projet'!$E$12+1,1))-AVERAGE(OFFSET($H$3,0,0,'Données projet'!$E$12+1,1))</f>
        <v>251.30277097589737</v>
      </c>
      <c r="CE172" s="59">
        <f t="shared" si="148"/>
        <v>224.11983819941796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3.7936436524247354</v>
      </c>
      <c r="CL172" s="21">
        <f>EXP(-LN(2)/25)*CL171+(1-EXP(-LN(2)/25))/(LN(2)/25)*Calculateur!CG172*Calculateur!CI172*VLOOKUP('Données projet'!$B$12,Paramètres!$A$1:$I$89,3,0)*0.475*44/12</f>
        <v>5.6075492745711655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9.4011929269959005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2.8421709430404007E-14</v>
      </c>
      <c r="CU172" s="17">
        <f>CT172*VLOOKUP('Données projet'!$B$13,Paramètres!$A$1:$I$89,3,0)*VLOOKUP('Données projet'!$B$13,Paramètres!$A$1:$I$89,5,0)</f>
        <v>2.4829205358400945E-14</v>
      </c>
      <c r="CV172" s="13">
        <f t="shared" si="173"/>
        <v>4.3867331143352915E-13</v>
      </c>
      <c r="CW172" s="20">
        <f t="shared" si="174"/>
        <v>8.0726688341261168E-13</v>
      </c>
      <c r="CX172" s="59">
        <f t="shared" si="122"/>
        <v>288.57137590097722</v>
      </c>
      <c r="CY172" s="59">
        <f ca="1">AVERAGE(OFFSET($CX$3,0,0,'Données projet'!$E$13+1,1))-AVERAGE(OFFSET($H$3,0,0,'Données projet'!$E$13+1,1))</f>
        <v>287.28439432670405</v>
      </c>
      <c r="CZ172" s="59">
        <f t="shared" si="150"/>
        <v>276.01618888357268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5.6605160727145032</v>
      </c>
      <c r="DG172" s="21">
        <f>EXP(-LN(2)/25)*DG171+(1-EXP(-LN(2)/25))/(LN(2)/25)*Calculateur!DB172*Calculateur!DD172*VLOOKUP('Données projet'!$B$13,Paramètres!$A$1:$I$89,3,0)*0.475*44/12</f>
        <v>3.0944120213152093</v>
      </c>
      <c r="DH172" s="21">
        <f>EXP(-LN(2)/2)*DH171+(1-EXP(-LN(2)/2))/(LN(2)/2)*DB172*DE172*VLOOKUP('Données projet'!$B$13,Paramètres!$A$1:$I$89,3,0)*0.475*44/12</f>
        <v>1.8266909515254401E-12</v>
      </c>
      <c r="DI172" s="22">
        <f t="shared" si="175"/>
        <v>8.7549280940315377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-9.9475983006414026E-14</v>
      </c>
      <c r="DP172" s="17">
        <f>DO172*VLOOKUP('Données projet'!$B$14,Paramètres!$A$1:$I$89,3,0)*VLOOKUP('Données projet'!$B$14,Paramètres!$A$1:$I$89,5,0)</f>
        <v>-9.6213170763803652E-14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206.5245935130306</v>
      </c>
      <c r="DU172" s="59">
        <f t="shared" si="152"/>
        <v>130.57011290898546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5.3325954460433271</v>
      </c>
      <c r="EB172" s="21">
        <f>EXP(-LN(2)/25)*EB171+(1-EXP(-LN(2)/25))/(LN(2)/25)*Calculateur!DW172*Calculateur!DY172*VLOOKUP('Données projet'!$B$14,Paramètres!$A$1:$I$89,3,0)*0.475*44/12</f>
        <v>4.7278392234722846</v>
      </c>
      <c r="EC172" s="21">
        <f>EXP(-LN(2)/2)*EC171+(1-EXP(-LN(2)/2))/(LN(2)/2)*DW172*DZ172*VLOOKUP('Données projet'!$B$14,Paramètres!$A$1:$I$89,3,0)*0.475*44/12</f>
        <v>1.190521478050771E-6</v>
      </c>
      <c r="ED172" s="22">
        <f t="shared" si="178"/>
        <v>10.06043586003709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1.7053025658242404E-13</v>
      </c>
      <c r="EK172" s="17">
        <f>EJ172*VLOOKUP('Données projet'!$B$15,Paramètres!$A$1:$I$89,3,0)*VLOOKUP('Données projet'!$B$15,Paramètres!$A$1:$I$89,5,0)</f>
        <v>7.9808160080574461E-14</v>
      </c>
      <c r="EL172" s="13">
        <f t="shared" si="179"/>
        <v>1.2308384591775343E-12</v>
      </c>
      <c r="EM172" s="20">
        <f t="shared" si="180"/>
        <v>2.282709528541206E-12</v>
      </c>
      <c r="EN172" s="59">
        <f t="shared" si="128"/>
        <v>288.57137590097869</v>
      </c>
      <c r="EO172" s="59">
        <f ca="1">AVERAGE(OFFSET($EN$3,0,0,'Données projet'!$E$15+1,1))-AVERAGE(OFFSET($H$3,0,0,'Données projet'!$E$15+1,1))</f>
        <v>374.38106339726073</v>
      </c>
      <c r="EP172" s="59">
        <f t="shared" si="154"/>
        <v>296.53283288925957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68.530880693648157</v>
      </c>
      <c r="EW172" s="21">
        <f>EXP(-LN(2)/25)*EW171+(1-EXP(-LN(2)/25))/(LN(2)/25)*Calculateur!ER172*Calculateur!ET172*VLOOKUP('Données projet'!$B$15,Paramètres!$A$1:$I$89,3,0)*0.475*44/12</f>
        <v>15.660564754474438</v>
      </c>
      <c r="EX172" s="21">
        <f>EXP(-LN(2)/2)*EX171+(1-EXP(-LN(2)/2))/(LN(2)/2)*ER172*EU172*VLOOKUP('Données projet'!$B$15,Paramètres!$A$1:$I$89,3,0)*0.475*44/12</f>
        <v>6.1814601277501707E-5</v>
      </c>
      <c r="EY172" s="22">
        <f t="shared" si="181"/>
        <v>84.191507262723874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9">
        <f t="shared" si="109"/>
        <v>1390.8130630620806</v>
      </c>
      <c r="S173" s="59">
        <f ca="1">AVERAGE(OFFSET($R$3,0,0,'Données projet'!$E$9+1,1))-AVERAGE(OFFSET($H$3,0,0,'Données projet'!$E$9+1,1))</f>
        <v>681.47578137804555</v>
      </c>
      <c r="T173" s="59">
        <f t="shared" si="142"/>
        <v>300.88511065995885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1.0818439477588981E-13</v>
      </c>
      <c r="AK173" s="13">
        <f t="shared" si="164"/>
        <v>1.6104228458716316E-12</v>
      </c>
      <c r="AL173" s="20">
        <f t="shared" si="165"/>
        <v>2.9932409441277661E-12</v>
      </c>
      <c r="AM173" s="59">
        <f t="shared" si="113"/>
        <v>288.6539852162889</v>
      </c>
      <c r="AN173" s="59">
        <f ca="1">AVERAGE(OFFSET($AM$3,0,0,'Données projet'!$E$10+1,1))-AVERAGE(OFFSET($H$3,0,0,'Données projet'!$E$10+1,1))</f>
        <v>423.80243030843661</v>
      </c>
      <c r="AO173" s="59">
        <f t="shared" si="144"/>
        <v>260.29028006191834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17.085993031810812</v>
      </c>
      <c r="AV173" s="21">
        <f>EXP(-LN(2)/25)*AV172+(1-EXP(-LN(2)/25))/(LN(2)/25)*Calculateur!AQ173*Calculateur!AS173*VLOOKUP('Données projet'!$B$10,Paramètres!$A$1:$I$89,3,0)*0.475*44/12</f>
        <v>11.556012351864529</v>
      </c>
      <c r="AW173" s="21">
        <f>EXP(-LN(2)/2)*AW172+(1-EXP(-LN(2)/2))/(LN(2)/2)*AQ173*AT173*VLOOKUP('Données projet'!$B$10,Paramètres!$A$1:$I$89,3,0)*0.475*44/12</f>
        <v>1.932694064203045E-6</v>
      </c>
      <c r="AX173" s="21">
        <f t="shared" si="166"/>
        <v>28.642007316369405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-1.3596945791505279E-13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373.61861223558259</v>
      </c>
      <c r="BJ173" s="59">
        <f t="shared" si="146"/>
        <v>277.62293009761049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25.785339731465292</v>
      </c>
      <c r="BQ173" s="21">
        <f>EXP(-LN(2)/25)*BQ172+(1-EXP(-LN(2)/25))/(LN(2)/25)*Calculateur!BL173*Calculateur!BN173*VLOOKUP('Données projet'!$B$11,Paramètres!$A$1:$I$89,3,0)*0.475*44/12</f>
        <v>4.2673193261841114</v>
      </c>
      <c r="BR173" s="21">
        <f>EXP(-LN(2)/2)*BR172+(1-EXP(-LN(2)/2))/(LN(2)/2)*BL173*BO173*VLOOKUP('Données projet'!$B$11,Paramètres!$A$1:$I$89,3,0)*0.475*44/12</f>
        <v>2.0098878735896252E-12</v>
      </c>
      <c r="BS173" s="22">
        <f t="shared" si="169"/>
        <v>30.052659057651415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8.5265128291212022E-14</v>
      </c>
      <c r="BZ173" s="13">
        <f>BY173*VLOOKUP('Données projet'!$B$12,Paramètres!$A$1:$I$89,3,0)*VLOOKUP('Données projet'!$B$12,Paramètres!$A$1:$I$89,5,0)</f>
        <v>7.4487616075202836E-14</v>
      </c>
      <c r="CA173" s="13">
        <f t="shared" si="170"/>
        <v>1.1580453144473142E-12</v>
      </c>
      <c r="CB173" s="20">
        <f t="shared" si="171"/>
        <v>2.1466615206600508E-12</v>
      </c>
      <c r="CC173" s="59">
        <f t="shared" si="119"/>
        <v>288.65398521628805</v>
      </c>
      <c r="CD173" s="59">
        <f ca="1">AVERAGE(OFFSET($CC$3,0,0,'Données projet'!$E$12+1,1))-AVERAGE(OFFSET($H$3,0,0,'Données projet'!$E$12+1,1))</f>
        <v>251.30277097589737</v>
      </c>
      <c r="CE173" s="59">
        <f t="shared" si="148"/>
        <v>224.11983819941796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3.7192526142948363</v>
      </c>
      <c r="CL173" s="21">
        <f>EXP(-LN(2)/25)*CL172+(1-EXP(-LN(2)/25))/(LN(2)/25)*Calculateur!CG173*Calculateur!CI173*VLOOKUP('Données projet'!$B$12,Paramètres!$A$1:$I$89,3,0)*0.475*44/12</f>
        <v>5.4542105447698166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9.1734631590646529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2.8421709430404007E-14</v>
      </c>
      <c r="CU173" s="17">
        <f>CT173*VLOOKUP('Données projet'!$B$13,Paramètres!$A$1:$I$89,3,0)*VLOOKUP('Données projet'!$B$13,Paramètres!$A$1:$I$89,5,0)</f>
        <v>2.4829205358400945E-14</v>
      </c>
      <c r="CV173" s="13">
        <f t="shared" si="173"/>
        <v>4.3867331143352915E-13</v>
      </c>
      <c r="CW173" s="20">
        <f t="shared" si="174"/>
        <v>8.0726688341261168E-13</v>
      </c>
      <c r="CX173" s="59">
        <f t="shared" si="122"/>
        <v>288.65398521628669</v>
      </c>
      <c r="CY173" s="59">
        <f ca="1">AVERAGE(OFFSET($CX$3,0,0,'Données projet'!$E$13+1,1))-AVERAGE(OFFSET($H$3,0,0,'Données projet'!$E$13+1,1))</f>
        <v>287.28439432670405</v>
      </c>
      <c r="CZ173" s="59">
        <f t="shared" si="150"/>
        <v>276.01618888357268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5.5495168051024626</v>
      </c>
      <c r="DG173" s="21">
        <f>EXP(-LN(2)/25)*DG172+(1-EXP(-LN(2)/25))/(LN(2)/25)*Calculateur!DB173*Calculateur!DD173*VLOOKUP('Données projet'!$B$13,Paramètres!$A$1:$I$89,3,0)*0.475*44/12</f>
        <v>3.0097951618642891</v>
      </c>
      <c r="DH173" s="21">
        <f>EXP(-LN(2)/2)*DH172+(1-EXP(-LN(2)/2))/(LN(2)/2)*DB173*DE173*VLOOKUP('Données projet'!$B$13,Paramètres!$A$1:$I$89,3,0)*0.475*44/12</f>
        <v>1.2916655589557457E-12</v>
      </c>
      <c r="DI173" s="22">
        <f t="shared" si="175"/>
        <v>8.5593119669680426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-9.9475983006414026E-14</v>
      </c>
      <c r="DP173" s="17">
        <f>DO173*VLOOKUP('Données projet'!$B$14,Paramètres!$A$1:$I$89,3,0)*VLOOKUP('Données projet'!$B$14,Paramètres!$A$1:$I$89,5,0)</f>
        <v>-9.6213170763803652E-14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206.5245935130306</v>
      </c>
      <c r="DU173" s="59">
        <f t="shared" si="152"/>
        <v>130.57011290898546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5.2280265019084755</v>
      </c>
      <c r="EB173" s="21">
        <f>EXP(-LN(2)/25)*EB172+(1-EXP(-LN(2)/25))/(LN(2)/25)*Calculateur!DW173*Calculateur!DY173*VLOOKUP('Données projet'!$B$14,Paramètres!$A$1:$I$89,3,0)*0.475*44/12</f>
        <v>4.5985562112801759</v>
      </c>
      <c r="EC173" s="21">
        <f>EXP(-LN(2)/2)*EC172+(1-EXP(-LN(2)/2))/(LN(2)/2)*DW173*DZ173*VLOOKUP('Données projet'!$B$14,Paramètres!$A$1:$I$89,3,0)*0.475*44/12</f>
        <v>8.4182581027793169E-7</v>
      </c>
      <c r="ED173" s="22">
        <f t="shared" si="178"/>
        <v>9.8265835550144622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1.7053025658242404E-13</v>
      </c>
      <c r="EK173" s="17">
        <f>EJ173*VLOOKUP('Données projet'!$B$15,Paramètres!$A$1:$I$89,3,0)*VLOOKUP('Données projet'!$B$15,Paramètres!$A$1:$I$89,5,0)</f>
        <v>7.9808160080574461E-14</v>
      </c>
      <c r="EL173" s="13">
        <f t="shared" si="179"/>
        <v>1.2308384591775343E-12</v>
      </c>
      <c r="EM173" s="20">
        <f t="shared" si="180"/>
        <v>2.282709528541206E-12</v>
      </c>
      <c r="EN173" s="59">
        <f t="shared" si="128"/>
        <v>288.65398521628816</v>
      </c>
      <c r="EO173" s="59">
        <f ca="1">AVERAGE(OFFSET($EN$3,0,0,'Données projet'!$E$15+1,1))-AVERAGE(OFFSET($H$3,0,0,'Données projet'!$E$15+1,1))</f>
        <v>374.38106339726073</v>
      </c>
      <c r="EP173" s="59">
        <f t="shared" si="154"/>
        <v>296.53283288925957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67.187031922955555</v>
      </c>
      <c r="EW173" s="21">
        <f>EXP(-LN(2)/25)*EW172+(1-EXP(-LN(2)/25))/(LN(2)/25)*Calculateur!ER173*Calculateur!ET173*VLOOKUP('Données projet'!$B$15,Paramètres!$A$1:$I$89,3,0)*0.475*44/12</f>
        <v>15.232325787710026</v>
      </c>
      <c r="EX173" s="21">
        <f>EXP(-LN(2)/2)*EX172+(1-EXP(-LN(2)/2))/(LN(2)/2)*ER173*EU173*VLOOKUP('Données projet'!$B$15,Paramètres!$A$1:$I$89,3,0)*0.475*44/12</f>
        <v>4.3709523739664083E-5</v>
      </c>
      <c r="EY173" s="22">
        <f t="shared" si="181"/>
        <v>82.419401420189317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9">
        <f t="shared" si="109"/>
        <v>1409.0374751810352</v>
      </c>
      <c r="S174" s="59">
        <f ca="1">AVERAGE(OFFSET($R$3,0,0,'Données projet'!$E$9+1,1))-AVERAGE(OFFSET($H$3,0,0,'Données projet'!$E$9+1,1))</f>
        <v>681.47578137804555</v>
      </c>
      <c r="T174" s="59">
        <f t="shared" si="142"/>
        <v>300.88511065995885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1.0818439477588981E-13</v>
      </c>
      <c r="AK174" s="13">
        <f t="shared" si="164"/>
        <v>1.6104228458716316E-12</v>
      </c>
      <c r="AL174" s="20">
        <f t="shared" si="165"/>
        <v>2.9932409441277661E-12</v>
      </c>
      <c r="AM174" s="59">
        <f t="shared" si="113"/>
        <v>288.73516144466453</v>
      </c>
      <c r="AN174" s="59">
        <f ca="1">AVERAGE(OFFSET($AM$3,0,0,'Données projet'!$E$10+1,1))-AVERAGE(OFFSET($H$3,0,0,'Données projet'!$E$10+1,1))</f>
        <v>423.80243030843661</v>
      </c>
      <c r="AO174" s="59">
        <f t="shared" si="144"/>
        <v>260.29028006191834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16.75094712988372</v>
      </c>
      <c r="AV174" s="21">
        <f>EXP(-LN(2)/25)*AV173+(1-EXP(-LN(2)/25))/(LN(2)/25)*Calculateur!AQ174*Calculateur!AS174*VLOOKUP('Données projet'!$B$10,Paramètres!$A$1:$I$89,3,0)*0.475*44/12</f>
        <v>11.240012586398516</v>
      </c>
      <c r="AW174" s="21">
        <f>EXP(-LN(2)/2)*AW173+(1-EXP(-LN(2)/2))/(LN(2)/2)*AQ174*AT174*VLOOKUP('Données projet'!$B$10,Paramètres!$A$1:$I$89,3,0)*0.475*44/12</f>
        <v>1.3666210787569618E-6</v>
      </c>
      <c r="AX174" s="21">
        <f t="shared" si="166"/>
        <v>27.990961082903311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-1.3596945791505279E-13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373.61861223558259</v>
      </c>
      <c r="BJ174" s="59">
        <f t="shared" si="146"/>
        <v>277.62293009761049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25.279704946835533</v>
      </c>
      <c r="BQ174" s="21">
        <f>EXP(-LN(2)/25)*BQ173+(1-EXP(-LN(2)/25))/(LN(2)/25)*Calculateur!BL174*Calculateur!BN174*VLOOKUP('Données projet'!$B$11,Paramètres!$A$1:$I$89,3,0)*0.475*44/12</f>
        <v>4.1506292548010366</v>
      </c>
      <c r="BR174" s="21">
        <f>EXP(-LN(2)/2)*BR173+(1-EXP(-LN(2)/2))/(LN(2)/2)*BL174*BO174*VLOOKUP('Données projet'!$B$11,Paramètres!$A$1:$I$89,3,0)*0.475*44/12</f>
        <v>1.4212053448398344E-12</v>
      </c>
      <c r="BS174" s="22">
        <f t="shared" si="169"/>
        <v>29.43033420163799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8.5265128291212022E-14</v>
      </c>
      <c r="BZ174" s="13">
        <f>BY174*VLOOKUP('Données projet'!$B$12,Paramètres!$A$1:$I$89,3,0)*VLOOKUP('Données projet'!$B$12,Paramètres!$A$1:$I$89,5,0)</f>
        <v>7.4487616075202836E-14</v>
      </c>
      <c r="CA174" s="13">
        <f t="shared" si="170"/>
        <v>1.1580453144473142E-12</v>
      </c>
      <c r="CB174" s="20">
        <f t="shared" si="171"/>
        <v>2.1466615206600508E-12</v>
      </c>
      <c r="CC174" s="59">
        <f t="shared" si="119"/>
        <v>288.73516144466367</v>
      </c>
      <c r="CD174" s="59">
        <f ca="1">AVERAGE(OFFSET($CC$3,0,0,'Données projet'!$E$12+1,1))-AVERAGE(OFFSET($H$3,0,0,'Données projet'!$E$12+1,1))</f>
        <v>251.30277097589737</v>
      </c>
      <c r="CE174" s="59">
        <f t="shared" si="148"/>
        <v>224.11983819941796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3.6463203390486116</v>
      </c>
      <c r="CL174" s="21">
        <f>EXP(-LN(2)/25)*CL173+(1-EXP(-LN(2)/25))/(LN(2)/25)*Calculateur!CG174*Calculateur!CI174*VLOOKUP('Données projet'!$B$12,Paramètres!$A$1:$I$89,3,0)*0.475*44/12</f>
        <v>5.3050648705986188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8.9513852096472313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2.8421709430404007E-14</v>
      </c>
      <c r="CU174" s="17">
        <f>CT174*VLOOKUP('Données projet'!$B$13,Paramètres!$A$1:$I$89,3,0)*VLOOKUP('Données projet'!$B$13,Paramètres!$A$1:$I$89,5,0)</f>
        <v>2.4829205358400945E-14</v>
      </c>
      <c r="CV174" s="13">
        <f t="shared" si="173"/>
        <v>4.3867331143352915E-13</v>
      </c>
      <c r="CW174" s="20">
        <f t="shared" si="174"/>
        <v>8.0726688341261168E-13</v>
      </c>
      <c r="CX174" s="59">
        <f t="shared" si="122"/>
        <v>288.73516144466231</v>
      </c>
      <c r="CY174" s="59">
        <f ca="1">AVERAGE(OFFSET($CX$3,0,0,'Données projet'!$E$13+1,1))-AVERAGE(OFFSET($H$3,0,0,'Données projet'!$E$13+1,1))</f>
        <v>287.28439432670405</v>
      </c>
      <c r="CZ174" s="59">
        <f t="shared" si="150"/>
        <v>276.01618888357268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5.4406941654254259</v>
      </c>
      <c r="DG174" s="21">
        <f>EXP(-LN(2)/25)*DG173+(1-EXP(-LN(2)/25))/(LN(2)/25)*Calculateur!DB174*Calculateur!DD174*VLOOKUP('Données projet'!$B$13,Paramètres!$A$1:$I$89,3,0)*0.475*44/12</f>
        <v>2.9274921548848614</v>
      </c>
      <c r="DH174" s="21">
        <f>EXP(-LN(2)/2)*DH173+(1-EXP(-LN(2)/2))/(LN(2)/2)*DB174*DE174*VLOOKUP('Données projet'!$B$13,Paramètres!$A$1:$I$89,3,0)*0.475*44/12</f>
        <v>9.1334547576272005E-13</v>
      </c>
      <c r="DI174" s="22">
        <f t="shared" si="175"/>
        <v>8.3681863203111995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-9.9475983006414026E-14</v>
      </c>
      <c r="DP174" s="17">
        <f>DO174*VLOOKUP('Données projet'!$B$14,Paramètres!$A$1:$I$89,3,0)*VLOOKUP('Données projet'!$B$14,Paramètres!$A$1:$I$89,5,0)</f>
        <v>-9.6213170763803652E-14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206.5245935130306</v>
      </c>
      <c r="DU174" s="59">
        <f t="shared" si="152"/>
        <v>130.57011290898546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5.1255080909873501</v>
      </c>
      <c r="EB174" s="21">
        <f>EXP(-LN(2)/25)*EB173+(1-EXP(-LN(2)/25))/(LN(2)/25)*Calculateur!DW174*Calculateur!DY174*VLOOKUP('Données projet'!$B$14,Paramètres!$A$1:$I$89,3,0)*0.475*44/12</f>
        <v>4.4728084498551581</v>
      </c>
      <c r="EC174" s="21">
        <f>EXP(-LN(2)/2)*EC173+(1-EXP(-LN(2)/2))/(LN(2)/2)*DW174*DZ174*VLOOKUP('Données projet'!$B$14,Paramètres!$A$1:$I$89,3,0)*0.475*44/12</f>
        <v>5.952607390253855E-7</v>
      </c>
      <c r="ED174" s="22">
        <f t="shared" si="178"/>
        <v>9.5983171361032458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1.7053025658242404E-13</v>
      </c>
      <c r="EK174" s="17">
        <f>EJ174*VLOOKUP('Données projet'!$B$15,Paramètres!$A$1:$I$89,3,0)*VLOOKUP('Données projet'!$B$15,Paramètres!$A$1:$I$89,5,0)</f>
        <v>7.9808160080574461E-14</v>
      </c>
      <c r="EL174" s="13">
        <f t="shared" si="179"/>
        <v>1.2308384591775343E-12</v>
      </c>
      <c r="EM174" s="20">
        <f t="shared" si="180"/>
        <v>2.282709528541206E-12</v>
      </c>
      <c r="EN174" s="59">
        <f t="shared" si="128"/>
        <v>288.73516144466379</v>
      </c>
      <c r="EO174" s="59">
        <f ca="1">AVERAGE(OFFSET($EN$3,0,0,'Données projet'!$E$15+1,1))-AVERAGE(OFFSET($H$3,0,0,'Données projet'!$E$15+1,1))</f>
        <v>374.38106339726073</v>
      </c>
      <c r="EP174" s="59">
        <f t="shared" si="154"/>
        <v>296.53283288925957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65.869535206989426</v>
      </c>
      <c r="EW174" s="21">
        <f>EXP(-LN(2)/25)*EW173+(1-EXP(-LN(2)/25))/(LN(2)/25)*Calculateur!ER174*Calculateur!ET174*VLOOKUP('Données projet'!$B$15,Paramètres!$A$1:$I$89,3,0)*0.475*44/12</f>
        <v>14.815797038011896</v>
      </c>
      <c r="EX174" s="21">
        <f>EXP(-LN(2)/2)*EX173+(1-EXP(-LN(2)/2))/(LN(2)/2)*ER174*EU174*VLOOKUP('Données projet'!$B$15,Paramètres!$A$1:$I$89,3,0)*0.475*44/12</f>
        <v>3.0907300638750854E-5</v>
      </c>
      <c r="EY174" s="22">
        <f t="shared" si="181"/>
        <v>80.68536315230196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9">
        <f t="shared" si="109"/>
        <v>1427.2547455968675</v>
      </c>
      <c r="S175" s="59">
        <f ca="1">AVERAGE(OFFSET($R$3,0,0,'Données projet'!$E$9+1,1))-AVERAGE(OFFSET($H$3,0,0,'Données projet'!$E$9+1,1))</f>
        <v>681.47578137804555</v>
      </c>
      <c r="T175" s="59">
        <f t="shared" si="142"/>
        <v>300.88511065995885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1.0818439477588981E-13</v>
      </c>
      <c r="AK175" s="13">
        <f t="shared" si="164"/>
        <v>1.6104228458716316E-12</v>
      </c>
      <c r="AL175" s="20">
        <f t="shared" si="165"/>
        <v>2.9932409441277661E-12</v>
      </c>
      <c r="AM175" s="59">
        <f t="shared" si="113"/>
        <v>288.81492944696066</v>
      </c>
      <c r="AN175" s="59">
        <f ca="1">AVERAGE(OFFSET($AM$3,0,0,'Données projet'!$E$10+1,1))-AVERAGE(OFFSET($H$3,0,0,'Données projet'!$E$10+1,1))</f>
        <v>423.80243030843661</v>
      </c>
      <c r="AO175" s="59">
        <f t="shared" si="144"/>
        <v>260.29028006191834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16.422471273735596</v>
      </c>
      <c r="AV175" s="21">
        <f>EXP(-LN(2)/25)*AV174+(1-EXP(-LN(2)/25))/(LN(2)/25)*Calculateur!AQ175*Calculateur!AS175*VLOOKUP('Données projet'!$B$10,Paramètres!$A$1:$I$89,3,0)*0.475*44/12</f>
        <v>10.932653851136875</v>
      </c>
      <c r="AW175" s="21">
        <f>EXP(-LN(2)/2)*AW174+(1-EXP(-LN(2)/2))/(LN(2)/2)*AQ175*AT175*VLOOKUP('Données projet'!$B$10,Paramètres!$A$1:$I$89,3,0)*0.475*44/12</f>
        <v>9.6634703210152251E-7</v>
      </c>
      <c r="AX175" s="21">
        <f t="shared" si="166"/>
        <v>27.355126091219503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-1.3596945791505279E-13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373.61861223558259</v>
      </c>
      <c r="BJ175" s="59">
        <f t="shared" si="146"/>
        <v>277.62293009761049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24.783985351925597</v>
      </c>
      <c r="BQ175" s="21">
        <f>EXP(-LN(2)/25)*BQ174+(1-EXP(-LN(2)/25))/(LN(2)/25)*Calculateur!BL175*Calculateur!BN175*VLOOKUP('Données projet'!$B$11,Paramètres!$A$1:$I$89,3,0)*0.475*44/12</f>
        <v>4.0371300795563965</v>
      </c>
      <c r="BR175" s="21">
        <f>EXP(-LN(2)/2)*BR174+(1-EXP(-LN(2)/2))/(LN(2)/2)*BL175*BO175*VLOOKUP('Données projet'!$B$11,Paramètres!$A$1:$I$89,3,0)*0.475*44/12</f>
        <v>1.0049439367948126E-12</v>
      </c>
      <c r="BS175" s="22">
        <f t="shared" si="169"/>
        <v>28.821115431482998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8.5265128291212022E-14</v>
      </c>
      <c r="BZ175" s="13">
        <f>BY175*VLOOKUP('Données projet'!$B$12,Paramètres!$A$1:$I$89,3,0)*VLOOKUP('Données projet'!$B$12,Paramètres!$A$1:$I$89,5,0)</f>
        <v>7.4487616075202836E-14</v>
      </c>
      <c r="CA175" s="13">
        <f t="shared" si="170"/>
        <v>1.1580453144473142E-12</v>
      </c>
      <c r="CB175" s="20">
        <f t="shared" si="171"/>
        <v>2.1466615206600508E-12</v>
      </c>
      <c r="CC175" s="59">
        <f t="shared" si="119"/>
        <v>288.81492944695981</v>
      </c>
      <c r="CD175" s="59">
        <f ca="1">AVERAGE(OFFSET($CC$3,0,0,'Données projet'!$E$12+1,1))-AVERAGE(OFFSET($H$3,0,0,'Données projet'!$E$12+1,1))</f>
        <v>251.30277097589737</v>
      </c>
      <c r="CE175" s="59">
        <f t="shared" si="148"/>
        <v>224.11983819941796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3.5748182212356698</v>
      </c>
      <c r="CL175" s="21">
        <f>EXP(-LN(2)/25)*CL174+(1-EXP(-LN(2)/25))/(LN(2)/25)*Calculateur!CG175*Calculateur!CI175*VLOOKUP('Données projet'!$B$12,Paramètres!$A$1:$I$89,3,0)*0.475*44/12</f>
        <v>5.1599975927308632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8.7348158139665326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2.8421709430404007E-14</v>
      </c>
      <c r="CU175" s="17">
        <f>CT175*VLOOKUP('Données projet'!$B$13,Paramètres!$A$1:$I$89,3,0)*VLOOKUP('Données projet'!$B$13,Paramètres!$A$1:$I$89,5,0)</f>
        <v>2.4829205358400945E-14</v>
      </c>
      <c r="CV175" s="13">
        <f t="shared" si="173"/>
        <v>4.3867331143352915E-13</v>
      </c>
      <c r="CW175" s="20">
        <f t="shared" si="174"/>
        <v>8.0726688341261168E-13</v>
      </c>
      <c r="CX175" s="59">
        <f t="shared" si="122"/>
        <v>288.81492944695844</v>
      </c>
      <c r="CY175" s="59">
        <f ca="1">AVERAGE(OFFSET($CX$3,0,0,'Données projet'!$E$13+1,1))-AVERAGE(OFFSET($H$3,0,0,'Données projet'!$E$13+1,1))</f>
        <v>287.28439432670405</v>
      </c>
      <c r="CZ175" s="59">
        <f t="shared" si="150"/>
        <v>276.01618888357268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5.3340054713371998</v>
      </c>
      <c r="DG175" s="21">
        <f>EXP(-LN(2)/25)*DG174+(1-EXP(-LN(2)/25))/(LN(2)/25)*Calculateur!DB175*Calculateur!DD175*VLOOKUP('Données projet'!$B$13,Paramètres!$A$1:$I$89,3,0)*0.475*44/12</f>
        <v>2.8474397279594132</v>
      </c>
      <c r="DH175" s="21">
        <f>EXP(-LN(2)/2)*DH174+(1-EXP(-LN(2)/2))/(LN(2)/2)*DB175*DE175*VLOOKUP('Données projet'!$B$13,Paramètres!$A$1:$I$89,3,0)*0.475*44/12</f>
        <v>6.4583277947787285E-13</v>
      </c>
      <c r="DI175" s="22">
        <f t="shared" si="175"/>
        <v>8.1814451992972597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-9.9475983006414026E-14</v>
      </c>
      <c r="DP175" s="17">
        <f>DO175*VLOOKUP('Données projet'!$B$14,Paramètres!$A$1:$I$89,3,0)*VLOOKUP('Données projet'!$B$14,Paramètres!$A$1:$I$89,5,0)</f>
        <v>-9.6213170763803652E-14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206.5245935130306</v>
      </c>
      <c r="DU175" s="59">
        <f t="shared" si="152"/>
        <v>130.57011290898546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5.0250000035743323</v>
      </c>
      <c r="EB175" s="21">
        <f>EXP(-LN(2)/25)*EB174+(1-EXP(-LN(2)/25))/(LN(2)/25)*Calculateur!DW175*Calculateur!DY175*VLOOKUP('Données projet'!$B$14,Paramètres!$A$1:$I$89,3,0)*0.475*44/12</f>
        <v>4.350499267579095</v>
      </c>
      <c r="EC175" s="21">
        <f>EXP(-LN(2)/2)*EC174+(1-EXP(-LN(2)/2))/(LN(2)/2)*DW175*DZ175*VLOOKUP('Données projet'!$B$14,Paramètres!$A$1:$I$89,3,0)*0.475*44/12</f>
        <v>4.2091290513896584E-7</v>
      </c>
      <c r="ED175" s="22">
        <f t="shared" si="178"/>
        <v>9.3754996920663309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1.7053025658242404E-13</v>
      </c>
      <c r="EK175" s="17">
        <f>EJ175*VLOOKUP('Données projet'!$B$15,Paramètres!$A$1:$I$89,3,0)*VLOOKUP('Données projet'!$B$15,Paramètres!$A$1:$I$89,5,0)</f>
        <v>7.9808160080574461E-14</v>
      </c>
      <c r="EL175" s="13">
        <f t="shared" si="179"/>
        <v>1.2308384591775343E-12</v>
      </c>
      <c r="EM175" s="20">
        <f t="shared" si="180"/>
        <v>2.282709528541206E-12</v>
      </c>
      <c r="EN175" s="59">
        <f t="shared" si="128"/>
        <v>288.81492944695992</v>
      </c>
      <c r="EO175" s="59">
        <f ca="1">AVERAGE(OFFSET($EN$3,0,0,'Données projet'!$E$15+1,1))-AVERAGE(OFFSET($H$3,0,0,'Données projet'!$E$15+1,1))</f>
        <v>374.38106339726073</v>
      </c>
      <c r="EP175" s="59">
        <f t="shared" si="154"/>
        <v>296.53283288925957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64.577873798029742</v>
      </c>
      <c r="EW175" s="21">
        <f>EXP(-LN(2)/25)*EW174+(1-EXP(-LN(2)/25))/(LN(2)/25)*Calculateur!ER175*Calculateur!ET175*VLOOKUP('Données projet'!$B$15,Paramètres!$A$1:$I$89,3,0)*0.475*44/12</f>
        <v>14.410658288878556</v>
      </c>
      <c r="EX175" s="21">
        <f>EXP(-LN(2)/2)*EX174+(1-EXP(-LN(2)/2))/(LN(2)/2)*ER175*EU175*VLOOKUP('Données projet'!$B$15,Paramètres!$A$1:$I$89,3,0)*0.475*44/12</f>
        <v>2.1854761869832041E-5</v>
      </c>
      <c r="EY175" s="22">
        <f t="shared" si="181"/>
        <v>78.988553941670162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9">
        <f t="shared" si="109"/>
        <v>1445.4650028127028</v>
      </c>
      <c r="S176" s="59">
        <f ca="1">AVERAGE(OFFSET($R$3,0,0,'Données projet'!$E$9+1,1))-AVERAGE(OFFSET($H$3,0,0,'Données projet'!$E$9+1,1))</f>
        <v>681.47578137804555</v>
      </c>
      <c r="T176" s="59">
        <f t="shared" si="142"/>
        <v>300.88511065995885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1.0818439477588981E-13</v>
      </c>
      <c r="AK176" s="13">
        <f t="shared" si="164"/>
        <v>1.6104228458716316E-12</v>
      </c>
      <c r="AL176" s="20">
        <f t="shared" si="165"/>
        <v>2.9932409441277661E-12</v>
      </c>
      <c r="AM176" s="59">
        <f t="shared" si="113"/>
        <v>288.89331365275149</v>
      </c>
      <c r="AN176" s="59">
        <f ca="1">AVERAGE(OFFSET($AM$3,0,0,'Données projet'!$E$10+1,1))-AVERAGE(OFFSET($H$3,0,0,'Données projet'!$E$10+1,1))</f>
        <v>423.80243030843661</v>
      </c>
      <c r="AO176" s="59">
        <f t="shared" si="144"/>
        <v>260.29028006191834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16.100436628776048</v>
      </c>
      <c r="AV176" s="21">
        <f>EXP(-LN(2)/25)*AV175+(1-EXP(-LN(2)/25))/(LN(2)/25)*Calculateur!AQ176*Calculateur!AS176*VLOOKUP('Données projet'!$B$10,Paramètres!$A$1:$I$89,3,0)*0.475*44/12</f>
        <v>10.633699856654259</v>
      </c>
      <c r="AW176" s="21">
        <f>EXP(-LN(2)/2)*AW175+(1-EXP(-LN(2)/2))/(LN(2)/2)*AQ176*AT176*VLOOKUP('Données projet'!$B$10,Paramètres!$A$1:$I$89,3,0)*0.475*44/12</f>
        <v>6.8331053937848089E-7</v>
      </c>
      <c r="AX176" s="21">
        <f t="shared" si="166"/>
        <v>26.734137168740844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-1.3596945791505279E-13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373.61861223558259</v>
      </c>
      <c r="BJ176" s="59">
        <f t="shared" si="146"/>
        <v>277.62293009761049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24.297986515912747</v>
      </c>
      <c r="BQ176" s="21">
        <f>EXP(-LN(2)/25)*BQ175+(1-EXP(-LN(2)/25))/(LN(2)/25)*Calculateur!BL176*Calculateur!BN176*VLOOKUP('Données projet'!$B$11,Paramètres!$A$1:$I$89,3,0)*0.475*44/12</f>
        <v>3.9267345452274829</v>
      </c>
      <c r="BR176" s="21">
        <f>EXP(-LN(2)/2)*BR175+(1-EXP(-LN(2)/2))/(LN(2)/2)*BL176*BO176*VLOOKUP('Données projet'!$B$11,Paramètres!$A$1:$I$89,3,0)*0.475*44/12</f>
        <v>7.1060267241991719E-13</v>
      </c>
      <c r="BS176" s="22">
        <f t="shared" si="169"/>
        <v>28.22472106114094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8.5265128291212022E-14</v>
      </c>
      <c r="BZ176" s="13">
        <f>BY176*VLOOKUP('Données projet'!$B$12,Paramètres!$A$1:$I$89,3,0)*VLOOKUP('Données projet'!$B$12,Paramètres!$A$1:$I$89,5,0)</f>
        <v>7.4487616075202836E-14</v>
      </c>
      <c r="CA176" s="13">
        <f t="shared" si="170"/>
        <v>1.1580453144473142E-12</v>
      </c>
      <c r="CB176" s="20">
        <f t="shared" si="171"/>
        <v>2.1466615206600508E-12</v>
      </c>
      <c r="CC176" s="59">
        <f t="shared" si="119"/>
        <v>288.89331365275063</v>
      </c>
      <c r="CD176" s="59">
        <f ca="1">AVERAGE(OFFSET($CC$3,0,0,'Données projet'!$E$12+1,1))-AVERAGE(OFFSET($H$3,0,0,'Données projet'!$E$12+1,1))</f>
        <v>251.30277097589737</v>
      </c>
      <c r="CE176" s="59">
        <f t="shared" si="148"/>
        <v>224.11983819941796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3.5047182163410544</v>
      </c>
      <c r="CL176" s="21">
        <f>EXP(-LN(2)/25)*CL175+(1-EXP(-LN(2)/25))/(LN(2)/25)*Calculateur!CG176*Calculateur!CI176*VLOOKUP('Données projet'!$B$12,Paramètres!$A$1:$I$89,3,0)*0.475*44/12</f>
        <v>5.018897187205158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8.5236154035462128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2.8421709430404007E-14</v>
      </c>
      <c r="CU176" s="17">
        <f>CT176*VLOOKUP('Données projet'!$B$13,Paramètres!$A$1:$I$89,3,0)*VLOOKUP('Données projet'!$B$13,Paramètres!$A$1:$I$89,5,0)</f>
        <v>2.4829205358400945E-14</v>
      </c>
      <c r="CV176" s="13">
        <f t="shared" si="173"/>
        <v>4.3867331143352915E-13</v>
      </c>
      <c r="CW176" s="20">
        <f t="shared" si="174"/>
        <v>8.0726688341261168E-13</v>
      </c>
      <c r="CX176" s="59">
        <f t="shared" si="122"/>
        <v>288.89331365274927</v>
      </c>
      <c r="CY176" s="59">
        <f ca="1">AVERAGE(OFFSET($CX$3,0,0,'Données projet'!$E$13+1,1))-AVERAGE(OFFSET($H$3,0,0,'Données projet'!$E$13+1,1))</f>
        <v>287.28439432670405</v>
      </c>
      <c r="CZ176" s="59">
        <f t="shared" si="150"/>
        <v>276.01618888357268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5.2294088774663665</v>
      </c>
      <c r="DG176" s="21">
        <f>EXP(-LN(2)/25)*DG175+(1-EXP(-LN(2)/25))/(LN(2)/25)*Calculateur!DB176*Calculateur!DD176*VLOOKUP('Données projet'!$B$13,Paramètres!$A$1:$I$89,3,0)*0.475*44/12</f>
        <v>2.7695763388580157</v>
      </c>
      <c r="DH176" s="21">
        <f>EXP(-LN(2)/2)*DH175+(1-EXP(-LN(2)/2))/(LN(2)/2)*DB176*DE176*VLOOKUP('Données projet'!$B$13,Paramètres!$A$1:$I$89,3,0)*0.475*44/12</f>
        <v>4.5667273788136003E-13</v>
      </c>
      <c r="DI176" s="22">
        <f t="shared" si="175"/>
        <v>7.9989852163248383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-9.9475983006414026E-14</v>
      </c>
      <c r="DP176" s="17">
        <f>DO176*VLOOKUP('Données projet'!$B$14,Paramètres!$A$1:$I$89,3,0)*VLOOKUP('Données projet'!$B$14,Paramètres!$A$1:$I$89,5,0)</f>
        <v>-9.6213170763803652E-14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206.5245935130306</v>
      </c>
      <c r="DU176" s="59">
        <f t="shared" si="152"/>
        <v>130.57011290898546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4.9264628184516033</v>
      </c>
      <c r="EB176" s="21">
        <f>EXP(-LN(2)/25)*EB175+(1-EXP(-LN(2)/25))/(LN(2)/25)*Calculateur!DW176*Calculateur!DY176*VLOOKUP('Données projet'!$B$14,Paramètres!$A$1:$I$89,3,0)*0.475*44/12</f>
        <v>4.2315346363243318</v>
      </c>
      <c r="EC176" s="21">
        <f>EXP(-LN(2)/2)*EC175+(1-EXP(-LN(2)/2))/(LN(2)/2)*DW176*DZ176*VLOOKUP('Données projet'!$B$14,Paramètres!$A$1:$I$89,3,0)*0.475*44/12</f>
        <v>2.9763036951269275E-7</v>
      </c>
      <c r="ED176" s="22">
        <f t="shared" si="178"/>
        <v>9.1579977524063043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1.7053025658242404E-13</v>
      </c>
      <c r="EK176" s="17">
        <f>EJ176*VLOOKUP('Données projet'!$B$15,Paramètres!$A$1:$I$89,3,0)*VLOOKUP('Données projet'!$B$15,Paramètres!$A$1:$I$89,5,0)</f>
        <v>7.9808160080574461E-14</v>
      </c>
      <c r="EL176" s="13">
        <f t="shared" si="179"/>
        <v>1.2308384591775343E-12</v>
      </c>
      <c r="EM176" s="20">
        <f t="shared" si="180"/>
        <v>2.282709528541206E-12</v>
      </c>
      <c r="EN176" s="59">
        <f t="shared" si="128"/>
        <v>288.89331365275075</v>
      </c>
      <c r="EO176" s="59">
        <f ca="1">AVERAGE(OFFSET($EN$3,0,0,'Données projet'!$E$15+1,1))-AVERAGE(OFFSET($H$3,0,0,'Données projet'!$E$15+1,1))</f>
        <v>374.38106339726073</v>
      </c>
      <c r="EP176" s="59">
        <f t="shared" si="154"/>
        <v>296.53283288925957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63.311541081464092</v>
      </c>
      <c r="EW176" s="21">
        <f>EXP(-LN(2)/25)*EW175+(1-EXP(-LN(2)/25))/(LN(2)/25)*Calculateur!ER176*Calculateur!ET176*VLOOKUP('Données projet'!$B$15,Paramètres!$A$1:$I$89,3,0)*0.475*44/12</f>
        <v>14.016598080145588</v>
      </c>
      <c r="EX176" s="21">
        <f>EXP(-LN(2)/2)*EX175+(1-EXP(-LN(2)/2))/(LN(2)/2)*ER176*EU176*VLOOKUP('Données projet'!$B$15,Paramètres!$A$1:$I$89,3,0)*0.475*44/12</f>
        <v>1.5453650319375427E-5</v>
      </c>
      <c r="EY176" s="22">
        <f t="shared" si="181"/>
        <v>77.328154615260004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9">
        <f t="shared" si="109"/>
        <v>1463.6683713837238</v>
      </c>
      <c r="S177" s="59">
        <f ca="1">AVERAGE(OFFSET($R$3,0,0,'Données projet'!$E$9+1,1))-AVERAGE(OFFSET($H$3,0,0,'Données projet'!$E$9+1,1))</f>
        <v>681.47578137804555</v>
      </c>
      <c r="T177" s="59">
        <f t="shared" si="142"/>
        <v>300.88511065995885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1.0818439477588981E-13</v>
      </c>
      <c r="AK177" s="13">
        <f t="shared" si="164"/>
        <v>1.6104228458716316E-12</v>
      </c>
      <c r="AL177" s="20">
        <f t="shared" si="165"/>
        <v>2.9932409441277661E-12</v>
      </c>
      <c r="AM177" s="59">
        <f t="shared" si="113"/>
        <v>288.97033806781275</v>
      </c>
      <c r="AN177" s="59">
        <f ca="1">AVERAGE(OFFSET($AM$3,0,0,'Données projet'!$E$10+1,1))-AVERAGE(OFFSET($H$3,0,0,'Données projet'!$E$10+1,1))</f>
        <v>423.80243030843661</v>
      </c>
      <c r="AO177" s="59">
        <f t="shared" si="144"/>
        <v>260.29028006191834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15.784716886782419</v>
      </c>
      <c r="AV177" s="21">
        <f>EXP(-LN(2)/25)*AV176+(1-EXP(-LN(2)/25))/(LN(2)/25)*Calculateur!AQ177*Calculateur!AS177*VLOOKUP('Données projet'!$B$10,Paramètres!$A$1:$I$89,3,0)*0.475*44/12</f>
        <v>10.342920774872075</v>
      </c>
      <c r="AW177" s="21">
        <f>EXP(-LN(2)/2)*AW176+(1-EXP(-LN(2)/2))/(LN(2)/2)*AQ177*AT177*VLOOKUP('Données projet'!$B$10,Paramètres!$A$1:$I$89,3,0)*0.475*44/12</f>
        <v>4.8317351605076126E-7</v>
      </c>
      <c r="AX177" s="21">
        <f t="shared" si="166"/>
        <v>26.127638144828012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-1.3596945791505279E-13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373.61861223558259</v>
      </c>
      <c r="BJ177" s="59">
        <f t="shared" si="146"/>
        <v>277.62293009761049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23.82151782064409</v>
      </c>
      <c r="BQ177" s="21">
        <f>EXP(-LN(2)/25)*BQ176+(1-EXP(-LN(2)/25))/(LN(2)/25)*Calculateur!BL177*Calculateur!BN177*VLOOKUP('Données projet'!$B$11,Paramètres!$A$1:$I$89,3,0)*0.475*44/12</f>
        <v>3.8193577825902425</v>
      </c>
      <c r="BR177" s="21">
        <f>EXP(-LN(2)/2)*BR176+(1-EXP(-LN(2)/2))/(LN(2)/2)*BL177*BO177*VLOOKUP('Données projet'!$B$11,Paramètres!$A$1:$I$89,3,0)*0.475*44/12</f>
        <v>5.0247196839740629E-13</v>
      </c>
      <c r="BS177" s="22">
        <f t="shared" si="169"/>
        <v>27.640875603234832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8.5265128291212022E-14</v>
      </c>
      <c r="BZ177" s="13">
        <f>BY177*VLOOKUP('Données projet'!$B$12,Paramètres!$A$1:$I$89,3,0)*VLOOKUP('Données projet'!$B$12,Paramètres!$A$1:$I$89,5,0)</f>
        <v>7.4487616075202836E-14</v>
      </c>
      <c r="CA177" s="13">
        <f t="shared" si="170"/>
        <v>1.1580453144473142E-12</v>
      </c>
      <c r="CB177" s="20">
        <f t="shared" si="171"/>
        <v>2.1466615206600508E-12</v>
      </c>
      <c r="CC177" s="59">
        <f t="shared" si="119"/>
        <v>288.97033806781189</v>
      </c>
      <c r="CD177" s="59">
        <f ca="1">AVERAGE(OFFSET($CC$3,0,0,'Données projet'!$E$12+1,1))-AVERAGE(OFFSET($H$3,0,0,'Données projet'!$E$12+1,1))</f>
        <v>251.30277097589737</v>
      </c>
      <c r="CE177" s="59">
        <f t="shared" si="148"/>
        <v>224.11983819941796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3.4359928297856412</v>
      </c>
      <c r="CL177" s="21">
        <f>EXP(-LN(2)/25)*CL176+(1-EXP(-LN(2)/25))/(LN(2)/25)*Calculateur!CG177*Calculateur!CI177*VLOOKUP('Données projet'!$B$12,Paramètres!$A$1:$I$89,3,0)*0.475*44/12</f>
        <v>4.8816551796887007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8.3176480094743415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2.8421709430404007E-14</v>
      </c>
      <c r="CU177" s="17">
        <f>CT177*VLOOKUP('Données projet'!$B$13,Paramètres!$A$1:$I$89,3,0)*VLOOKUP('Données projet'!$B$13,Paramètres!$A$1:$I$89,5,0)</f>
        <v>2.4829205358400945E-14</v>
      </c>
      <c r="CV177" s="13">
        <f t="shared" si="173"/>
        <v>4.3867331143352915E-13</v>
      </c>
      <c r="CW177" s="20">
        <f t="shared" si="174"/>
        <v>8.0726688341261168E-13</v>
      </c>
      <c r="CX177" s="59">
        <f t="shared" si="122"/>
        <v>288.97033806781053</v>
      </c>
      <c r="CY177" s="59">
        <f ca="1">AVERAGE(OFFSET($CX$3,0,0,'Données projet'!$E$13+1,1))-AVERAGE(OFFSET($H$3,0,0,'Données projet'!$E$13+1,1))</f>
        <v>287.28439432670405</v>
      </c>
      <c r="CZ177" s="59">
        <f t="shared" si="150"/>
        <v>276.01618888357268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5.1268633590037167</v>
      </c>
      <c r="DG177" s="21">
        <f>EXP(-LN(2)/25)*DG176+(1-EXP(-LN(2)/25))/(LN(2)/25)*Calculateur!DB177*Calculateur!DD177*VLOOKUP('Données projet'!$B$13,Paramètres!$A$1:$I$89,3,0)*0.475*44/12</f>
        <v>2.6938421282262537</v>
      </c>
      <c r="DH177" s="21">
        <f>EXP(-LN(2)/2)*DH176+(1-EXP(-LN(2)/2))/(LN(2)/2)*DB177*DE177*VLOOKUP('Données projet'!$B$13,Paramètres!$A$1:$I$89,3,0)*0.475*44/12</f>
        <v>3.2291638973893642E-13</v>
      </c>
      <c r="DI177" s="22">
        <f t="shared" si="175"/>
        <v>7.8207054872302937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-9.9475983006414026E-14</v>
      </c>
      <c r="DP177" s="17">
        <f>DO177*VLOOKUP('Données projet'!$B$14,Paramètres!$A$1:$I$89,3,0)*VLOOKUP('Données projet'!$B$14,Paramètres!$A$1:$I$89,5,0)</f>
        <v>-9.6213170763803652E-14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206.5245935130306</v>
      </c>
      <c r="DU177" s="59">
        <f t="shared" si="152"/>
        <v>130.57011290898546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4.8298578874273828</v>
      </c>
      <c r="EB177" s="21">
        <f>EXP(-LN(2)/25)*EB176+(1-EXP(-LN(2)/25))/(LN(2)/25)*Calculateur!DW177*Calculateur!DY177*VLOOKUP('Données projet'!$B$14,Paramètres!$A$1:$I$89,3,0)*0.475*44/12</f>
        <v>4.1158230991673079</v>
      </c>
      <c r="EC177" s="21">
        <f>EXP(-LN(2)/2)*EC176+(1-EXP(-LN(2)/2))/(LN(2)/2)*DW177*DZ177*VLOOKUP('Données projet'!$B$14,Paramètres!$A$1:$I$89,3,0)*0.475*44/12</f>
        <v>2.1045645256948292E-7</v>
      </c>
      <c r="ED177" s="22">
        <f t="shared" si="178"/>
        <v>8.9456811970511438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1.7053025658242404E-13</v>
      </c>
      <c r="EK177" s="17">
        <f>EJ177*VLOOKUP('Données projet'!$B$15,Paramètres!$A$1:$I$89,3,0)*VLOOKUP('Données projet'!$B$15,Paramètres!$A$1:$I$89,5,0)</f>
        <v>7.9808160080574461E-14</v>
      </c>
      <c r="EL177" s="13">
        <f t="shared" si="179"/>
        <v>1.2308384591775343E-12</v>
      </c>
      <c r="EM177" s="20">
        <f t="shared" si="180"/>
        <v>2.282709528541206E-12</v>
      </c>
      <c r="EN177" s="59">
        <f t="shared" si="128"/>
        <v>288.97033806781201</v>
      </c>
      <c r="EO177" s="59">
        <f ca="1">AVERAGE(OFFSET($EN$3,0,0,'Données projet'!$E$15+1,1))-AVERAGE(OFFSET($H$3,0,0,'Données projet'!$E$15+1,1))</f>
        <v>374.38106339726073</v>
      </c>
      <c r="EP177" s="59">
        <f t="shared" si="154"/>
        <v>296.53283288925957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62.070040377083608</v>
      </c>
      <c r="EW177" s="21">
        <f>EXP(-LN(2)/25)*EW176+(1-EXP(-LN(2)/25))/(LN(2)/25)*Calculateur!ER177*Calculateur!ET177*VLOOKUP('Données projet'!$B$15,Paramètres!$A$1:$I$89,3,0)*0.475*44/12</f>
        <v>13.633313468543149</v>
      </c>
      <c r="EX177" s="21">
        <f>EXP(-LN(2)/2)*EX176+(1-EXP(-LN(2)/2))/(LN(2)/2)*ER177*EU177*VLOOKUP('Données projet'!$B$15,Paramètres!$A$1:$I$89,3,0)*0.475*44/12</f>
        <v>1.0927380934916021E-5</v>
      </c>
      <c r="EY177" s="22">
        <f t="shared" si="181"/>
        <v>75.703364773007692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9">
        <f t="shared" si="109"/>
        <v>1021.3604006373826</v>
      </c>
      <c r="S178" s="59">
        <f ca="1">AVERAGE(OFFSET($R$3,0,0,'Données projet'!$E$9+1,1))-AVERAGE(OFFSET($H$3,0,0,'Données projet'!$E$9+1,1))</f>
        <v>681.47578137804555</v>
      </c>
      <c r="T178" s="59">
        <f t="shared" si="142"/>
        <v>300.88511065995885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1.0818439477588981E-13</v>
      </c>
      <c r="AK178" s="13">
        <f t="shared" si="164"/>
        <v>1.6104228458716316E-12</v>
      </c>
      <c r="AL178" s="20">
        <f t="shared" si="165"/>
        <v>2.9932409441277661E-12</v>
      </c>
      <c r="AM178" s="59">
        <f t="shared" si="113"/>
        <v>289.04602628147342</v>
      </c>
      <c r="AN178" s="59">
        <f ca="1">AVERAGE(OFFSET($AM$3,0,0,'Données projet'!$E$10+1,1))-AVERAGE(OFFSET($H$3,0,0,'Données projet'!$E$10+1,1))</f>
        <v>423.80243030843661</v>
      </c>
      <c r="AO178" s="59">
        <f t="shared" si="144"/>
        <v>260.29028006191834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15.475188216359259</v>
      </c>
      <c r="AV178" s="21">
        <f>EXP(-LN(2)/25)*AV177+(1-EXP(-LN(2)/25))/(LN(2)/25)*Calculateur!AQ178*Calculateur!AS178*VLOOKUP('Données projet'!$B$10,Paramètres!$A$1:$I$89,3,0)*0.475*44/12</f>
        <v>10.060093062372633</v>
      </c>
      <c r="AW178" s="21">
        <f>EXP(-LN(2)/2)*AW177+(1-EXP(-LN(2)/2))/(LN(2)/2)*AQ178*AT178*VLOOKUP('Données projet'!$B$10,Paramètres!$A$1:$I$89,3,0)*0.475*44/12</f>
        <v>3.4165526968924044E-7</v>
      </c>
      <c r="AX178" s="21">
        <f t="shared" si="166"/>
        <v>25.535281620387163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-1.3596945791505279E-13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373.61861223558259</v>
      </c>
      <c r="BJ178" s="59">
        <f t="shared" si="146"/>
        <v>277.62293009761049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23.35439238587244</v>
      </c>
      <c r="BQ178" s="21">
        <f>EXP(-LN(2)/25)*BQ177+(1-EXP(-LN(2)/25))/(LN(2)/25)*Calculateur!BL178*Calculateur!BN178*VLOOKUP('Données projet'!$B$11,Paramètres!$A$1:$I$89,3,0)*0.475*44/12</f>
        <v>3.7149172431740158</v>
      </c>
      <c r="BR178" s="21">
        <f>EXP(-LN(2)/2)*BR177+(1-EXP(-LN(2)/2))/(LN(2)/2)*BL178*BO178*VLOOKUP('Données projet'!$B$11,Paramètres!$A$1:$I$89,3,0)*0.475*44/12</f>
        <v>3.553013362099586E-13</v>
      </c>
      <c r="BS178" s="22">
        <f t="shared" si="169"/>
        <v>27.069309629046813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8.5265128291212022E-14</v>
      </c>
      <c r="BZ178" s="13">
        <f>BY178*VLOOKUP('Données projet'!$B$12,Paramètres!$A$1:$I$89,3,0)*VLOOKUP('Données projet'!$B$12,Paramètres!$A$1:$I$89,5,0)</f>
        <v>7.4487616075202836E-14</v>
      </c>
      <c r="CA178" s="13">
        <f t="shared" si="170"/>
        <v>1.1580453144473142E-12</v>
      </c>
      <c r="CB178" s="20">
        <f t="shared" si="171"/>
        <v>2.1466615206600508E-12</v>
      </c>
      <c r="CC178" s="59">
        <f t="shared" si="119"/>
        <v>289.04602628147256</v>
      </c>
      <c r="CD178" s="59">
        <f ca="1">AVERAGE(OFFSET($CC$3,0,0,'Données projet'!$E$12+1,1))-AVERAGE(OFFSET($H$3,0,0,'Données projet'!$E$12+1,1))</f>
        <v>251.30277097589737</v>
      </c>
      <c r="CE178" s="59">
        <f t="shared" si="148"/>
        <v>224.11983819941796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3.3686151061422329</v>
      </c>
      <c r="CL178" s="21">
        <f>EXP(-LN(2)/25)*CL177+(1-EXP(-LN(2)/25))/(LN(2)/25)*Calculateur!CG178*Calculateur!CI178*VLOOKUP('Données projet'!$B$12,Paramètres!$A$1:$I$89,3,0)*0.475*44/12</f>
        <v>4.7481660620850246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8.1167811682272575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2.8421709430404007E-14</v>
      </c>
      <c r="CU178" s="17">
        <f>CT178*VLOOKUP('Données projet'!$B$13,Paramètres!$A$1:$I$89,3,0)*VLOOKUP('Données projet'!$B$13,Paramètres!$A$1:$I$89,5,0)</f>
        <v>2.4829205358400945E-14</v>
      </c>
      <c r="CV178" s="13">
        <f t="shared" si="173"/>
        <v>4.3867331143352915E-13</v>
      </c>
      <c r="CW178" s="20">
        <f t="shared" si="174"/>
        <v>8.0726688341261168E-13</v>
      </c>
      <c r="CX178" s="59">
        <f t="shared" si="122"/>
        <v>289.0460262814712</v>
      </c>
      <c r="CY178" s="59">
        <f ca="1">AVERAGE(OFFSET($CX$3,0,0,'Données projet'!$E$13+1,1))-AVERAGE(OFFSET($H$3,0,0,'Données projet'!$E$13+1,1))</f>
        <v>287.28439432670405</v>
      </c>
      <c r="CZ178" s="59">
        <f t="shared" si="150"/>
        <v>276.01618888357268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5.0263286956115296</v>
      </c>
      <c r="DG178" s="21">
        <f>EXP(-LN(2)/25)*DG177+(1-EXP(-LN(2)/25))/(LN(2)/25)*Calculateur!DB178*Calculateur!DD178*VLOOKUP('Données projet'!$B$13,Paramètres!$A$1:$I$89,3,0)*0.475*44/12</f>
        <v>2.620178873566906</v>
      </c>
      <c r="DH178" s="21">
        <f>EXP(-LN(2)/2)*DH177+(1-EXP(-LN(2)/2))/(LN(2)/2)*DB178*DE178*VLOOKUP('Données projet'!$B$13,Paramètres!$A$1:$I$89,3,0)*0.475*44/12</f>
        <v>2.2833636894068001E-13</v>
      </c>
      <c r="DI178" s="22">
        <f t="shared" si="175"/>
        <v>7.6465075691786639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-9.9475983006414026E-14</v>
      </c>
      <c r="DP178" s="17">
        <f>DO178*VLOOKUP('Données projet'!$B$14,Paramètres!$A$1:$I$89,3,0)*VLOOKUP('Données projet'!$B$14,Paramètres!$A$1:$I$89,5,0)</f>
        <v>-9.6213170763803652E-14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206.5245935130306</v>
      </c>
      <c r="DU178" s="59">
        <f t="shared" si="152"/>
        <v>130.57011290898546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4.7351473201773571</v>
      </c>
      <c r="EB178" s="21">
        <f>EXP(-LN(2)/25)*EB177+(1-EXP(-LN(2)/25))/(LN(2)/25)*Calculateur!DW178*Calculateur!DY178*VLOOKUP('Données projet'!$B$14,Paramètres!$A$1:$I$89,3,0)*0.475*44/12</f>
        <v>4.0032757000788477</v>
      </c>
      <c r="EC178" s="21">
        <f>EXP(-LN(2)/2)*EC177+(1-EXP(-LN(2)/2))/(LN(2)/2)*DW178*DZ178*VLOOKUP('Données projet'!$B$14,Paramètres!$A$1:$I$89,3,0)*0.475*44/12</f>
        <v>1.4881518475634638E-7</v>
      </c>
      <c r="ED178" s="22">
        <f t="shared" si="178"/>
        <v>8.7384231690713889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1.7053025658242404E-13</v>
      </c>
      <c r="EK178" s="17">
        <f>EJ178*VLOOKUP('Données projet'!$B$15,Paramètres!$A$1:$I$89,3,0)*VLOOKUP('Données projet'!$B$15,Paramètres!$A$1:$I$89,5,0)</f>
        <v>7.9808160080574461E-14</v>
      </c>
      <c r="EL178" s="13">
        <f t="shared" si="179"/>
        <v>1.2308384591775343E-12</v>
      </c>
      <c r="EM178" s="20">
        <f t="shared" si="180"/>
        <v>2.282709528541206E-12</v>
      </c>
      <c r="EN178" s="59">
        <f t="shared" si="128"/>
        <v>289.04602628147268</v>
      </c>
      <c r="EO178" s="59">
        <f ca="1">AVERAGE(OFFSET($EN$3,0,0,'Données projet'!$E$15+1,1))-AVERAGE(OFFSET($H$3,0,0,'Données projet'!$E$15+1,1))</f>
        <v>374.38106339726073</v>
      </c>
      <c r="EP178" s="59">
        <f t="shared" si="154"/>
        <v>296.53283288925957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60.852884744275364</v>
      </c>
      <c r="EW178" s="21">
        <f>EXP(-LN(2)/25)*EW177+(1-EXP(-LN(2)/25))/(LN(2)/25)*Calculateur!ER178*Calculateur!ET178*VLOOKUP('Données projet'!$B$15,Paramètres!$A$1:$I$89,3,0)*0.475*44/12</f>
        <v>13.26050979480104</v>
      </c>
      <c r="EX178" s="21">
        <f>EXP(-LN(2)/2)*EX177+(1-EXP(-LN(2)/2))/(LN(2)/2)*ER178*EU178*VLOOKUP('Données projet'!$B$15,Paramètres!$A$1:$I$89,3,0)*0.475*44/12</f>
        <v>7.7268251596877134E-6</v>
      </c>
      <c r="EY178" s="22">
        <f t="shared" si="181"/>
        <v>74.11340226590157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9">
        <f t="shared" si="109"/>
        <v>1033.1072009259974</v>
      </c>
      <c r="S179" s="59">
        <f ca="1">AVERAGE(OFFSET($R$3,0,0,'Données projet'!$E$9+1,1))-AVERAGE(OFFSET($H$3,0,0,'Données projet'!$E$9+1,1))</f>
        <v>681.47578137804555</v>
      </c>
      <c r="T179" s="59">
        <f t="shared" si="142"/>
        <v>300.88511065995885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1.0818439477588981E-13</v>
      </c>
      <c r="AK179" s="13">
        <f t="shared" si="164"/>
        <v>1.6104228458716316E-12</v>
      </c>
      <c r="AL179" s="20">
        <f t="shared" si="165"/>
        <v>2.9932409441277661E-12</v>
      </c>
      <c r="AM179" s="59">
        <f t="shared" si="113"/>
        <v>289.12040147384062</v>
      </c>
      <c r="AN179" s="59">
        <f ca="1">AVERAGE(OFFSET($AM$3,0,0,'Données projet'!$E$10+1,1))-AVERAGE(OFFSET($H$3,0,0,'Données projet'!$E$10+1,1))</f>
        <v>423.80243030843661</v>
      </c>
      <c r="AO179" s="59">
        <f t="shared" si="144"/>
        <v>260.29028006191834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15.171729214369249</v>
      </c>
      <c r="AV179" s="21">
        <f>EXP(-LN(2)/25)*AV178+(1-EXP(-LN(2)/25))/(LN(2)/25)*Calculateur!AQ179*Calculateur!AS179*VLOOKUP('Données projet'!$B$10,Paramètres!$A$1:$I$89,3,0)*0.475*44/12</f>
        <v>9.7849992885447516</v>
      </c>
      <c r="AW179" s="21">
        <f>EXP(-LN(2)/2)*AW178+(1-EXP(-LN(2)/2))/(LN(2)/2)*AQ179*AT179*VLOOKUP('Données projet'!$B$10,Paramètres!$A$1:$I$89,3,0)*0.475*44/12</f>
        <v>2.4158675802538063E-7</v>
      </c>
      <c r="AX179" s="21">
        <f t="shared" si="166"/>
        <v>24.956728744500758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-1.3596945791505279E-13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373.61861223558259</v>
      </c>
      <c r="BJ179" s="59">
        <f t="shared" si="146"/>
        <v>277.62293009761049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22.896426995958283</v>
      </c>
      <c r="BQ179" s="21">
        <f>EXP(-LN(2)/25)*BQ178+(1-EXP(-LN(2)/25))/(LN(2)/25)*Calculateur!BL179*Calculateur!BN179*VLOOKUP('Données projet'!$B$11,Paramètres!$A$1:$I$89,3,0)*0.475*44/12</f>
        <v>3.6133326358004152</v>
      </c>
      <c r="BR179" s="21">
        <f>EXP(-LN(2)/2)*BR178+(1-EXP(-LN(2)/2))/(LN(2)/2)*BL179*BO179*VLOOKUP('Données projet'!$B$11,Paramètres!$A$1:$I$89,3,0)*0.475*44/12</f>
        <v>2.5123598419870315E-13</v>
      </c>
      <c r="BS179" s="22">
        <f t="shared" si="169"/>
        <v>26.50975963175895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8.5265128291212022E-14</v>
      </c>
      <c r="BZ179" s="13">
        <f>BY179*VLOOKUP('Données projet'!$B$12,Paramètres!$A$1:$I$89,3,0)*VLOOKUP('Données projet'!$B$12,Paramètres!$A$1:$I$89,5,0)</f>
        <v>7.4487616075202836E-14</v>
      </c>
      <c r="CA179" s="13">
        <f t="shared" si="170"/>
        <v>1.1580453144473142E-12</v>
      </c>
      <c r="CB179" s="20">
        <f t="shared" si="171"/>
        <v>2.1466615206600508E-12</v>
      </c>
      <c r="CC179" s="59">
        <f t="shared" si="119"/>
        <v>289.12040147383976</v>
      </c>
      <c r="CD179" s="59">
        <f ca="1">AVERAGE(OFFSET($CC$3,0,0,'Données projet'!$E$12+1,1))-AVERAGE(OFFSET($H$3,0,0,'Données projet'!$E$12+1,1))</f>
        <v>251.30277097589737</v>
      </c>
      <c r="CE179" s="59">
        <f t="shared" si="148"/>
        <v>224.11983819941796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3.3025586185631184</v>
      </c>
      <c r="CL179" s="21">
        <f>EXP(-LN(2)/25)*CL178+(1-EXP(-LN(2)/25))/(LN(2)/25)*Calculateur!CG179*Calculateur!CI179*VLOOKUP('Données projet'!$B$12,Paramètres!$A$1:$I$89,3,0)*0.475*44/12</f>
        <v>4.6183272114221081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7.9208858299852265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2.8421709430404007E-14</v>
      </c>
      <c r="CU179" s="17">
        <f>CT179*VLOOKUP('Données projet'!$B$13,Paramètres!$A$1:$I$89,3,0)*VLOOKUP('Données projet'!$B$13,Paramètres!$A$1:$I$89,5,0)</f>
        <v>2.4829205358400945E-14</v>
      </c>
      <c r="CV179" s="13">
        <f t="shared" si="173"/>
        <v>4.3867331143352915E-13</v>
      </c>
      <c r="CW179" s="20">
        <f t="shared" si="174"/>
        <v>8.0726688341261168E-13</v>
      </c>
      <c r="CX179" s="59">
        <f t="shared" si="122"/>
        <v>289.1204014738384</v>
      </c>
      <c r="CY179" s="59">
        <f ca="1">AVERAGE(OFFSET($CX$3,0,0,'Données projet'!$E$13+1,1))-AVERAGE(OFFSET($H$3,0,0,'Données projet'!$E$13+1,1))</f>
        <v>287.28439432670405</v>
      </c>
      <c r="CZ179" s="59">
        <f t="shared" si="150"/>
        <v>276.01618888357268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4.9277654556483732</v>
      </c>
      <c r="DG179" s="21">
        <f>EXP(-LN(2)/25)*DG178+(1-EXP(-LN(2)/25))/(LN(2)/25)*Calculateur!DB179*Calculateur!DD179*VLOOKUP('Données projet'!$B$13,Paramètres!$A$1:$I$89,3,0)*0.475*44/12</f>
        <v>2.5485299444800007</v>
      </c>
      <c r="DH179" s="21">
        <f>EXP(-LN(2)/2)*DH178+(1-EXP(-LN(2)/2))/(LN(2)/2)*DB179*DE179*VLOOKUP('Données projet'!$B$13,Paramètres!$A$1:$I$89,3,0)*0.475*44/12</f>
        <v>1.6145819486946821E-13</v>
      </c>
      <c r="DI179" s="22">
        <f t="shared" si="175"/>
        <v>7.4762954001285351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-9.9475983006414026E-14</v>
      </c>
      <c r="DP179" s="17">
        <f>DO179*VLOOKUP('Données projet'!$B$14,Paramètres!$A$1:$I$89,3,0)*VLOOKUP('Données projet'!$B$14,Paramètres!$A$1:$I$89,5,0)</f>
        <v>-9.6213170763803652E-14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206.5245935130306</v>
      </c>
      <c r="DU179" s="59">
        <f t="shared" si="152"/>
        <v>130.57011290898546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4.6422939693833625</v>
      </c>
      <c r="EB179" s="21">
        <f>EXP(-LN(2)/25)*EB178+(1-EXP(-LN(2)/25))/(LN(2)/25)*Calculateur!DW179*Calculateur!DY179*VLOOKUP('Données projet'!$B$14,Paramètres!$A$1:$I$89,3,0)*0.475*44/12</f>
        <v>3.8938059155370723</v>
      </c>
      <c r="EC179" s="21">
        <f>EXP(-LN(2)/2)*EC178+(1-EXP(-LN(2)/2))/(LN(2)/2)*DW179*DZ179*VLOOKUP('Données projet'!$B$14,Paramètres!$A$1:$I$89,3,0)*0.475*44/12</f>
        <v>1.0522822628474146E-7</v>
      </c>
      <c r="ED179" s="22">
        <f t="shared" si="178"/>
        <v>8.5360999901486618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1.7053025658242404E-13</v>
      </c>
      <c r="EK179" s="17">
        <f>EJ179*VLOOKUP('Données projet'!$B$15,Paramètres!$A$1:$I$89,3,0)*VLOOKUP('Données projet'!$B$15,Paramètres!$A$1:$I$89,5,0)</f>
        <v>7.9808160080574461E-14</v>
      </c>
      <c r="EL179" s="13">
        <f t="shared" si="179"/>
        <v>1.2308384591775343E-12</v>
      </c>
      <c r="EM179" s="20">
        <f t="shared" si="180"/>
        <v>2.282709528541206E-12</v>
      </c>
      <c r="EN179" s="59">
        <f t="shared" si="128"/>
        <v>289.12040147383988</v>
      </c>
      <c r="EO179" s="59">
        <f ca="1">AVERAGE(OFFSET($EN$3,0,0,'Données projet'!$E$15+1,1))-AVERAGE(OFFSET($H$3,0,0,'Données projet'!$E$15+1,1))</f>
        <v>374.38106339726073</v>
      </c>
      <c r="EP179" s="59">
        <f t="shared" si="154"/>
        <v>296.53283288925957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59.659596791034858</v>
      </c>
      <c r="EW179" s="21">
        <f>EXP(-LN(2)/25)*EW178+(1-EXP(-LN(2)/25))/(LN(2)/25)*Calculateur!ER179*Calculateur!ET179*VLOOKUP('Données projet'!$B$15,Paramètres!$A$1:$I$89,3,0)*0.475*44/12</f>
        <v>12.897900457122303</v>
      </c>
      <c r="EX179" s="21">
        <f>EXP(-LN(2)/2)*EX178+(1-EXP(-LN(2)/2))/(LN(2)/2)*ER179*EU179*VLOOKUP('Données projet'!$B$15,Paramètres!$A$1:$I$89,3,0)*0.475*44/12</f>
        <v>5.4636904674580103E-6</v>
      </c>
      <c r="EY179" s="22">
        <f t="shared" si="181"/>
        <v>72.557502711847633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9">
        <f t="shared" si="109"/>
        <v>1044.8489865007516</v>
      </c>
      <c r="S180" s="59">
        <f ca="1">AVERAGE(OFFSET($R$3,0,0,'Données projet'!$E$9+1,1))-AVERAGE(OFFSET($H$3,0,0,'Données projet'!$E$9+1,1))</f>
        <v>681.47578137804555</v>
      </c>
      <c r="T180" s="59">
        <f t="shared" si="142"/>
        <v>300.88511065995885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1.0818439477588981E-13</v>
      </c>
      <c r="AK180" s="13">
        <f t="shared" si="164"/>
        <v>1.6104228458716316E-12</v>
      </c>
      <c r="AL180" s="20">
        <f t="shared" si="165"/>
        <v>2.9932409441277661E-12</v>
      </c>
      <c r="AM180" s="59">
        <f t="shared" si="113"/>
        <v>289.19348642289827</v>
      </c>
      <c r="AN180" s="59">
        <f ca="1">AVERAGE(OFFSET($AM$3,0,0,'Données projet'!$E$10+1,1))-AVERAGE(OFFSET($H$3,0,0,'Données projet'!$E$10+1,1))</f>
        <v>423.80243030843661</v>
      </c>
      <c r="AO180" s="59">
        <f t="shared" si="144"/>
        <v>260.29028006191834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14.874220858316548</v>
      </c>
      <c r="AV180" s="21">
        <f>EXP(-LN(2)/25)*AV179+(1-EXP(-LN(2)/25))/(LN(2)/25)*Calculateur!AQ180*Calculateur!AS180*VLOOKUP('Données projet'!$B$10,Paramètres!$A$1:$I$89,3,0)*0.475*44/12</f>
        <v>9.5174279684287466</v>
      </c>
      <c r="AW180" s="21">
        <f>EXP(-LN(2)/2)*AW179+(1-EXP(-LN(2)/2))/(LN(2)/2)*AQ180*AT180*VLOOKUP('Données projet'!$B$10,Paramètres!$A$1:$I$89,3,0)*0.475*44/12</f>
        <v>1.7082763484462022E-7</v>
      </c>
      <c r="AX180" s="21">
        <f t="shared" si="166"/>
        <v>24.391648997572933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-1.3596945791505279E-13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373.61861223558259</v>
      </c>
      <c r="BJ180" s="59">
        <f t="shared" si="146"/>
        <v>277.62293009761049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22.447442028009036</v>
      </c>
      <c r="BQ180" s="21">
        <f>EXP(-LN(2)/25)*BQ179+(1-EXP(-LN(2)/25))/(LN(2)/25)*Calculateur!BL180*Calculateur!BN180*VLOOKUP('Données projet'!$B$11,Paramètres!$A$1:$I$89,3,0)*0.475*44/12</f>
        <v>3.5145258648575477</v>
      </c>
      <c r="BR180" s="21">
        <f>EXP(-LN(2)/2)*BR179+(1-EXP(-LN(2)/2))/(LN(2)/2)*BL180*BO180*VLOOKUP('Données projet'!$B$11,Paramètres!$A$1:$I$89,3,0)*0.475*44/12</f>
        <v>1.776506681049793E-13</v>
      </c>
      <c r="BS180" s="22">
        <f t="shared" si="169"/>
        <v>25.96196789286676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8.5265128291212022E-14</v>
      </c>
      <c r="BZ180" s="13">
        <f>BY180*VLOOKUP('Données projet'!$B$12,Paramètres!$A$1:$I$89,3,0)*VLOOKUP('Données projet'!$B$12,Paramètres!$A$1:$I$89,5,0)</f>
        <v>7.4487616075202836E-14</v>
      </c>
      <c r="CA180" s="13">
        <f t="shared" si="170"/>
        <v>1.1580453144473142E-12</v>
      </c>
      <c r="CB180" s="20">
        <f t="shared" si="171"/>
        <v>2.1466615206600508E-12</v>
      </c>
      <c r="CC180" s="59">
        <f t="shared" si="119"/>
        <v>289.19348642289742</v>
      </c>
      <c r="CD180" s="59">
        <f ca="1">AVERAGE(OFFSET($CC$3,0,0,'Données projet'!$E$12+1,1))-AVERAGE(OFFSET($H$3,0,0,'Données projet'!$E$12+1,1))</f>
        <v>251.30277097589737</v>
      </c>
      <c r="CE180" s="59">
        <f t="shared" si="148"/>
        <v>224.11983819941796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3.2377974584149514</v>
      </c>
      <c r="CL180" s="21">
        <f>EXP(-LN(2)/25)*CL179+(1-EXP(-LN(2)/25))/(LN(2)/25)*Calculateur!CG180*Calculateur!CI180*VLOOKUP('Données projet'!$B$12,Paramètres!$A$1:$I$89,3,0)*0.475*44/12</f>
        <v>4.4920388109584977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7.7298362693734486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2.8421709430404007E-14</v>
      </c>
      <c r="CU180" s="17">
        <f>CT180*VLOOKUP('Données projet'!$B$13,Paramètres!$A$1:$I$89,3,0)*VLOOKUP('Données projet'!$B$13,Paramètres!$A$1:$I$89,5,0)</f>
        <v>2.4829205358400945E-14</v>
      </c>
      <c r="CV180" s="13">
        <f t="shared" si="173"/>
        <v>4.3867331143352915E-13</v>
      </c>
      <c r="CW180" s="20">
        <f t="shared" si="174"/>
        <v>8.0726688341261168E-13</v>
      </c>
      <c r="CX180" s="59">
        <f t="shared" si="122"/>
        <v>289.19348642289606</v>
      </c>
      <c r="CY180" s="59">
        <f ca="1">AVERAGE(OFFSET($CX$3,0,0,'Données projet'!$E$13+1,1))-AVERAGE(OFFSET($H$3,0,0,'Données projet'!$E$13+1,1))</f>
        <v>287.28439432670405</v>
      </c>
      <c r="CZ180" s="59">
        <f t="shared" si="150"/>
        <v>276.01618888357268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4.8311349807032542</v>
      </c>
      <c r="DG180" s="21">
        <f>EXP(-LN(2)/25)*DG179+(1-EXP(-LN(2)/25))/(LN(2)/25)*Calculateur!DB180*Calculateur!DD180*VLOOKUP('Données projet'!$B$13,Paramètres!$A$1:$I$89,3,0)*0.475*44/12</f>
        <v>2.4788402591268301</v>
      </c>
      <c r="DH180" s="21">
        <f>EXP(-LN(2)/2)*DH179+(1-EXP(-LN(2)/2))/(LN(2)/2)*DB180*DE180*VLOOKUP('Données projet'!$B$13,Paramètres!$A$1:$I$89,3,0)*0.475*44/12</f>
        <v>1.1416818447034001E-13</v>
      </c>
      <c r="DI180" s="22">
        <f t="shared" si="175"/>
        <v>7.3099752398301989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-9.9475983006414026E-14</v>
      </c>
      <c r="DP180" s="17">
        <f>DO180*VLOOKUP('Données projet'!$B$14,Paramètres!$A$1:$I$89,3,0)*VLOOKUP('Données projet'!$B$14,Paramètres!$A$1:$I$89,5,0)</f>
        <v>-9.6213170763803652E-14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206.5245935130306</v>
      </c>
      <c r="DU180" s="59">
        <f t="shared" si="152"/>
        <v>130.57011290898546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4.551261416163487</v>
      </c>
      <c r="EB180" s="21">
        <f>EXP(-LN(2)/25)*EB179+(1-EXP(-LN(2)/25))/(LN(2)/25)*Calculateur!DW180*Calculateur!DY180*VLOOKUP('Données projet'!$B$14,Paramètres!$A$1:$I$89,3,0)*0.475*44/12</f>
        <v>3.7873295880103575</v>
      </c>
      <c r="EC180" s="21">
        <f>EXP(-LN(2)/2)*EC179+(1-EXP(-LN(2)/2))/(LN(2)/2)*DW180*DZ180*VLOOKUP('Données projet'!$B$14,Paramètres!$A$1:$I$89,3,0)*0.475*44/12</f>
        <v>7.4407592378173188E-8</v>
      </c>
      <c r="ED180" s="22">
        <f t="shared" si="178"/>
        <v>8.3385910785814374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1.7053025658242404E-13</v>
      </c>
      <c r="EK180" s="17">
        <f>EJ180*VLOOKUP('Données projet'!$B$15,Paramètres!$A$1:$I$89,3,0)*VLOOKUP('Données projet'!$B$15,Paramètres!$A$1:$I$89,5,0)</f>
        <v>7.9808160080574461E-14</v>
      </c>
      <c r="EL180" s="13">
        <f t="shared" si="179"/>
        <v>1.2308384591775343E-12</v>
      </c>
      <c r="EM180" s="20">
        <f t="shared" si="180"/>
        <v>2.282709528541206E-12</v>
      </c>
      <c r="EN180" s="59">
        <f t="shared" si="128"/>
        <v>289.19348642289754</v>
      </c>
      <c r="EO180" s="59">
        <f ca="1">AVERAGE(OFFSET($EN$3,0,0,'Données projet'!$E$15+1,1))-AVERAGE(OFFSET($H$3,0,0,'Données projet'!$E$15+1,1))</f>
        <v>374.38106339726073</v>
      </c>
      <c r="EP180" s="59">
        <f t="shared" si="154"/>
        <v>296.53283288925957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58.489708486723615</v>
      </c>
      <c r="EW180" s="21">
        <f>EXP(-LN(2)/25)*EW179+(1-EXP(-LN(2)/25))/(LN(2)/25)*Calculateur!ER180*Calculateur!ET180*VLOOKUP('Données projet'!$B$15,Paramètres!$A$1:$I$89,3,0)*0.475*44/12</f>
        <v>12.545206690851186</v>
      </c>
      <c r="EX180" s="21">
        <f>EXP(-LN(2)/2)*EX179+(1-EXP(-LN(2)/2))/(LN(2)/2)*ER180*EU180*VLOOKUP('Données projet'!$B$15,Paramètres!$A$1:$I$89,3,0)*0.475*44/12</f>
        <v>3.8634125798438567E-6</v>
      </c>
      <c r="EY180" s="22">
        <f t="shared" si="181"/>
        <v>71.034919040987376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9">
        <f t="shared" si="109"/>
        <v>806.7265209073995</v>
      </c>
      <c r="S181" s="59">
        <f ca="1">AVERAGE(OFFSET($R$3,0,0,'Données projet'!$E$9+1,1))-AVERAGE(OFFSET($H$3,0,0,'Données projet'!$E$9+1,1))</f>
        <v>681.47578137804555</v>
      </c>
      <c r="T181" s="59">
        <f t="shared" si="142"/>
        <v>300.88511065995885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1.0818439477588981E-13</v>
      </c>
      <c r="AK181" s="13">
        <f t="shared" si="164"/>
        <v>1.6104228458716316E-12</v>
      </c>
      <c r="AL181" s="20">
        <f t="shared" si="165"/>
        <v>2.9932409441277661E-12</v>
      </c>
      <c r="AM181" s="59">
        <f t="shared" si="113"/>
        <v>289.26530351148318</v>
      </c>
      <c r="AN181" s="59">
        <f ca="1">AVERAGE(OFFSET($AM$3,0,0,'Données projet'!$E$10+1,1))-AVERAGE(OFFSET($H$3,0,0,'Données projet'!$E$10+1,1))</f>
        <v>423.80243030843661</v>
      </c>
      <c r="AO181" s="59">
        <f t="shared" si="144"/>
        <v>260.29028006191834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14.582546459663861</v>
      </c>
      <c r="AV181" s="21">
        <f>EXP(-LN(2)/25)*AV180+(1-EXP(-LN(2)/25))/(LN(2)/25)*Calculateur!AQ181*Calculateur!AS181*VLOOKUP('Données projet'!$B$10,Paramètres!$A$1:$I$89,3,0)*0.475*44/12</f>
        <v>9.2571734001322774</v>
      </c>
      <c r="AW181" s="21">
        <f>EXP(-LN(2)/2)*AW180+(1-EXP(-LN(2)/2))/(LN(2)/2)*AQ181*AT181*VLOOKUP('Données projet'!$B$10,Paramètres!$A$1:$I$89,3,0)*0.475*44/12</f>
        <v>1.2079337901269031E-7</v>
      </c>
      <c r="AX181" s="21">
        <f t="shared" si="166"/>
        <v>23.839719980589521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-1.3596945791505279E-13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373.61861223558259</v>
      </c>
      <c r="BJ181" s="59">
        <f t="shared" si="146"/>
        <v>277.62293009761049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22.007261381427483</v>
      </c>
      <c r="BQ181" s="21">
        <f>EXP(-LN(2)/25)*BQ180+(1-EXP(-LN(2)/25))/(LN(2)/25)*Calculateur!BL181*Calculateur!BN181*VLOOKUP('Données projet'!$B$11,Paramètres!$A$1:$I$89,3,0)*0.475*44/12</f>
        <v>3.4184209702621353</v>
      </c>
      <c r="BR181" s="21">
        <f>EXP(-LN(2)/2)*BR180+(1-EXP(-LN(2)/2))/(LN(2)/2)*BL181*BO181*VLOOKUP('Données projet'!$B$11,Paramètres!$A$1:$I$89,3,0)*0.475*44/12</f>
        <v>1.2561799209935157E-13</v>
      </c>
      <c r="BS181" s="22">
        <f t="shared" si="169"/>
        <v>25.425682351689744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8.5265128291212022E-14</v>
      </c>
      <c r="BZ181" s="13">
        <f>BY181*VLOOKUP('Données projet'!$B$12,Paramètres!$A$1:$I$89,3,0)*VLOOKUP('Données projet'!$B$12,Paramètres!$A$1:$I$89,5,0)</f>
        <v>7.4487616075202836E-14</v>
      </c>
      <c r="CA181" s="13">
        <f t="shared" si="170"/>
        <v>1.1580453144473142E-12</v>
      </c>
      <c r="CB181" s="20">
        <f t="shared" si="171"/>
        <v>2.1466615206600508E-12</v>
      </c>
      <c r="CC181" s="59">
        <f t="shared" si="119"/>
        <v>289.26530351148233</v>
      </c>
      <c r="CD181" s="59">
        <f ca="1">AVERAGE(OFFSET($CC$3,0,0,'Données projet'!$E$12+1,1))-AVERAGE(OFFSET($H$3,0,0,'Données projet'!$E$12+1,1))</f>
        <v>251.30277097589737</v>
      </c>
      <c r="CE181" s="59">
        <f t="shared" si="148"/>
        <v>224.11983819941796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3.1743062251168825</v>
      </c>
      <c r="CL181" s="21">
        <f>EXP(-LN(2)/25)*CL180+(1-EXP(-LN(2)/25))/(LN(2)/25)*Calculateur!CG181*Calculateur!CI181*VLOOKUP('Données projet'!$B$12,Paramètres!$A$1:$I$89,3,0)*0.475*44/12</f>
        <v>4.3692037734467828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7.5435099985636658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2.8421709430404007E-14</v>
      </c>
      <c r="CU181" s="17">
        <f>CT181*VLOOKUP('Données projet'!$B$13,Paramètres!$A$1:$I$89,3,0)*VLOOKUP('Données projet'!$B$13,Paramètres!$A$1:$I$89,5,0)</f>
        <v>2.4829205358400945E-14</v>
      </c>
      <c r="CV181" s="13">
        <f t="shared" si="173"/>
        <v>4.3867331143352915E-13</v>
      </c>
      <c r="CW181" s="20">
        <f t="shared" si="174"/>
        <v>8.0726688341261168E-13</v>
      </c>
      <c r="CX181" s="59">
        <f t="shared" si="122"/>
        <v>289.26530351148097</v>
      </c>
      <c r="CY181" s="59">
        <f ca="1">AVERAGE(OFFSET($CX$3,0,0,'Données projet'!$E$13+1,1))-AVERAGE(OFFSET($H$3,0,0,'Données projet'!$E$13+1,1))</f>
        <v>287.28439432670405</v>
      </c>
      <c r="CZ181" s="59">
        <f t="shared" si="150"/>
        <v>276.01618888357268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4.7363993704330394</v>
      </c>
      <c r="DG181" s="21">
        <f>EXP(-LN(2)/25)*DG180+(1-EXP(-LN(2)/25))/(LN(2)/25)*Calculateur!DB181*Calculateur!DD181*VLOOKUP('Données projet'!$B$13,Paramètres!$A$1:$I$89,3,0)*0.475*44/12</f>
        <v>2.4110562418844634</v>
      </c>
      <c r="DH181" s="21">
        <f>EXP(-LN(2)/2)*DH180+(1-EXP(-LN(2)/2))/(LN(2)/2)*DB181*DE181*VLOOKUP('Données projet'!$B$13,Paramètres!$A$1:$I$89,3,0)*0.475*44/12</f>
        <v>8.0729097434734106E-14</v>
      </c>
      <c r="DI181" s="22">
        <f t="shared" si="175"/>
        <v>7.1474556123175832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-9.9475983006414026E-14</v>
      </c>
      <c r="DP181" s="17">
        <f>DO181*VLOOKUP('Données projet'!$B$14,Paramètres!$A$1:$I$89,3,0)*VLOOKUP('Données projet'!$B$14,Paramètres!$A$1:$I$89,5,0)</f>
        <v>-9.6213170763803652E-14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206.5245935130306</v>
      </c>
      <c r="DU181" s="59">
        <f t="shared" si="152"/>
        <v>130.57011290898546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4.462013955787878</v>
      </c>
      <c r="EB181" s="21">
        <f>EXP(-LN(2)/25)*EB180+(1-EXP(-LN(2)/25))/(LN(2)/25)*Calculateur!DW181*Calculateur!DY181*VLOOKUP('Données projet'!$B$14,Paramètres!$A$1:$I$89,3,0)*0.475*44/12</f>
        <v>3.6837648612592071</v>
      </c>
      <c r="EC181" s="21">
        <f>EXP(-LN(2)/2)*EC180+(1-EXP(-LN(2)/2))/(LN(2)/2)*DW181*DZ181*VLOOKUP('Données projet'!$B$14,Paramètres!$A$1:$I$89,3,0)*0.475*44/12</f>
        <v>5.2614113142370731E-8</v>
      </c>
      <c r="ED181" s="22">
        <f t="shared" si="178"/>
        <v>8.1457788696611981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1.7053025658242404E-13</v>
      </c>
      <c r="EK181" s="17">
        <f>EJ181*VLOOKUP('Données projet'!$B$15,Paramètres!$A$1:$I$89,3,0)*VLOOKUP('Données projet'!$B$15,Paramètres!$A$1:$I$89,5,0)</f>
        <v>7.9808160080574461E-14</v>
      </c>
      <c r="EL181" s="13">
        <f t="shared" si="179"/>
        <v>1.2308384591775343E-12</v>
      </c>
      <c r="EM181" s="20">
        <f t="shared" si="180"/>
        <v>2.282709528541206E-12</v>
      </c>
      <c r="EN181" s="59">
        <f t="shared" si="128"/>
        <v>289.26530351148244</v>
      </c>
      <c r="EO181" s="59">
        <f ca="1">AVERAGE(OFFSET($EN$3,0,0,'Données projet'!$E$15+1,1))-AVERAGE(OFFSET($H$3,0,0,'Données projet'!$E$15+1,1))</f>
        <v>374.38106339726073</v>
      </c>
      <c r="EP181" s="59">
        <f t="shared" si="154"/>
        <v>296.53283288925957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57.342760978498511</v>
      </c>
      <c r="EW181" s="21">
        <f>EXP(-LN(2)/25)*EW180+(1-EXP(-LN(2)/25))/(LN(2)/25)*Calculateur!ER181*Calculateur!ET181*VLOOKUP('Données projet'!$B$15,Paramètres!$A$1:$I$89,3,0)*0.475*44/12</f>
        <v>12.202157354166113</v>
      </c>
      <c r="EX181" s="21">
        <f>EXP(-LN(2)/2)*EX180+(1-EXP(-LN(2)/2))/(LN(2)/2)*ER181*EU181*VLOOKUP('Données projet'!$B$15,Paramètres!$A$1:$I$89,3,0)*0.475*44/12</f>
        <v>2.7318452337290052E-6</v>
      </c>
      <c r="EY181" s="22">
        <f t="shared" si="181"/>
        <v>69.54492106450985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9">
        <f t="shared" si="109"/>
        <v>813.99679679762676</v>
      </c>
      <c r="S182" s="59">
        <f ca="1">AVERAGE(OFFSET($R$3,0,0,'Données projet'!$E$9+1,1))-AVERAGE(OFFSET($H$3,0,0,'Données projet'!$E$9+1,1))</f>
        <v>681.47578137804555</v>
      </c>
      <c r="T182" s="59">
        <f t="shared" si="142"/>
        <v>300.88511065995885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1.0818439477588981E-13</v>
      </c>
      <c r="AK182" s="13">
        <f t="shared" si="164"/>
        <v>1.6104228458716316E-12</v>
      </c>
      <c r="AL182" s="20">
        <f t="shared" si="165"/>
        <v>2.9932409441277661E-12</v>
      </c>
      <c r="AM182" s="59">
        <f t="shared" si="113"/>
        <v>289.33587473414013</v>
      </c>
      <c r="AN182" s="59">
        <f ca="1">AVERAGE(OFFSET($AM$3,0,0,'Données projet'!$E$10+1,1))-AVERAGE(OFFSET($H$3,0,0,'Données projet'!$E$10+1,1))</f>
        <v>423.80243030843661</v>
      </c>
      <c r="AO182" s="59">
        <f t="shared" si="144"/>
        <v>260.29028006191834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14.296591618064937</v>
      </c>
      <c r="AV182" s="21">
        <f>EXP(-LN(2)/25)*AV181+(1-EXP(-LN(2)/25))/(LN(2)/25)*Calculateur!AQ182*Calculateur!AS182*VLOOKUP('Données projet'!$B$10,Paramètres!$A$1:$I$89,3,0)*0.475*44/12</f>
        <v>9.0040355066920679</v>
      </c>
      <c r="AW182" s="21">
        <f>EXP(-LN(2)/2)*AW181+(1-EXP(-LN(2)/2))/(LN(2)/2)*AQ182*AT182*VLOOKUP('Données projet'!$B$10,Paramètres!$A$1:$I$89,3,0)*0.475*44/12</f>
        <v>8.5413817422310111E-8</v>
      </c>
      <c r="AX182" s="21">
        <f t="shared" si="166"/>
        <v>23.300627210170823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-1.3596945791505279E-13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373.61861223558259</v>
      </c>
      <c r="BJ182" s="59">
        <f t="shared" si="146"/>
        <v>277.62293009761049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21.57571240884171</v>
      </c>
      <c r="BQ182" s="21">
        <f>EXP(-LN(2)/25)*BQ181+(1-EXP(-LN(2)/25))/(LN(2)/25)*Calculateur!BL182*Calculateur!BN182*VLOOKUP('Données projet'!$B$11,Paramètres!$A$1:$I$89,3,0)*0.475*44/12</f>
        <v>3.3249440690633714</v>
      </c>
      <c r="BR182" s="21">
        <f>EXP(-LN(2)/2)*BR181+(1-EXP(-LN(2)/2))/(LN(2)/2)*BL182*BO182*VLOOKUP('Données projet'!$B$11,Paramètres!$A$1:$I$89,3,0)*0.475*44/12</f>
        <v>8.8825334052489649E-14</v>
      </c>
      <c r="BS182" s="22">
        <f t="shared" si="169"/>
        <v>24.900656477905169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8.5265128291212022E-14</v>
      </c>
      <c r="BZ182" s="13">
        <f>BY182*VLOOKUP('Données projet'!$B$12,Paramètres!$A$1:$I$89,3,0)*VLOOKUP('Données projet'!$B$12,Paramètres!$A$1:$I$89,5,0)</f>
        <v>7.4487616075202836E-14</v>
      </c>
      <c r="CA182" s="13">
        <f t="shared" si="170"/>
        <v>1.1580453144473142E-12</v>
      </c>
      <c r="CB182" s="20">
        <f t="shared" si="171"/>
        <v>2.1466615206600508E-12</v>
      </c>
      <c r="CC182" s="59">
        <f t="shared" si="119"/>
        <v>289.33587473413928</v>
      </c>
      <c r="CD182" s="59">
        <f ca="1">AVERAGE(OFFSET($CC$3,0,0,'Données projet'!$E$12+1,1))-AVERAGE(OFFSET($H$3,0,0,'Données projet'!$E$12+1,1))</f>
        <v>251.30277097589737</v>
      </c>
      <c r="CE182" s="59">
        <f t="shared" si="148"/>
        <v>224.11983819941796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3.1120600161779604</v>
      </c>
      <c r="CL182" s="21">
        <f>EXP(-LN(2)/25)*CL181+(1-EXP(-LN(2)/25))/(LN(2)/25)*Calculateur!CG182*Calculateur!CI182*VLOOKUP('Données projet'!$B$12,Paramètres!$A$1:$I$89,3,0)*0.475*44/12</f>
        <v>4.2497276664954402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7.3617876826734001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2.8421709430404007E-14</v>
      </c>
      <c r="CU182" s="17">
        <f>CT182*VLOOKUP('Données projet'!$B$13,Paramètres!$A$1:$I$89,3,0)*VLOOKUP('Données projet'!$B$13,Paramètres!$A$1:$I$89,5,0)</f>
        <v>2.4829205358400945E-14</v>
      </c>
      <c r="CV182" s="13">
        <f t="shared" si="173"/>
        <v>4.3867331143352915E-13</v>
      </c>
      <c r="CW182" s="20">
        <f t="shared" si="174"/>
        <v>8.0726688341261168E-13</v>
      </c>
      <c r="CX182" s="59">
        <f t="shared" si="122"/>
        <v>289.33587473413792</v>
      </c>
      <c r="CY182" s="59">
        <f ca="1">AVERAGE(OFFSET($CX$3,0,0,'Données projet'!$E$13+1,1))-AVERAGE(OFFSET($H$3,0,0,'Données projet'!$E$13+1,1))</f>
        <v>287.28439432670405</v>
      </c>
      <c r="CZ182" s="59">
        <f t="shared" si="150"/>
        <v>276.01618888357268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4.6435214676972061</v>
      </c>
      <c r="DG182" s="21">
        <f>EXP(-LN(2)/25)*DG181+(1-EXP(-LN(2)/25))/(LN(2)/25)*Calculateur!DB182*Calculateur!DD182*VLOOKUP('Données projet'!$B$13,Paramètres!$A$1:$I$89,3,0)*0.475*44/12</f>
        <v>2.3451257821581954</v>
      </c>
      <c r="DH182" s="21">
        <f>EXP(-LN(2)/2)*DH181+(1-EXP(-LN(2)/2))/(LN(2)/2)*DB182*DE182*VLOOKUP('Données projet'!$B$13,Paramètres!$A$1:$I$89,3,0)*0.475*44/12</f>
        <v>5.7084092235170003E-14</v>
      </c>
      <c r="DI182" s="22">
        <f t="shared" si="175"/>
        <v>6.9886472498554584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-9.9475983006414026E-14</v>
      </c>
      <c r="DP182" s="17">
        <f>DO182*VLOOKUP('Données projet'!$B$14,Paramètres!$A$1:$I$89,3,0)*VLOOKUP('Données projet'!$B$14,Paramètres!$A$1:$I$89,5,0)</f>
        <v>-9.6213170763803652E-14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206.5245935130306</v>
      </c>
      <c r="DU182" s="59">
        <f t="shared" si="152"/>
        <v>130.57011290898546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4.3745165836746587</v>
      </c>
      <c r="EB182" s="21">
        <f>EXP(-LN(2)/25)*EB181+(1-EXP(-LN(2)/25))/(LN(2)/25)*Calculateur!DW182*Calculateur!DY182*VLOOKUP('Données projet'!$B$14,Paramètres!$A$1:$I$89,3,0)*0.475*44/12</f>
        <v>3.5830321174072992</v>
      </c>
      <c r="EC182" s="21">
        <f>EXP(-LN(2)/2)*EC181+(1-EXP(-LN(2)/2))/(LN(2)/2)*DW182*DZ182*VLOOKUP('Données projet'!$B$14,Paramètres!$A$1:$I$89,3,0)*0.475*44/12</f>
        <v>3.7203796189086594E-8</v>
      </c>
      <c r="ED182" s="22">
        <f t="shared" si="178"/>
        <v>7.9575487382857544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1.7053025658242404E-13</v>
      </c>
      <c r="EK182" s="17">
        <f>EJ182*VLOOKUP('Données projet'!$B$15,Paramètres!$A$1:$I$89,3,0)*VLOOKUP('Données projet'!$B$15,Paramètres!$A$1:$I$89,5,0)</f>
        <v>7.9808160080574461E-14</v>
      </c>
      <c r="EL182" s="13">
        <f t="shared" si="179"/>
        <v>1.2308384591775343E-12</v>
      </c>
      <c r="EM182" s="20">
        <f t="shared" si="180"/>
        <v>2.282709528541206E-12</v>
      </c>
      <c r="EN182" s="59">
        <f t="shared" si="128"/>
        <v>289.3358747341394</v>
      </c>
      <c r="EO182" s="59">
        <f ca="1">AVERAGE(OFFSET($EN$3,0,0,'Données projet'!$E$15+1,1))-AVERAGE(OFFSET($H$3,0,0,'Données projet'!$E$15+1,1))</f>
        <v>374.38106339726073</v>
      </c>
      <c r="EP182" s="59">
        <f t="shared" si="154"/>
        <v>296.53283288925957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56.218304411340796</v>
      </c>
      <c r="EW182" s="21">
        <f>EXP(-LN(2)/25)*EW181+(1-EXP(-LN(2)/25))/(LN(2)/25)*Calculateur!ER182*Calculateur!ET182*VLOOKUP('Données projet'!$B$15,Paramètres!$A$1:$I$89,3,0)*0.475*44/12</f>
        <v>11.868488719632873</v>
      </c>
      <c r="EX182" s="21">
        <f>EXP(-LN(2)/2)*EX181+(1-EXP(-LN(2)/2))/(LN(2)/2)*ER182*EU182*VLOOKUP('Données projet'!$B$15,Paramètres!$A$1:$I$89,3,0)*0.475*44/12</f>
        <v>1.9317062899219284E-6</v>
      </c>
      <c r="EY182" s="22">
        <f t="shared" si="181"/>
        <v>68.086795062679968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9">
        <f t="shared" si="109"/>
        <v>821.26376720295116</v>
      </c>
      <c r="S183" s="59">
        <f ca="1">AVERAGE(OFFSET($R$3,0,0,'Données projet'!$E$9+1,1))-AVERAGE(OFFSET($H$3,0,0,'Données projet'!$E$9+1,1))</f>
        <v>681.47578137804555</v>
      </c>
      <c r="T183" s="59">
        <f t="shared" si="142"/>
        <v>300.88511065995885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1.0818439477588981E-13</v>
      </c>
      <c r="AK183" s="13">
        <f t="shared" si="164"/>
        <v>1.6104228458716316E-12</v>
      </c>
      <c r="AL183" s="20">
        <f t="shared" si="165"/>
        <v>2.9932409441277661E-12</v>
      </c>
      <c r="AM183" s="59">
        <f t="shared" si="113"/>
        <v>289.40522170385765</v>
      </c>
      <c r="AN183" s="59">
        <f ca="1">AVERAGE(OFFSET($AM$3,0,0,'Données projet'!$E$10+1,1))-AVERAGE(OFFSET($H$3,0,0,'Données projet'!$E$10+1,1))</f>
        <v>423.80243030843661</v>
      </c>
      <c r="AO183" s="59">
        <f t="shared" si="144"/>
        <v>260.29028006191834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14.016244176494537</v>
      </c>
      <c r="AV183" s="21">
        <f>EXP(-LN(2)/25)*AV182+(1-EXP(-LN(2)/25))/(LN(2)/25)*Calculateur!AQ183*Calculateur!AS183*VLOOKUP('Données projet'!$B$10,Paramètres!$A$1:$I$89,3,0)*0.475*44/12</f>
        <v>8.7578196822599246</v>
      </c>
      <c r="AW183" s="21">
        <f>EXP(-LN(2)/2)*AW182+(1-EXP(-LN(2)/2))/(LN(2)/2)*AQ183*AT183*VLOOKUP('Données projet'!$B$10,Paramètres!$A$1:$I$89,3,0)*0.475*44/12</f>
        <v>6.0396689506345157E-8</v>
      </c>
      <c r="AX183" s="21">
        <f t="shared" si="166"/>
        <v>22.77406391915115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-1.3596945791505279E-13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373.61861223558259</v>
      </c>
      <c r="BJ183" s="59">
        <f t="shared" si="146"/>
        <v>277.62293009761049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21.152625848389462</v>
      </c>
      <c r="BQ183" s="21">
        <f>EXP(-LN(2)/25)*BQ182+(1-EXP(-LN(2)/25))/(LN(2)/25)*Calculateur!BL183*Calculateur!BN183*VLOOKUP('Données projet'!$B$11,Paramètres!$A$1:$I$89,3,0)*0.475*44/12</f>
        <v>3.2340232986436241</v>
      </c>
      <c r="BR183" s="21">
        <f>EXP(-LN(2)/2)*BR182+(1-EXP(-LN(2)/2))/(LN(2)/2)*BL183*BO183*VLOOKUP('Données projet'!$B$11,Paramètres!$A$1:$I$89,3,0)*0.475*44/12</f>
        <v>6.2808996049675786E-14</v>
      </c>
      <c r="BS183" s="22">
        <f t="shared" si="169"/>
        <v>24.38664914703315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8.5265128291212022E-14</v>
      </c>
      <c r="BZ183" s="13">
        <f>BY183*VLOOKUP('Données projet'!$B$12,Paramètres!$A$1:$I$89,3,0)*VLOOKUP('Données projet'!$B$12,Paramètres!$A$1:$I$89,5,0)</f>
        <v>7.4487616075202836E-14</v>
      </c>
      <c r="CA183" s="13">
        <f t="shared" si="170"/>
        <v>1.1580453144473142E-12</v>
      </c>
      <c r="CB183" s="20">
        <f t="shared" si="171"/>
        <v>2.1466615206600508E-12</v>
      </c>
      <c r="CC183" s="59">
        <f t="shared" si="119"/>
        <v>289.4052217038568</v>
      </c>
      <c r="CD183" s="59">
        <f ca="1">AVERAGE(OFFSET($CC$3,0,0,'Données projet'!$E$12+1,1))-AVERAGE(OFFSET($H$3,0,0,'Données projet'!$E$12+1,1))</f>
        <v>251.30277097589737</v>
      </c>
      <c r="CE183" s="59">
        <f t="shared" si="148"/>
        <v>224.11983819941796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3.0510344174298916</v>
      </c>
      <c r="CL183" s="21">
        <f>EXP(-LN(2)/25)*CL182+(1-EXP(-LN(2)/25))/(LN(2)/25)*Calculateur!CG183*Calculateur!CI183*VLOOKUP('Données projet'!$B$12,Paramètres!$A$1:$I$89,3,0)*0.475*44/12</f>
        <v>4.1335186399716575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7.1845530574015495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2.8421709430404007E-14</v>
      </c>
      <c r="CU183" s="17">
        <f>CT183*VLOOKUP('Données projet'!$B$13,Paramètres!$A$1:$I$89,3,0)*VLOOKUP('Données projet'!$B$13,Paramètres!$A$1:$I$89,5,0)</f>
        <v>2.4829205358400945E-14</v>
      </c>
      <c r="CV183" s="13">
        <f t="shared" si="173"/>
        <v>4.3867331143352915E-13</v>
      </c>
      <c r="CW183" s="20">
        <f t="shared" si="174"/>
        <v>8.0726688341261168E-13</v>
      </c>
      <c r="CX183" s="59">
        <f t="shared" si="122"/>
        <v>289.40522170385543</v>
      </c>
      <c r="CY183" s="59">
        <f ca="1">AVERAGE(OFFSET($CX$3,0,0,'Données projet'!$E$13+1,1))-AVERAGE(OFFSET($H$3,0,0,'Données projet'!$E$13+1,1))</f>
        <v>287.28439432670405</v>
      </c>
      <c r="CZ183" s="59">
        <f t="shared" si="150"/>
        <v>276.01618888357268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4.5524648439840956</v>
      </c>
      <c r="DG183" s="21">
        <f>EXP(-LN(2)/25)*DG182+(1-EXP(-LN(2)/25))/(LN(2)/25)*Calculateur!DB183*Calculateur!DD183*VLOOKUP('Données projet'!$B$13,Paramètres!$A$1:$I$89,3,0)*0.475*44/12</f>
        <v>2.2809981943202744</v>
      </c>
      <c r="DH183" s="21">
        <f>EXP(-LN(2)/2)*DH182+(1-EXP(-LN(2)/2))/(LN(2)/2)*DB183*DE183*VLOOKUP('Données projet'!$B$13,Paramètres!$A$1:$I$89,3,0)*0.475*44/12</f>
        <v>4.0364548717367053E-14</v>
      </c>
      <c r="DI183" s="22">
        <f t="shared" si="175"/>
        <v>6.8334630383044095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-9.9475983006414026E-14</v>
      </c>
      <c r="DP183" s="17">
        <f>DO183*VLOOKUP('Données projet'!$B$14,Paramètres!$A$1:$I$89,3,0)*VLOOKUP('Données projet'!$B$14,Paramètres!$A$1:$I$89,5,0)</f>
        <v>-9.6213170763803652E-14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206.5245935130306</v>
      </c>
      <c r="DU183" s="59">
        <f t="shared" si="152"/>
        <v>130.57011290898546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4.2887349816604523</v>
      </c>
      <c r="EB183" s="21">
        <f>EXP(-LN(2)/25)*EB182+(1-EXP(-LN(2)/25))/(LN(2)/25)*Calculateur!DW183*Calculateur!DY183*VLOOKUP('Données projet'!$B$14,Paramètres!$A$1:$I$89,3,0)*0.475*44/12</f>
        <v>3.4850539157333267</v>
      </c>
      <c r="EC183" s="21">
        <f>EXP(-LN(2)/2)*EC182+(1-EXP(-LN(2)/2))/(LN(2)/2)*DW183*DZ183*VLOOKUP('Données projet'!$B$14,Paramètres!$A$1:$I$89,3,0)*0.475*44/12</f>
        <v>2.6307056571185365E-8</v>
      </c>
      <c r="ED183" s="22">
        <f t="shared" si="178"/>
        <v>7.7737889237008355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1.7053025658242404E-13</v>
      </c>
      <c r="EK183" s="17">
        <f>EJ183*VLOOKUP('Données projet'!$B$15,Paramètres!$A$1:$I$89,3,0)*VLOOKUP('Données projet'!$B$15,Paramètres!$A$1:$I$89,5,0)</f>
        <v>7.9808160080574461E-14</v>
      </c>
      <c r="EL183" s="13">
        <f t="shared" si="179"/>
        <v>1.2308384591775343E-12</v>
      </c>
      <c r="EM183" s="20">
        <f t="shared" si="180"/>
        <v>2.282709528541206E-12</v>
      </c>
      <c r="EN183" s="59">
        <f t="shared" si="128"/>
        <v>289.40522170385691</v>
      </c>
      <c r="EO183" s="59">
        <f ca="1">AVERAGE(OFFSET($EN$3,0,0,'Données projet'!$E$15+1,1))-AVERAGE(OFFSET($H$3,0,0,'Données projet'!$E$15+1,1))</f>
        <v>374.38106339726073</v>
      </c>
      <c r="EP183" s="59">
        <f t="shared" si="154"/>
        <v>296.53283288925957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55.115897751614263</v>
      </c>
      <c r="EW183" s="21">
        <f>EXP(-LN(2)/25)*EW182+(1-EXP(-LN(2)/25))/(LN(2)/25)*Calculateur!ER183*Calculateur!ET183*VLOOKUP('Données projet'!$B$15,Paramètres!$A$1:$I$89,3,0)*0.475*44/12</f>
        <v>11.543944271457816</v>
      </c>
      <c r="EX183" s="21">
        <f>EXP(-LN(2)/2)*EX182+(1-EXP(-LN(2)/2))/(LN(2)/2)*ER183*EU183*VLOOKUP('Données projet'!$B$15,Paramètres!$A$1:$I$89,3,0)*0.475*44/12</f>
        <v>1.3659226168645026E-6</v>
      </c>
      <c r="EY183" s="22">
        <f t="shared" si="181"/>
        <v>66.659843388994688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9">
        <f t="shared" si="109"/>
        <v>658.66950990201644</v>
      </c>
      <c r="S184" s="59">
        <f ca="1">AVERAGE(OFFSET($R$3,0,0,'Données projet'!$E$9+1,1))-AVERAGE(OFFSET($H$3,0,0,'Données projet'!$E$9+1,1))</f>
        <v>681.47578137804555</v>
      </c>
      <c r="T184" s="59">
        <f t="shared" si="142"/>
        <v>300.88511065995885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1.0818439477588981E-13</v>
      </c>
      <c r="AK184" s="13">
        <f t="shared" si="164"/>
        <v>1.6104228458716316E-12</v>
      </c>
      <c r="AL184" s="20">
        <f t="shared" si="165"/>
        <v>2.9932409441277661E-12</v>
      </c>
      <c r="AM184" s="59">
        <f t="shared" si="113"/>
        <v>289.4733656586871</v>
      </c>
      <c r="AN184" s="59">
        <f ca="1">AVERAGE(OFFSET($AM$3,0,0,'Données projet'!$E$10+1,1))-AVERAGE(OFFSET($H$3,0,0,'Données projet'!$E$10+1,1))</f>
        <v>423.80243030843661</v>
      </c>
      <c r="AO184" s="59">
        <f t="shared" si="144"/>
        <v>260.29028006191834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13.741394177258277</v>
      </c>
      <c r="AV184" s="21">
        <f>EXP(-LN(2)/25)*AV183+(1-EXP(-LN(2)/25))/(LN(2)/25)*Calculateur!AQ184*Calculateur!AS184*VLOOKUP('Données projet'!$B$10,Paramètres!$A$1:$I$89,3,0)*0.475*44/12</f>
        <v>8.5183366424948055</v>
      </c>
      <c r="AW184" s="21">
        <f>EXP(-LN(2)/2)*AW183+(1-EXP(-LN(2)/2))/(LN(2)/2)*AQ184*AT184*VLOOKUP('Données projet'!$B$10,Paramètres!$A$1:$I$89,3,0)*0.475*44/12</f>
        <v>4.2706908711155056E-8</v>
      </c>
      <c r="AX184" s="21">
        <f t="shared" si="166"/>
        <v>22.259730862459989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-1.3596945791505279E-13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373.61861223558259</v>
      </c>
      <c r="BJ184" s="59">
        <f t="shared" si="146"/>
        <v>277.62293009761049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20.737835757330362</v>
      </c>
      <c r="BQ184" s="21">
        <f>EXP(-LN(2)/25)*BQ183+(1-EXP(-LN(2)/25))/(LN(2)/25)*Calculateur!BL184*Calculateur!BN184*VLOOKUP('Données projet'!$B$11,Paramètres!$A$1:$I$89,3,0)*0.475*44/12</f>
        <v>3.1455887614723204</v>
      </c>
      <c r="BR184" s="21">
        <f>EXP(-LN(2)/2)*BR183+(1-EXP(-LN(2)/2))/(LN(2)/2)*BL184*BO184*VLOOKUP('Données projet'!$B$11,Paramètres!$A$1:$I$89,3,0)*0.475*44/12</f>
        <v>4.4412667026244825E-14</v>
      </c>
      <c r="BS184" s="22">
        <f t="shared" si="169"/>
        <v>23.88342451880273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8.5265128291212022E-14</v>
      </c>
      <c r="BZ184" s="13">
        <f>BY184*VLOOKUP('Données projet'!$B$12,Paramètres!$A$1:$I$89,3,0)*VLOOKUP('Données projet'!$B$12,Paramètres!$A$1:$I$89,5,0)</f>
        <v>7.4487616075202836E-14</v>
      </c>
      <c r="CA184" s="13">
        <f t="shared" si="170"/>
        <v>1.1580453144473142E-12</v>
      </c>
      <c r="CB184" s="20">
        <f t="shared" si="171"/>
        <v>2.1466615206600508E-12</v>
      </c>
      <c r="CC184" s="59">
        <f t="shared" si="119"/>
        <v>289.47336565868625</v>
      </c>
      <c r="CD184" s="59">
        <f ca="1">AVERAGE(OFFSET($CC$3,0,0,'Données projet'!$E$12+1,1))-AVERAGE(OFFSET($H$3,0,0,'Données projet'!$E$12+1,1))</f>
        <v>251.30277097589737</v>
      </c>
      <c r="CE184" s="59">
        <f t="shared" si="148"/>
        <v>224.11983819941796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2.9912054934513326</v>
      </c>
      <c r="CL184" s="21">
        <f>EXP(-LN(2)/25)*CL183+(1-EXP(-LN(2)/25))/(LN(2)/25)*Calculateur!CG184*Calculateur!CI184*VLOOKUP('Données projet'!$B$12,Paramètres!$A$1:$I$89,3,0)*0.475*44/12</f>
        <v>4.0204873553893341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7.0116928488406671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2.8421709430404007E-14</v>
      </c>
      <c r="CU184" s="17">
        <f>CT184*VLOOKUP('Données projet'!$B$13,Paramètres!$A$1:$I$89,3,0)*VLOOKUP('Données projet'!$B$13,Paramètres!$A$1:$I$89,5,0)</f>
        <v>2.4829205358400945E-14</v>
      </c>
      <c r="CV184" s="13">
        <f t="shared" si="173"/>
        <v>4.3867331143352915E-13</v>
      </c>
      <c r="CW184" s="20">
        <f t="shared" si="174"/>
        <v>8.0726688341261168E-13</v>
      </c>
      <c r="CX184" s="59">
        <f t="shared" si="122"/>
        <v>289.47336565868488</v>
      </c>
      <c r="CY184" s="59">
        <f ca="1">AVERAGE(OFFSET($CX$3,0,0,'Données projet'!$E$13+1,1))-AVERAGE(OFFSET($H$3,0,0,'Données projet'!$E$13+1,1))</f>
        <v>287.28439432670405</v>
      </c>
      <c r="CZ184" s="59">
        <f t="shared" si="150"/>
        <v>276.01618888357268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4.4631937851229431</v>
      </c>
      <c r="DG184" s="21">
        <f>EXP(-LN(2)/25)*DG183+(1-EXP(-LN(2)/25))/(LN(2)/25)*Calculateur!DB184*Calculateur!DD184*VLOOKUP('Données projet'!$B$13,Paramètres!$A$1:$I$89,3,0)*0.475*44/12</f>
        <v>2.2186241787441046</v>
      </c>
      <c r="DH184" s="21">
        <f>EXP(-LN(2)/2)*DH183+(1-EXP(-LN(2)/2))/(LN(2)/2)*DB184*DE184*VLOOKUP('Données projet'!$B$13,Paramètres!$A$1:$I$89,3,0)*0.475*44/12</f>
        <v>2.8542046117585002E-14</v>
      </c>
      <c r="DI184" s="22">
        <f t="shared" si="175"/>
        <v>6.6818179638670756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-9.9475983006414026E-14</v>
      </c>
      <c r="DP184" s="17">
        <f>DO184*VLOOKUP('Données projet'!$B$14,Paramètres!$A$1:$I$89,3,0)*VLOOKUP('Données projet'!$B$14,Paramètres!$A$1:$I$89,5,0)</f>
        <v>-9.6213170763803652E-14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206.5245935130306</v>
      </c>
      <c r="DU184" s="59">
        <f t="shared" si="152"/>
        <v>130.57011290898546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4.2046355045401338</v>
      </c>
      <c r="EB184" s="21">
        <f>EXP(-LN(2)/25)*EB183+(1-EXP(-LN(2)/25))/(LN(2)/25)*Calculateur!DW184*Calculateur!DY184*VLOOKUP('Données projet'!$B$14,Paramètres!$A$1:$I$89,3,0)*0.475*44/12</f>
        <v>3.3897549331365786</v>
      </c>
      <c r="EC184" s="21">
        <f>EXP(-LN(2)/2)*EC183+(1-EXP(-LN(2)/2))/(LN(2)/2)*DW184*DZ184*VLOOKUP('Données projet'!$B$14,Paramètres!$A$1:$I$89,3,0)*0.475*44/12</f>
        <v>1.8601898094543297E-8</v>
      </c>
      <c r="ED184" s="22">
        <f t="shared" si="178"/>
        <v>7.5943904562786102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1.7053025658242404E-13</v>
      </c>
      <c r="EK184" s="17">
        <f>EJ184*VLOOKUP('Données projet'!$B$15,Paramètres!$A$1:$I$89,3,0)*VLOOKUP('Données projet'!$B$15,Paramètres!$A$1:$I$89,5,0)</f>
        <v>7.9808160080574461E-14</v>
      </c>
      <c r="EL184" s="13">
        <f t="shared" si="179"/>
        <v>1.2308384591775343E-12</v>
      </c>
      <c r="EM184" s="20">
        <f t="shared" si="180"/>
        <v>2.282709528541206E-12</v>
      </c>
      <c r="EN184" s="59">
        <f t="shared" si="128"/>
        <v>289.47336565868636</v>
      </c>
      <c r="EO184" s="59">
        <f ca="1">AVERAGE(OFFSET($EN$3,0,0,'Données projet'!$E$15+1,1))-AVERAGE(OFFSET($H$3,0,0,'Données projet'!$E$15+1,1))</f>
        <v>374.38106339726073</v>
      </c>
      <c r="EP184" s="59">
        <f t="shared" si="154"/>
        <v>296.53283288925957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54.035108614083292</v>
      </c>
      <c r="EW184" s="21">
        <f>EXP(-LN(2)/25)*EW183+(1-EXP(-LN(2)/25))/(LN(2)/25)*Calculateur!ER184*Calculateur!ET184*VLOOKUP('Données projet'!$B$15,Paramètres!$A$1:$I$89,3,0)*0.475*44/12</f>
        <v>11.228274508285157</v>
      </c>
      <c r="EX184" s="21">
        <f>EXP(-LN(2)/2)*EX183+(1-EXP(-LN(2)/2))/(LN(2)/2)*ER184*EU184*VLOOKUP('Données projet'!$B$15,Paramètres!$A$1:$I$89,3,0)*0.475*44/12</f>
        <v>9.6585314496096418E-7</v>
      </c>
      <c r="EY184" s="22">
        <f t="shared" si="181"/>
        <v>65.263384088221599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9">
        <f t="shared" si="109"/>
        <v>663.15978243301083</v>
      </c>
      <c r="S185" s="59">
        <f ca="1">AVERAGE(OFFSET($R$3,0,0,'Données projet'!$E$9+1,1))-AVERAGE(OFFSET($H$3,0,0,'Données projet'!$E$9+1,1))</f>
        <v>681.47578137804555</v>
      </c>
      <c r="T185" s="59">
        <f t="shared" si="142"/>
        <v>300.88511065995885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1.0818439477588981E-13</v>
      </c>
      <c r="AK185" s="13">
        <f t="shared" si="164"/>
        <v>1.6104228458716316E-12</v>
      </c>
      <c r="AL185" s="20">
        <f t="shared" si="165"/>
        <v>2.9932409441277661E-12</v>
      </c>
      <c r="AM185" s="59">
        <f t="shared" si="113"/>
        <v>289.54032746824743</v>
      </c>
      <c r="AN185" s="59">
        <f ca="1">AVERAGE(OFFSET($AM$3,0,0,'Données projet'!$E$10+1,1))-AVERAGE(OFFSET($H$3,0,0,'Données projet'!$E$10+1,1))</f>
        <v>423.80243030843661</v>
      </c>
      <c r="AO185" s="59">
        <f t="shared" si="144"/>
        <v>260.29028006191834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13.471933818865093</v>
      </c>
      <c r="AV185" s="21">
        <f>EXP(-LN(2)/25)*AV184+(1-EXP(-LN(2)/25))/(LN(2)/25)*Calculateur!AQ185*Calculateur!AS185*VLOOKUP('Données projet'!$B$10,Paramètres!$A$1:$I$89,3,0)*0.475*44/12</f>
        <v>8.2854022790459307</v>
      </c>
      <c r="AW185" s="21">
        <f>EXP(-LN(2)/2)*AW184+(1-EXP(-LN(2)/2))/(LN(2)/2)*AQ185*AT185*VLOOKUP('Données projet'!$B$10,Paramètres!$A$1:$I$89,3,0)*0.475*44/12</f>
        <v>3.0198344753172578E-8</v>
      </c>
      <c r="AX185" s="21">
        <f t="shared" si="166"/>
        <v>21.757336128109365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-1.3596945791505279E-13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373.61861223558259</v>
      </c>
      <c r="BJ185" s="59">
        <f t="shared" si="146"/>
        <v>277.62293009761049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20.331179446959958</v>
      </c>
      <c r="BQ185" s="21">
        <f>EXP(-LN(2)/25)*BQ184+(1-EXP(-LN(2)/25))/(LN(2)/25)*Calculateur!BL185*Calculateur!BN185*VLOOKUP('Données projet'!$B$11,Paramètres!$A$1:$I$89,3,0)*0.475*44/12</f>
        <v>3.0595724713705361</v>
      </c>
      <c r="BR185" s="21">
        <f>EXP(-LN(2)/2)*BR184+(1-EXP(-LN(2)/2))/(LN(2)/2)*BL185*BO185*VLOOKUP('Données projet'!$B$11,Paramètres!$A$1:$I$89,3,0)*0.475*44/12</f>
        <v>3.1404498024837893E-14</v>
      </c>
      <c r="BS185" s="22">
        <f t="shared" si="169"/>
        <v>23.390751918330526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8.5265128291212022E-14</v>
      </c>
      <c r="BZ185" s="13">
        <f>BY185*VLOOKUP('Données projet'!$B$12,Paramètres!$A$1:$I$89,3,0)*VLOOKUP('Données projet'!$B$12,Paramètres!$A$1:$I$89,5,0)</f>
        <v>7.4487616075202836E-14</v>
      </c>
      <c r="CA185" s="13">
        <f t="shared" si="170"/>
        <v>1.1580453144473142E-12</v>
      </c>
      <c r="CB185" s="20">
        <f t="shared" si="171"/>
        <v>2.1466615206600508E-12</v>
      </c>
      <c r="CC185" s="59">
        <f t="shared" si="119"/>
        <v>289.54032746824657</v>
      </c>
      <c r="CD185" s="59">
        <f ca="1">AVERAGE(OFFSET($CC$3,0,0,'Données projet'!$E$12+1,1))-AVERAGE(OFFSET($H$3,0,0,'Données projet'!$E$12+1,1))</f>
        <v>251.30277097589737</v>
      </c>
      <c r="CE185" s="59">
        <f t="shared" si="148"/>
        <v>224.11983819941796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2.9325497781799528</v>
      </c>
      <c r="CL185" s="21">
        <f>EXP(-LN(2)/25)*CL184+(1-EXP(-LN(2)/25))/(LN(2)/25)*Calculateur!CG185*Calculateur!CI185*VLOOKUP('Données projet'!$B$12,Paramètres!$A$1:$I$89,3,0)*0.475*44/12</f>
        <v>3.9105469172279719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6.8430966954079242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2.8421709430404007E-14</v>
      </c>
      <c r="CU185" s="17">
        <f>CT185*VLOOKUP('Données projet'!$B$13,Paramètres!$A$1:$I$89,3,0)*VLOOKUP('Données projet'!$B$13,Paramètres!$A$1:$I$89,5,0)</f>
        <v>2.4829205358400945E-14</v>
      </c>
      <c r="CV185" s="13">
        <f t="shared" si="173"/>
        <v>4.3867331143352915E-13</v>
      </c>
      <c r="CW185" s="20">
        <f t="shared" si="174"/>
        <v>8.0726688341261168E-13</v>
      </c>
      <c r="CX185" s="59">
        <f t="shared" si="122"/>
        <v>289.54032746824521</v>
      </c>
      <c r="CY185" s="59">
        <f ca="1">AVERAGE(OFFSET($CX$3,0,0,'Données projet'!$E$13+1,1))-AVERAGE(OFFSET($H$3,0,0,'Données projet'!$E$13+1,1))</f>
        <v>287.28439432670405</v>
      </c>
      <c r="CZ185" s="59">
        <f t="shared" si="150"/>
        <v>276.01618888357268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4.3756732772760882</v>
      </c>
      <c r="DG185" s="21">
        <f>EXP(-LN(2)/25)*DG184+(1-EXP(-LN(2)/25))/(LN(2)/25)*Calculateur!DB185*Calculateur!DD185*VLOOKUP('Données projet'!$B$13,Paramètres!$A$1:$I$89,3,0)*0.475*44/12</f>
        <v>2.1579557839039722</v>
      </c>
      <c r="DH185" s="21">
        <f>EXP(-LN(2)/2)*DH184+(1-EXP(-LN(2)/2))/(LN(2)/2)*DB185*DE185*VLOOKUP('Données projet'!$B$13,Paramètres!$A$1:$I$89,3,0)*0.475*44/12</f>
        <v>2.0182274358683527E-14</v>
      </c>
      <c r="DI185" s="22">
        <f t="shared" si="175"/>
        <v>6.5336290611800809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-9.9475983006414026E-14</v>
      </c>
      <c r="DP185" s="17">
        <f>DO185*VLOOKUP('Données projet'!$B$14,Paramètres!$A$1:$I$89,3,0)*VLOOKUP('Données projet'!$B$14,Paramètres!$A$1:$I$89,5,0)</f>
        <v>-9.6213170763803652E-14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206.5245935130306</v>
      </c>
      <c r="DU185" s="59">
        <f t="shared" si="152"/>
        <v>130.57011290898546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4.1221851668705289</v>
      </c>
      <c r="EB185" s="21">
        <f>EXP(-LN(2)/25)*EB184+(1-EXP(-LN(2)/25))/(LN(2)/25)*Calculateur!DW185*Calculateur!DY185*VLOOKUP('Données projet'!$B$14,Paramètres!$A$1:$I$89,3,0)*0.475*44/12</f>
        <v>3.2970619062304944</v>
      </c>
      <c r="EC185" s="21">
        <f>EXP(-LN(2)/2)*EC184+(1-EXP(-LN(2)/2))/(LN(2)/2)*DW185*DZ185*VLOOKUP('Données projet'!$B$14,Paramètres!$A$1:$I$89,3,0)*0.475*44/12</f>
        <v>1.3153528285592683E-8</v>
      </c>
      <c r="ED185" s="22">
        <f t="shared" si="178"/>
        <v>7.4192470862545514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1.7053025658242404E-13</v>
      </c>
      <c r="EK185" s="17">
        <f>EJ185*VLOOKUP('Données projet'!$B$15,Paramètres!$A$1:$I$89,3,0)*VLOOKUP('Données projet'!$B$15,Paramètres!$A$1:$I$89,5,0)</f>
        <v>7.9808160080574461E-14</v>
      </c>
      <c r="EL185" s="13">
        <f t="shared" si="179"/>
        <v>1.2308384591775343E-12</v>
      </c>
      <c r="EM185" s="20">
        <f t="shared" si="180"/>
        <v>2.282709528541206E-12</v>
      </c>
      <c r="EN185" s="59">
        <f t="shared" si="128"/>
        <v>289.54032746824669</v>
      </c>
      <c r="EO185" s="59">
        <f ca="1">AVERAGE(OFFSET($EN$3,0,0,'Données projet'!$E$15+1,1))-AVERAGE(OFFSET($H$3,0,0,'Données projet'!$E$15+1,1))</f>
        <v>374.38106339726073</v>
      </c>
      <c r="EP185" s="59">
        <f t="shared" si="154"/>
        <v>296.53283288925957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52.975513092323027</v>
      </c>
      <c r="EW185" s="21">
        <f>EXP(-LN(2)/25)*EW184+(1-EXP(-LN(2)/25))/(LN(2)/25)*Calculateur!ER185*Calculateur!ET185*VLOOKUP('Données projet'!$B$15,Paramètres!$A$1:$I$89,3,0)*0.475*44/12</f>
        <v>10.921236751386806</v>
      </c>
      <c r="EX185" s="21">
        <f>EXP(-LN(2)/2)*EX184+(1-EXP(-LN(2)/2))/(LN(2)/2)*ER185*EU185*VLOOKUP('Données projet'!$B$15,Paramètres!$A$1:$I$89,3,0)*0.475*44/12</f>
        <v>6.8296130843225129E-7</v>
      </c>
      <c r="EY185" s="22">
        <f t="shared" si="181"/>
        <v>63.896750526671141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9">
        <f t="shared" si="109"/>
        <v>667.6477520583062</v>
      </c>
      <c r="S186" s="59">
        <f ca="1">AVERAGE(OFFSET($R$3,0,0,'Données projet'!$E$9+1,1))-AVERAGE(OFFSET($H$3,0,0,'Données projet'!$E$9+1,1))</f>
        <v>681.47578137804555</v>
      </c>
      <c r="T186" s="59">
        <f t="shared" si="142"/>
        <v>300.88511065995885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1.0818439477588981E-13</v>
      </c>
      <c r="AK186" s="13">
        <f t="shared" si="164"/>
        <v>1.6104228458716316E-12</v>
      </c>
      <c r="AL186" s="20">
        <f t="shared" si="165"/>
        <v>2.9932409441277661E-12</v>
      </c>
      <c r="AM186" s="59">
        <f t="shared" si="113"/>
        <v>289.60612764011597</v>
      </c>
      <c r="AN186" s="59">
        <f ca="1">AVERAGE(OFFSET($AM$3,0,0,'Données projet'!$E$10+1,1))-AVERAGE(OFFSET($H$3,0,0,'Données projet'!$E$10+1,1))</f>
        <v>423.80243030843661</v>
      </c>
      <c r="AO186" s="59">
        <f t="shared" si="144"/>
        <v>260.29028006191834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13.20775741374541</v>
      </c>
      <c r="AV186" s="21">
        <f>EXP(-LN(2)/25)*AV185+(1-EXP(-LN(2)/25))/(LN(2)/25)*Calculateur!AQ186*Calculateur!AS186*VLOOKUP('Données projet'!$B$10,Paramètres!$A$1:$I$89,3,0)*0.475*44/12</f>
        <v>8.05883751801505</v>
      </c>
      <c r="AW186" s="21">
        <f>EXP(-LN(2)/2)*AW185+(1-EXP(-LN(2)/2))/(LN(2)/2)*AQ186*AT186*VLOOKUP('Données projet'!$B$10,Paramètres!$A$1:$I$89,3,0)*0.475*44/12</f>
        <v>2.1353454355577528E-8</v>
      </c>
      <c r="AX186" s="21">
        <f t="shared" si="166"/>
        <v>21.266594953113913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-1.3596945791505279E-13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373.61861223558259</v>
      </c>
      <c r="BJ186" s="59">
        <f t="shared" si="146"/>
        <v>277.62293009761049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19.932497418800057</v>
      </c>
      <c r="BQ186" s="21">
        <f>EXP(-LN(2)/25)*BQ185+(1-EXP(-LN(2)/25))/(LN(2)/25)*Calculateur!BL186*Calculateur!BN186*VLOOKUP('Données projet'!$B$11,Paramètres!$A$1:$I$89,3,0)*0.475*44/12</f>
        <v>2.9759083012449854</v>
      </c>
      <c r="BR186" s="21">
        <f>EXP(-LN(2)/2)*BR185+(1-EXP(-LN(2)/2))/(LN(2)/2)*BL186*BO186*VLOOKUP('Données projet'!$B$11,Paramètres!$A$1:$I$89,3,0)*0.475*44/12</f>
        <v>2.2206333513122412E-14</v>
      </c>
      <c r="BS186" s="22">
        <f t="shared" si="169"/>
        <v>22.908405720045064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8.5265128291212022E-14</v>
      </c>
      <c r="BZ186" s="13">
        <f>BY186*VLOOKUP('Données projet'!$B$12,Paramètres!$A$1:$I$89,3,0)*VLOOKUP('Données projet'!$B$12,Paramètres!$A$1:$I$89,5,0)</f>
        <v>7.4487616075202836E-14</v>
      </c>
      <c r="CA186" s="13">
        <f t="shared" si="170"/>
        <v>1.1580453144473142E-12</v>
      </c>
      <c r="CB186" s="20">
        <f t="shared" si="171"/>
        <v>2.1466615206600508E-12</v>
      </c>
      <c r="CC186" s="59">
        <f t="shared" si="119"/>
        <v>289.60612764011512</v>
      </c>
      <c r="CD186" s="59">
        <f ca="1">AVERAGE(OFFSET($CC$3,0,0,'Données projet'!$E$12+1,1))-AVERAGE(OFFSET($H$3,0,0,'Données projet'!$E$12+1,1))</f>
        <v>251.30277097589737</v>
      </c>
      <c r="CE186" s="59">
        <f t="shared" si="148"/>
        <v>224.11983819941796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2.8750442657085911</v>
      </c>
      <c r="CL186" s="21">
        <f>EXP(-LN(2)/25)*CL185+(1-EXP(-LN(2)/25))/(LN(2)/25)*Calculateur!CG186*Calculateur!CI186*VLOOKUP('Données projet'!$B$12,Paramètres!$A$1:$I$89,3,0)*0.475*44/12</f>
        <v>3.8036128061296481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6.6786570718382396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2.8421709430404007E-14</v>
      </c>
      <c r="CU186" s="17">
        <f>CT186*VLOOKUP('Données projet'!$B$13,Paramètres!$A$1:$I$89,3,0)*VLOOKUP('Données projet'!$B$13,Paramètres!$A$1:$I$89,5,0)</f>
        <v>2.4829205358400945E-14</v>
      </c>
      <c r="CV186" s="13">
        <f t="shared" si="173"/>
        <v>4.3867331143352915E-13</v>
      </c>
      <c r="CW186" s="20">
        <f t="shared" si="174"/>
        <v>8.0726688341261168E-13</v>
      </c>
      <c r="CX186" s="59">
        <f t="shared" si="122"/>
        <v>289.60612764011375</v>
      </c>
      <c r="CY186" s="59">
        <f ca="1">AVERAGE(OFFSET($CX$3,0,0,'Données projet'!$E$13+1,1))-AVERAGE(OFFSET($H$3,0,0,'Données projet'!$E$13+1,1))</f>
        <v>287.28439432670405</v>
      </c>
      <c r="CZ186" s="59">
        <f t="shared" si="150"/>
        <v>276.01618888357268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4.2898689932058716</v>
      </c>
      <c r="DG186" s="21">
        <f>EXP(-LN(2)/25)*DG185+(1-EXP(-LN(2)/25))/(LN(2)/25)*Calculateur!DB186*Calculateur!DD186*VLOOKUP('Données projet'!$B$13,Paramètres!$A$1:$I$89,3,0)*0.475*44/12</f>
        <v>2.0989463695111557</v>
      </c>
      <c r="DH186" s="21">
        <f>EXP(-LN(2)/2)*DH185+(1-EXP(-LN(2)/2))/(LN(2)/2)*DB186*DE186*VLOOKUP('Données projet'!$B$13,Paramètres!$A$1:$I$89,3,0)*0.475*44/12</f>
        <v>1.4271023058792501E-14</v>
      </c>
      <c r="DI186" s="22">
        <f t="shared" si="175"/>
        <v>6.3888153627170414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-9.9475983006414026E-14</v>
      </c>
      <c r="DP186" s="17">
        <f>DO186*VLOOKUP('Données projet'!$B$14,Paramètres!$A$1:$I$89,3,0)*VLOOKUP('Données projet'!$B$14,Paramètres!$A$1:$I$89,5,0)</f>
        <v>-9.6213170763803652E-14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206.5245935130306</v>
      </c>
      <c r="DU186" s="59">
        <f t="shared" si="152"/>
        <v>130.57011290898546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4.0413516300328842</v>
      </c>
      <c r="EB186" s="21">
        <f>EXP(-LN(2)/25)*EB185+(1-EXP(-LN(2)/25))/(LN(2)/25)*Calculateur!DW186*Calculateur!DY186*VLOOKUP('Données projet'!$B$14,Paramètres!$A$1:$I$89,3,0)*0.475*44/12</f>
        <v>3.2069035750196715</v>
      </c>
      <c r="EC186" s="21">
        <f>EXP(-LN(2)/2)*EC185+(1-EXP(-LN(2)/2))/(LN(2)/2)*DW186*DZ186*VLOOKUP('Données projet'!$B$14,Paramètres!$A$1:$I$89,3,0)*0.475*44/12</f>
        <v>9.3009490472716485E-9</v>
      </c>
      <c r="ED186" s="22">
        <f t="shared" si="178"/>
        <v>7.2482552143535051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1.7053025658242404E-13</v>
      </c>
      <c r="EK186" s="17">
        <f>EJ186*VLOOKUP('Données projet'!$B$15,Paramètres!$A$1:$I$89,3,0)*VLOOKUP('Données projet'!$B$15,Paramètres!$A$1:$I$89,5,0)</f>
        <v>7.9808160080574461E-14</v>
      </c>
      <c r="EL186" s="13">
        <f t="shared" si="179"/>
        <v>1.2308384591775343E-12</v>
      </c>
      <c r="EM186" s="20">
        <f t="shared" si="180"/>
        <v>2.282709528541206E-12</v>
      </c>
      <c r="EN186" s="59">
        <f t="shared" si="128"/>
        <v>289.60612764011523</v>
      </c>
      <c r="EO186" s="59">
        <f ca="1">AVERAGE(OFFSET($EN$3,0,0,'Données projet'!$E$15+1,1))-AVERAGE(OFFSET($H$3,0,0,'Données projet'!$E$15+1,1))</f>
        <v>374.38106339726073</v>
      </c>
      <c r="EP186" s="59">
        <f t="shared" si="154"/>
        <v>296.53283288925957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51.936695592455024</v>
      </c>
      <c r="EW186" s="21">
        <f>EXP(-LN(2)/25)*EW185+(1-EXP(-LN(2)/25))/(LN(2)/25)*Calculateur!ER186*Calculateur!ET186*VLOOKUP('Données projet'!$B$15,Paramètres!$A$1:$I$89,3,0)*0.475*44/12</f>
        <v>10.622594958097254</v>
      </c>
      <c r="EX186" s="21">
        <f>EXP(-LN(2)/2)*EX185+(1-EXP(-LN(2)/2))/(LN(2)/2)*ER186*EU186*VLOOKUP('Données projet'!$B$15,Paramètres!$A$1:$I$89,3,0)*0.475*44/12</f>
        <v>4.8292657248048209E-7</v>
      </c>
      <c r="EY186" s="22">
        <f t="shared" si="181"/>
        <v>62.55929103347885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9">
        <f t="shared" si="109"/>
        <v>289.67078632612294</v>
      </c>
      <c r="S187" s="59">
        <f ca="1">AVERAGE(OFFSET($R$3,0,0,'Données projet'!$E$9+1,1))-AVERAGE(OFFSET($H$3,0,0,'Données projet'!$E$9+1,1))</f>
        <v>681.47578137804555</v>
      </c>
      <c r="T187" s="59">
        <f t="shared" si="142"/>
        <v>300.88511065995885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1.0818439477588981E-13</v>
      </c>
      <c r="AK187" s="13">
        <f t="shared" si="164"/>
        <v>1.6104228458716316E-12</v>
      </c>
      <c r="AL187" s="20">
        <f t="shared" si="165"/>
        <v>2.9932409441277661E-12</v>
      </c>
      <c r="AM187" s="59">
        <f t="shared" si="113"/>
        <v>289.67078632610975</v>
      </c>
      <c r="AN187" s="59">
        <f ca="1">AVERAGE(OFFSET($AM$3,0,0,'Données projet'!$E$10+1,1))-AVERAGE(OFFSET($H$3,0,0,'Données projet'!$E$10+1,1))</f>
        <v>423.80243030843661</v>
      </c>
      <c r="AO187" s="59">
        <f t="shared" si="144"/>
        <v>260.29028006191834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12.948761346798427</v>
      </c>
      <c r="AV187" s="21">
        <f>EXP(-LN(2)/25)*AV186+(1-EXP(-LN(2)/25))/(LN(2)/25)*Calculateur!AQ187*Calculateur!AS187*VLOOKUP('Données projet'!$B$10,Paramètres!$A$1:$I$89,3,0)*0.475*44/12</f>
        <v>7.8384681822890823</v>
      </c>
      <c r="AW187" s="21">
        <f>EXP(-LN(2)/2)*AW186+(1-EXP(-LN(2)/2))/(LN(2)/2)*AQ187*AT187*VLOOKUP('Données projet'!$B$10,Paramètres!$A$1:$I$89,3,0)*0.475*44/12</f>
        <v>1.5099172376586289E-8</v>
      </c>
      <c r="AX187" s="21">
        <f t="shared" si="166"/>
        <v>20.787229544186683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-1.3596945791505279E-13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373.61861223558259</v>
      </c>
      <c r="BJ187" s="59">
        <f t="shared" si="146"/>
        <v>277.62293009761049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19.541633302040349</v>
      </c>
      <c r="BQ187" s="21">
        <f>EXP(-LN(2)/25)*BQ186+(1-EXP(-LN(2)/25))/(LN(2)/25)*Calculateur!BL187*Calculateur!BN187*VLOOKUP('Données projet'!$B$11,Paramètres!$A$1:$I$89,3,0)*0.475*44/12</f>
        <v>2.8945319322512253</v>
      </c>
      <c r="BR187" s="21">
        <f>EXP(-LN(2)/2)*BR186+(1-EXP(-LN(2)/2))/(LN(2)/2)*BL187*BO187*VLOOKUP('Données projet'!$B$11,Paramètres!$A$1:$I$89,3,0)*0.475*44/12</f>
        <v>1.5702249012418947E-14</v>
      </c>
      <c r="BS187" s="22">
        <f t="shared" si="169"/>
        <v>22.43616523429159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8.5265128291212022E-14</v>
      </c>
      <c r="BZ187" s="13">
        <f>BY187*VLOOKUP('Données projet'!$B$12,Paramètres!$A$1:$I$89,3,0)*VLOOKUP('Données projet'!$B$12,Paramètres!$A$1:$I$89,5,0)</f>
        <v>7.4487616075202836E-14</v>
      </c>
      <c r="CA187" s="13">
        <f t="shared" si="170"/>
        <v>1.1580453144473142E-12</v>
      </c>
      <c r="CB187" s="20">
        <f t="shared" si="171"/>
        <v>2.1466615206600508E-12</v>
      </c>
      <c r="CC187" s="59">
        <f t="shared" si="119"/>
        <v>289.6707863261089</v>
      </c>
      <c r="CD187" s="59">
        <f ca="1">AVERAGE(OFFSET($CC$3,0,0,'Données projet'!$E$12+1,1))-AVERAGE(OFFSET($H$3,0,0,'Données projet'!$E$12+1,1))</f>
        <v>251.30277097589737</v>
      </c>
      <c r="CE187" s="59">
        <f t="shared" si="148"/>
        <v>224.11983819941796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2.8186664012618938</v>
      </c>
      <c r="CL187" s="21">
        <f>EXP(-LN(2)/25)*CL186+(1-EXP(-LN(2)/25))/(LN(2)/25)*Calculateur!CG187*Calculateur!CI187*VLOOKUP('Données projet'!$B$12,Paramètres!$A$1:$I$89,3,0)*0.475*44/12</f>
        <v>3.6996028139227288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6.5182692151846222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2.8421709430404007E-14</v>
      </c>
      <c r="CU187" s="17">
        <f>CT187*VLOOKUP('Données projet'!$B$13,Paramètres!$A$1:$I$89,3,0)*VLOOKUP('Données projet'!$B$13,Paramètres!$A$1:$I$89,5,0)</f>
        <v>2.4829205358400945E-14</v>
      </c>
      <c r="CV187" s="13">
        <f t="shared" si="173"/>
        <v>4.3867331143352915E-13</v>
      </c>
      <c r="CW187" s="20">
        <f t="shared" si="174"/>
        <v>8.0726688341261168E-13</v>
      </c>
      <c r="CX187" s="59">
        <f t="shared" si="122"/>
        <v>289.67078632610753</v>
      </c>
      <c r="CY187" s="59">
        <f ca="1">AVERAGE(OFFSET($CX$3,0,0,'Données projet'!$E$13+1,1))-AVERAGE(OFFSET($H$3,0,0,'Données projet'!$E$13+1,1))</f>
        <v>287.28439432670405</v>
      </c>
      <c r="CZ187" s="59">
        <f t="shared" si="150"/>
        <v>276.01618888357268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4.2057472788108266</v>
      </c>
      <c r="DG187" s="21">
        <f>EXP(-LN(2)/25)*DG186+(1-EXP(-LN(2)/25))/(LN(2)/25)*Calculateur!DB187*Calculateur!DD187*VLOOKUP('Données projet'!$B$13,Paramètres!$A$1:$I$89,3,0)*0.475*44/12</f>
        <v>2.0415505706580808</v>
      </c>
      <c r="DH187" s="21">
        <f>EXP(-LN(2)/2)*DH186+(1-EXP(-LN(2)/2))/(LN(2)/2)*DB187*DE187*VLOOKUP('Données projet'!$B$13,Paramètres!$A$1:$I$89,3,0)*0.475*44/12</f>
        <v>1.0091137179341763E-14</v>
      </c>
      <c r="DI187" s="22">
        <f t="shared" si="175"/>
        <v>6.2472978494689171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-9.9475983006414026E-14</v>
      </c>
      <c r="DP187" s="17">
        <f>DO187*VLOOKUP('Données projet'!$B$14,Paramètres!$A$1:$I$89,3,0)*VLOOKUP('Données projet'!$B$14,Paramètres!$A$1:$I$89,5,0)</f>
        <v>-9.6213170763803652E-14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206.5245935130306</v>
      </c>
      <c r="DU187" s="59">
        <f t="shared" si="152"/>
        <v>130.57011290898546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3.9621031895490368</v>
      </c>
      <c r="EB187" s="21">
        <f>EXP(-LN(2)/25)*EB186+(1-EXP(-LN(2)/25))/(LN(2)/25)*Calculateur!DW187*Calculateur!DY187*VLOOKUP('Données projet'!$B$14,Paramètres!$A$1:$I$89,3,0)*0.475*44/12</f>
        <v>3.1192106281170289</v>
      </c>
      <c r="EC187" s="21">
        <f>EXP(-LN(2)/2)*EC186+(1-EXP(-LN(2)/2))/(LN(2)/2)*DW187*DZ187*VLOOKUP('Données projet'!$B$14,Paramètres!$A$1:$I$89,3,0)*0.475*44/12</f>
        <v>6.5767641427963413E-9</v>
      </c>
      <c r="ED187" s="22">
        <f t="shared" si="178"/>
        <v>7.0813138242428302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1.7053025658242404E-13</v>
      </c>
      <c r="EK187" s="17">
        <f>EJ187*VLOOKUP('Données projet'!$B$15,Paramètres!$A$1:$I$89,3,0)*VLOOKUP('Données projet'!$B$15,Paramètres!$A$1:$I$89,5,0)</f>
        <v>7.9808160080574461E-14</v>
      </c>
      <c r="EL187" s="13">
        <f t="shared" si="179"/>
        <v>1.2308384591775343E-12</v>
      </c>
      <c r="EM187" s="20">
        <f t="shared" si="180"/>
        <v>2.282709528541206E-12</v>
      </c>
      <c r="EN187" s="59">
        <f t="shared" si="128"/>
        <v>289.67078632610901</v>
      </c>
      <c r="EO187" s="59">
        <f ca="1">AVERAGE(OFFSET($EN$3,0,0,'Données projet'!$E$15+1,1))-AVERAGE(OFFSET($H$3,0,0,'Données projet'!$E$15+1,1))</f>
        <v>374.38106339726073</v>
      </c>
      <c r="EP187" s="59">
        <f t="shared" si="154"/>
        <v>296.53283288925957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50.918248670143328</v>
      </c>
      <c r="EW187" s="21">
        <f>EXP(-LN(2)/25)*EW186+(1-EXP(-LN(2)/25))/(LN(2)/25)*Calculateur!ER187*Calculateur!ET187*VLOOKUP('Données projet'!$B$15,Paramètres!$A$1:$I$89,3,0)*0.475*44/12</f>
        <v>10.332119540350094</v>
      </c>
      <c r="EX187" s="21">
        <f>EXP(-LN(2)/2)*EX186+(1-EXP(-LN(2)/2))/(LN(2)/2)*ER187*EU187*VLOOKUP('Données projet'!$B$15,Paramètres!$A$1:$I$89,3,0)*0.475*44/12</f>
        <v>3.4148065421612565E-7</v>
      </c>
      <c r="EY187" s="22">
        <f t="shared" si="181"/>
        <v>61.250368551974077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9">
        <f t="shared" si="109"/>
        <v>289.73432332846994</v>
      </c>
      <c r="S188" s="59">
        <f ca="1">AVERAGE(OFFSET($R$3,0,0,'Données projet'!$E$9+1,1))-AVERAGE(OFFSET($H$3,0,0,'Données projet'!$E$9+1,1))</f>
        <v>681.47578137804555</v>
      </c>
      <c r="T188" s="59">
        <f t="shared" si="142"/>
        <v>300.88511065995885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1.0818439477588981E-13</v>
      </c>
      <c r="AK188" s="13">
        <f t="shared" si="164"/>
        <v>1.6104228458716316E-12</v>
      </c>
      <c r="AL188" s="20">
        <f t="shared" si="165"/>
        <v>2.9932409441277661E-12</v>
      </c>
      <c r="AM188" s="59">
        <f t="shared" si="113"/>
        <v>289.73432332845675</v>
      </c>
      <c r="AN188" s="59">
        <f ca="1">AVERAGE(OFFSET($AM$3,0,0,'Données projet'!$E$10+1,1))-AVERAGE(OFFSET($H$3,0,0,'Données projet'!$E$10+1,1))</f>
        <v>423.80243030843661</v>
      </c>
      <c r="AO188" s="59">
        <f t="shared" si="144"/>
        <v>260.29028006191834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12.694844034752272</v>
      </c>
      <c r="AV188" s="21">
        <f>EXP(-LN(2)/25)*AV187+(1-EXP(-LN(2)/25))/(LN(2)/25)*Calculateur!AQ188*Calculateur!AS188*VLOOKUP('Données projet'!$B$10,Paramètres!$A$1:$I$89,3,0)*0.475*44/12</f>
        <v>7.6241248576372609</v>
      </c>
      <c r="AW188" s="21">
        <f>EXP(-LN(2)/2)*AW187+(1-EXP(-LN(2)/2))/(LN(2)/2)*AQ188*AT188*VLOOKUP('Données projet'!$B$10,Paramètres!$A$1:$I$89,3,0)*0.475*44/12</f>
        <v>1.0676727177788764E-8</v>
      </c>
      <c r="AX188" s="21">
        <f t="shared" si="166"/>
        <v>20.318968903066263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-1.3596945791505279E-13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373.61861223558259</v>
      </c>
      <c r="BJ188" s="59">
        <f t="shared" si="146"/>
        <v>277.62293009761049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19.158433792206726</v>
      </c>
      <c r="BQ188" s="21">
        <f>EXP(-LN(2)/25)*BQ187+(1-EXP(-LN(2)/25))/(LN(2)/25)*Calculateur!BL188*Calculateur!BN188*VLOOKUP('Données projet'!$B$11,Paramètres!$A$1:$I$89,3,0)*0.475*44/12</f>
        <v>2.8153808043469968</v>
      </c>
      <c r="BR188" s="21">
        <f>EXP(-LN(2)/2)*BR187+(1-EXP(-LN(2)/2))/(LN(2)/2)*BL188*BO188*VLOOKUP('Données projet'!$B$11,Paramètres!$A$1:$I$89,3,0)*0.475*44/12</f>
        <v>1.1103166756561206E-14</v>
      </c>
      <c r="BS188" s="22">
        <f t="shared" si="169"/>
        <v>21.973814596553733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8.5265128291212022E-14</v>
      </c>
      <c r="BZ188" s="13">
        <f>BY188*VLOOKUP('Données projet'!$B$12,Paramètres!$A$1:$I$89,3,0)*VLOOKUP('Données projet'!$B$12,Paramètres!$A$1:$I$89,5,0)</f>
        <v>7.4487616075202836E-14</v>
      </c>
      <c r="CA188" s="13">
        <f t="shared" si="170"/>
        <v>1.1580453144473142E-12</v>
      </c>
      <c r="CB188" s="20">
        <f t="shared" si="171"/>
        <v>2.1466615206600508E-12</v>
      </c>
      <c r="CC188" s="59">
        <f t="shared" si="119"/>
        <v>289.7343233284559</v>
      </c>
      <c r="CD188" s="59">
        <f ca="1">AVERAGE(OFFSET($CC$3,0,0,'Données projet'!$E$12+1,1))-AVERAGE(OFFSET($H$3,0,0,'Données projet'!$E$12+1,1))</f>
        <v>251.30277097589737</v>
      </c>
      <c r="CE188" s="59">
        <f t="shared" si="148"/>
        <v>224.11983819941796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2.7633940723498944</v>
      </c>
      <c r="CL188" s="21">
        <f>EXP(-LN(2)/25)*CL187+(1-EXP(-LN(2)/25))/(LN(2)/25)*Calculateur!CG188*Calculateur!CI188*VLOOKUP('Données projet'!$B$12,Paramètres!$A$1:$I$89,3,0)*0.475*44/12</f>
        <v>3.5984369804223553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6.3618310527722493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2.8421709430404007E-14</v>
      </c>
      <c r="CU188" s="17">
        <f>CT188*VLOOKUP('Données projet'!$B$13,Paramètres!$A$1:$I$89,3,0)*VLOOKUP('Données projet'!$B$13,Paramètres!$A$1:$I$89,5,0)</f>
        <v>2.4829205358400945E-14</v>
      </c>
      <c r="CV188" s="13">
        <f t="shared" si="173"/>
        <v>4.3867331143352915E-13</v>
      </c>
      <c r="CW188" s="20">
        <f t="shared" si="174"/>
        <v>8.0726688341261168E-13</v>
      </c>
      <c r="CX188" s="59">
        <f t="shared" si="122"/>
        <v>289.73432332845454</v>
      </c>
      <c r="CY188" s="59">
        <f ca="1">AVERAGE(OFFSET($CX$3,0,0,'Données projet'!$E$13+1,1))-AVERAGE(OFFSET($H$3,0,0,'Données projet'!$E$13+1,1))</f>
        <v>287.28439432670405</v>
      </c>
      <c r="CZ188" s="59">
        <f t="shared" si="150"/>
        <v>276.01618888357268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4.1232751399258882</v>
      </c>
      <c r="DG188" s="21">
        <f>EXP(-LN(2)/25)*DG187+(1-EXP(-LN(2)/25))/(LN(2)/25)*Calculateur!DB188*Calculateur!DD188*VLOOKUP('Données projet'!$B$13,Paramètres!$A$1:$I$89,3,0)*0.475*44/12</f>
        <v>1.985724262942957</v>
      </c>
      <c r="DH188" s="21">
        <f>EXP(-LN(2)/2)*DH187+(1-EXP(-LN(2)/2))/(LN(2)/2)*DB188*DE188*VLOOKUP('Données projet'!$B$13,Paramètres!$A$1:$I$89,3,0)*0.475*44/12</f>
        <v>7.1355115293962504E-15</v>
      </c>
      <c r="DI188" s="22">
        <f t="shared" si="175"/>
        <v>6.1089994028688519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-9.9475983006414026E-14</v>
      </c>
      <c r="DP188" s="17">
        <f>DO188*VLOOKUP('Données projet'!$B$14,Paramètres!$A$1:$I$89,3,0)*VLOOKUP('Données projet'!$B$14,Paramètres!$A$1:$I$89,5,0)</f>
        <v>-9.6213170763803652E-14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206.5245935130306</v>
      </c>
      <c r="DU188" s="59">
        <f t="shared" si="152"/>
        <v>130.57011290898546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3.8844087626463022</v>
      </c>
      <c r="EB188" s="21">
        <f>EXP(-LN(2)/25)*EB187+(1-EXP(-LN(2)/25))/(LN(2)/25)*Calculateur!DW188*Calculateur!DY188*VLOOKUP('Données projet'!$B$14,Paramètres!$A$1:$I$89,3,0)*0.475*44/12</f>
        <v>3.0339156494590109</v>
      </c>
      <c r="EC188" s="21">
        <f>EXP(-LN(2)/2)*EC187+(1-EXP(-LN(2)/2))/(LN(2)/2)*DW188*DZ188*VLOOKUP('Données projet'!$B$14,Paramètres!$A$1:$I$89,3,0)*0.475*44/12</f>
        <v>4.6504745236358242E-9</v>
      </c>
      <c r="ED188" s="22">
        <f t="shared" si="178"/>
        <v>6.9183244167557882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1.7053025658242404E-13</v>
      </c>
      <c r="EK188" s="17">
        <f>EJ188*VLOOKUP('Données projet'!$B$15,Paramètres!$A$1:$I$89,3,0)*VLOOKUP('Données projet'!$B$15,Paramètres!$A$1:$I$89,5,0)</f>
        <v>7.9808160080574461E-14</v>
      </c>
      <c r="EL188" s="13">
        <f t="shared" si="179"/>
        <v>1.2308384591775343E-12</v>
      </c>
      <c r="EM188" s="20">
        <f t="shared" si="180"/>
        <v>2.282709528541206E-12</v>
      </c>
      <c r="EN188" s="59">
        <f t="shared" si="128"/>
        <v>289.73432332845601</v>
      </c>
      <c r="EO188" s="59">
        <f ca="1">AVERAGE(OFFSET($EN$3,0,0,'Données projet'!$E$15+1,1))-AVERAGE(OFFSET($H$3,0,0,'Données projet'!$E$15+1,1))</f>
        <v>374.38106339726073</v>
      </c>
      <c r="EP188" s="59">
        <f t="shared" si="154"/>
        <v>296.53283288925957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49.919772870786872</v>
      </c>
      <c r="EW188" s="21">
        <f>EXP(-LN(2)/25)*EW187+(1-EXP(-LN(2)/25))/(LN(2)/25)*Calculateur!ER188*Calculateur!ET188*VLOOKUP('Données projet'!$B$15,Paramètres!$A$1:$I$89,3,0)*0.475*44/12</f>
        <v>10.049587188176668</v>
      </c>
      <c r="EX188" s="21">
        <f>EXP(-LN(2)/2)*EX187+(1-EXP(-LN(2)/2))/(LN(2)/2)*ER188*EU188*VLOOKUP('Données projet'!$B$15,Paramètres!$A$1:$I$89,3,0)*0.475*44/12</f>
        <v>2.4146328624024104E-7</v>
      </c>
      <c r="EY188" s="22">
        <f t="shared" si="181"/>
        <v>59.969360300426821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9">
        <f t="shared" si="109"/>
        <v>289.79675810587361</v>
      </c>
      <c r="S189" s="59">
        <f ca="1">AVERAGE(OFFSET($R$3,0,0,'Données projet'!$E$9+1,1))-AVERAGE(OFFSET($H$3,0,0,'Données projet'!$E$9+1,1))</f>
        <v>681.47578137804555</v>
      </c>
      <c r="T189" s="59">
        <f t="shared" si="142"/>
        <v>300.88511065995885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1.0818439477588981E-13</v>
      </c>
      <c r="AK189" s="13">
        <f t="shared" si="164"/>
        <v>1.6104228458716316E-12</v>
      </c>
      <c r="AL189" s="20">
        <f t="shared" si="165"/>
        <v>2.9932409441277661E-12</v>
      </c>
      <c r="AM189" s="59">
        <f t="shared" si="113"/>
        <v>289.79675810586042</v>
      </c>
      <c r="AN189" s="59">
        <f ca="1">AVERAGE(OFFSET($AM$3,0,0,'Données projet'!$E$10+1,1))-AVERAGE(OFFSET($H$3,0,0,'Données projet'!$E$10+1,1))</f>
        <v>423.80243030843661</v>
      </c>
      <c r="AO189" s="59">
        <f t="shared" si="144"/>
        <v>260.29028006191834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12.445905886321075</v>
      </c>
      <c r="AV189" s="21">
        <f>EXP(-LN(2)/25)*AV188+(1-EXP(-LN(2)/25))/(LN(2)/25)*Calculateur!AQ189*Calculateur!AS189*VLOOKUP('Données projet'!$B$10,Paramètres!$A$1:$I$89,3,0)*0.475*44/12</f>
        <v>7.4156427624698686</v>
      </c>
      <c r="AW189" s="21">
        <f>EXP(-LN(2)/2)*AW188+(1-EXP(-LN(2)/2))/(LN(2)/2)*AQ189*AT189*VLOOKUP('Données projet'!$B$10,Paramètres!$A$1:$I$89,3,0)*0.475*44/12</f>
        <v>7.5495861882931446E-9</v>
      </c>
      <c r="AX189" s="21">
        <f t="shared" si="166"/>
        <v>19.861548656340531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-1.3596945791505279E-13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373.61861223558259</v>
      </c>
      <c r="BJ189" s="59">
        <f t="shared" si="146"/>
        <v>277.62293009761049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18.78274859103232</v>
      </c>
      <c r="BQ189" s="21">
        <f>EXP(-LN(2)/25)*BQ188+(1-EXP(-LN(2)/25))/(LN(2)/25)*Calculateur!BL189*Calculateur!BN189*VLOOKUP('Données projet'!$B$11,Paramètres!$A$1:$I$89,3,0)*0.475*44/12</f>
        <v>2.7383940681976862</v>
      </c>
      <c r="BR189" s="21">
        <f>EXP(-LN(2)/2)*BR188+(1-EXP(-LN(2)/2))/(LN(2)/2)*BL189*BO189*VLOOKUP('Données projet'!$B$11,Paramètres!$A$1:$I$89,3,0)*0.475*44/12</f>
        <v>7.8511245062094733E-15</v>
      </c>
      <c r="BS189" s="22">
        <f t="shared" si="169"/>
        <v>21.521142659230012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8.5265128291212022E-14</v>
      </c>
      <c r="BZ189" s="13">
        <f>BY189*VLOOKUP('Données projet'!$B$12,Paramètres!$A$1:$I$89,3,0)*VLOOKUP('Données projet'!$B$12,Paramètres!$A$1:$I$89,5,0)</f>
        <v>7.4487616075202836E-14</v>
      </c>
      <c r="CA189" s="13">
        <f t="shared" si="170"/>
        <v>1.1580453144473142E-12</v>
      </c>
      <c r="CB189" s="20">
        <f t="shared" si="171"/>
        <v>2.1466615206600508E-12</v>
      </c>
      <c r="CC189" s="59">
        <f t="shared" si="119"/>
        <v>289.79675810585957</v>
      </c>
      <c r="CD189" s="59">
        <f ca="1">AVERAGE(OFFSET($CC$3,0,0,'Données projet'!$E$12+1,1))-AVERAGE(OFFSET($H$3,0,0,'Données projet'!$E$12+1,1))</f>
        <v>251.30277097589737</v>
      </c>
      <c r="CE189" s="59">
        <f t="shared" si="148"/>
        <v>224.11983819941796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2.7092056000950673</v>
      </c>
      <c r="CL189" s="21">
        <f>EXP(-LN(2)/25)*CL188+(1-EXP(-LN(2)/25))/(LN(2)/25)*Calculateur!CG189*Calculateur!CI189*VLOOKUP('Données projet'!$B$12,Paramètres!$A$1:$I$89,3,0)*0.475*44/12</f>
        <v>3.5000375319591295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6.2092431320541968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2.8421709430404007E-14</v>
      </c>
      <c r="CU189" s="17">
        <f>CT189*VLOOKUP('Données projet'!$B$13,Paramètres!$A$1:$I$89,3,0)*VLOOKUP('Données projet'!$B$13,Paramètres!$A$1:$I$89,5,0)</f>
        <v>2.4829205358400945E-14</v>
      </c>
      <c r="CV189" s="13">
        <f t="shared" si="173"/>
        <v>4.3867331143352915E-13</v>
      </c>
      <c r="CW189" s="20">
        <f t="shared" si="174"/>
        <v>8.0726688341261168E-13</v>
      </c>
      <c r="CX189" s="59">
        <f t="shared" si="122"/>
        <v>289.7967581058582</v>
      </c>
      <c r="CY189" s="59">
        <f ca="1">AVERAGE(OFFSET($CX$3,0,0,'Données projet'!$E$13+1,1))-AVERAGE(OFFSET($H$3,0,0,'Données projet'!$E$13+1,1))</f>
        <v>287.28439432670405</v>
      </c>
      <c r="CZ189" s="59">
        <f t="shared" si="150"/>
        <v>276.01618888357268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4.0424202293814462</v>
      </c>
      <c r="DG189" s="21">
        <f>EXP(-LN(2)/25)*DG188+(1-EXP(-LN(2)/25))/(LN(2)/25)*Calculateur!DB189*Calculateur!DD189*VLOOKUP('Données projet'!$B$13,Paramètres!$A$1:$I$89,3,0)*0.475*44/12</f>
        <v>1.9314245285480813</v>
      </c>
      <c r="DH189" s="21">
        <f>EXP(-LN(2)/2)*DH188+(1-EXP(-LN(2)/2))/(LN(2)/2)*DB189*DE189*VLOOKUP('Données projet'!$B$13,Paramètres!$A$1:$I$89,3,0)*0.475*44/12</f>
        <v>5.0455685896708816E-15</v>
      </c>
      <c r="DI189" s="22">
        <f t="shared" si="175"/>
        <v>5.9738447579295331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-9.9475983006414026E-14</v>
      </c>
      <c r="DP189" s="17">
        <f>DO189*VLOOKUP('Données projet'!$B$14,Paramètres!$A$1:$I$89,3,0)*VLOOKUP('Données projet'!$B$14,Paramètres!$A$1:$I$89,5,0)</f>
        <v>-9.6213170763803652E-14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206.5245935130306</v>
      </c>
      <c r="DU189" s="59">
        <f t="shared" si="152"/>
        <v>130.57011290898546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3.808237876066209</v>
      </c>
      <c r="EB189" s="21">
        <f>EXP(-LN(2)/25)*EB188+(1-EXP(-LN(2)/25))/(LN(2)/25)*Calculateur!DW189*Calculateur!DY189*VLOOKUP('Données projet'!$B$14,Paramètres!$A$1:$I$89,3,0)*0.475*44/12</f>
        <v>2.9509530664778643</v>
      </c>
      <c r="EC189" s="21">
        <f>EXP(-LN(2)/2)*EC188+(1-EXP(-LN(2)/2))/(LN(2)/2)*DW189*DZ189*VLOOKUP('Données projet'!$B$14,Paramètres!$A$1:$I$89,3,0)*0.475*44/12</f>
        <v>3.2883820713981707E-9</v>
      </c>
      <c r="ED189" s="22">
        <f t="shared" si="178"/>
        <v>6.7591909458324553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1.7053025658242404E-13</v>
      </c>
      <c r="EK189" s="17">
        <f>EJ189*VLOOKUP('Données projet'!$B$15,Paramètres!$A$1:$I$89,3,0)*VLOOKUP('Données projet'!$B$15,Paramètres!$A$1:$I$89,5,0)</f>
        <v>7.9808160080574461E-14</v>
      </c>
      <c r="EL189" s="13">
        <f t="shared" si="179"/>
        <v>1.2308384591775343E-12</v>
      </c>
      <c r="EM189" s="20">
        <f t="shared" si="180"/>
        <v>2.282709528541206E-12</v>
      </c>
      <c r="EN189" s="59">
        <f t="shared" si="128"/>
        <v>289.79675810585968</v>
      </c>
      <c r="EO189" s="59">
        <f ca="1">AVERAGE(OFFSET($EN$3,0,0,'Données projet'!$E$15+1,1))-AVERAGE(OFFSET($H$3,0,0,'Données projet'!$E$15+1,1))</f>
        <v>374.38106339726073</v>
      </c>
      <c r="EP189" s="59">
        <f t="shared" si="154"/>
        <v>296.53283288925957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48.940876572845696</v>
      </c>
      <c r="EW189" s="21">
        <f>EXP(-LN(2)/25)*EW188+(1-EXP(-LN(2)/25))/(LN(2)/25)*Calculateur!ER189*Calculateur!ET189*VLOOKUP('Données projet'!$B$15,Paramètres!$A$1:$I$89,3,0)*0.475*44/12</f>
        <v>9.7747806980311545</v>
      </c>
      <c r="EX189" s="21">
        <f>EXP(-LN(2)/2)*EX188+(1-EXP(-LN(2)/2))/(LN(2)/2)*ER189*EU189*VLOOKUP('Données projet'!$B$15,Paramètres!$A$1:$I$89,3,0)*0.475*44/12</f>
        <v>1.7074032710806282E-7</v>
      </c>
      <c r="EY189" s="22">
        <f t="shared" si="181"/>
        <v>58.715657441617175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9">
        <f t="shared" si="109"/>
        <v>289.85810977947261</v>
      </c>
      <c r="S190" s="59">
        <f ca="1">AVERAGE(OFFSET($R$3,0,0,'Données projet'!$E$9+1,1))-AVERAGE(OFFSET($H$3,0,0,'Données projet'!$E$9+1,1))</f>
        <v>681.47578137804555</v>
      </c>
      <c r="T190" s="59">
        <f t="shared" si="142"/>
        <v>300.88511065995885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1.0818439477588981E-13</v>
      </c>
      <c r="AK190" s="13">
        <f t="shared" si="164"/>
        <v>1.6104228458716316E-12</v>
      </c>
      <c r="AL190" s="20">
        <f t="shared" si="165"/>
        <v>2.9932409441277661E-12</v>
      </c>
      <c r="AM190" s="59">
        <f t="shared" si="113"/>
        <v>289.85810977945943</v>
      </c>
      <c r="AN190" s="59">
        <f ca="1">AVERAGE(OFFSET($AM$3,0,0,'Données projet'!$E$10+1,1))-AVERAGE(OFFSET($H$3,0,0,'Données projet'!$E$10+1,1))</f>
        <v>423.80243030843661</v>
      </c>
      <c r="AO190" s="59">
        <f t="shared" si="144"/>
        <v>260.29028006191834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12.201849263143336</v>
      </c>
      <c r="AV190" s="21">
        <f>EXP(-LN(2)/25)*AV189+(1-EXP(-LN(2)/25))/(LN(2)/25)*Calculateur!AQ190*Calculateur!AS190*VLOOKUP('Données projet'!$B$10,Paramètres!$A$1:$I$89,3,0)*0.475*44/12</f>
        <v>7.2128616211584262</v>
      </c>
      <c r="AW190" s="21">
        <f>EXP(-LN(2)/2)*AW189+(1-EXP(-LN(2)/2))/(LN(2)/2)*AQ190*AT190*VLOOKUP('Données projet'!$B$10,Paramètres!$A$1:$I$89,3,0)*0.475*44/12</f>
        <v>5.3383635888943819E-9</v>
      </c>
      <c r="AX190" s="21">
        <f t="shared" si="166"/>
        <v>19.414710889640126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-1.3596945791505279E-13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373.61861223558259</v>
      </c>
      <c r="BJ190" s="59">
        <f t="shared" si="146"/>
        <v>277.62293009761049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18.414430347507597</v>
      </c>
      <c r="BQ190" s="21">
        <f>EXP(-LN(2)/25)*BQ189+(1-EXP(-LN(2)/25))/(LN(2)/25)*Calculateur!BL190*Calculateur!BN190*VLOOKUP('Données projet'!$B$11,Paramètres!$A$1:$I$89,3,0)*0.475*44/12</f>
        <v>2.6635125383969349</v>
      </c>
      <c r="BR190" s="21">
        <f>EXP(-LN(2)/2)*BR189+(1-EXP(-LN(2)/2))/(LN(2)/2)*BL190*BO190*VLOOKUP('Données projet'!$B$11,Paramètres!$A$1:$I$89,3,0)*0.475*44/12</f>
        <v>5.5515833782806031E-15</v>
      </c>
      <c r="BS190" s="22">
        <f t="shared" si="169"/>
        <v>21.077942885904541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8.5265128291212022E-14</v>
      </c>
      <c r="BZ190" s="13">
        <f>BY190*VLOOKUP('Données projet'!$B$12,Paramètres!$A$1:$I$89,3,0)*VLOOKUP('Données projet'!$B$12,Paramètres!$A$1:$I$89,5,0)</f>
        <v>7.4487616075202836E-14</v>
      </c>
      <c r="CA190" s="13">
        <f t="shared" si="170"/>
        <v>1.1580453144473142E-12</v>
      </c>
      <c r="CB190" s="20">
        <f t="shared" si="171"/>
        <v>2.1466615206600508E-12</v>
      </c>
      <c r="CC190" s="59">
        <f t="shared" si="119"/>
        <v>289.85810977945857</v>
      </c>
      <c r="CD190" s="59">
        <f ca="1">AVERAGE(OFFSET($CC$3,0,0,'Données projet'!$E$12+1,1))-AVERAGE(OFFSET($H$3,0,0,'Données projet'!$E$12+1,1))</f>
        <v>251.30277097589737</v>
      </c>
      <c r="CE190" s="59">
        <f t="shared" si="148"/>
        <v>224.11983819941796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2.656079730729453</v>
      </c>
      <c r="CL190" s="21">
        <f>EXP(-LN(2)/25)*CL189+(1-EXP(-LN(2)/25))/(LN(2)/25)*Calculateur!CG190*Calculateur!CI190*VLOOKUP('Données projet'!$B$12,Paramètres!$A$1:$I$89,3,0)*0.475*44/12</f>
        <v>3.4043288215887326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6.0604085523181856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2.8421709430404007E-14</v>
      </c>
      <c r="CU190" s="17">
        <f>CT190*VLOOKUP('Données projet'!$B$13,Paramètres!$A$1:$I$89,3,0)*VLOOKUP('Données projet'!$B$13,Paramètres!$A$1:$I$89,5,0)</f>
        <v>2.4829205358400945E-14</v>
      </c>
      <c r="CV190" s="13">
        <f t="shared" si="173"/>
        <v>4.3867331143352915E-13</v>
      </c>
      <c r="CW190" s="20">
        <f t="shared" si="174"/>
        <v>8.0726688341261168E-13</v>
      </c>
      <c r="CX190" s="59">
        <f t="shared" si="122"/>
        <v>289.85810977945721</v>
      </c>
      <c r="CY190" s="59">
        <f ca="1">AVERAGE(OFFSET($CX$3,0,0,'Données projet'!$E$13+1,1))-AVERAGE(OFFSET($H$3,0,0,'Données projet'!$E$13+1,1))</f>
        <v>287.28439432670405</v>
      </c>
      <c r="CZ190" s="59">
        <f t="shared" si="150"/>
        <v>276.01618888357268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3.963150834316155</v>
      </c>
      <c r="DG190" s="21">
        <f>EXP(-LN(2)/25)*DG189+(1-EXP(-LN(2)/25))/(LN(2)/25)*Calculateur!DB190*Calculateur!DD190*VLOOKUP('Données projet'!$B$13,Paramètres!$A$1:$I$89,3,0)*0.475*44/12</f>
        <v>1.8786096232457323</v>
      </c>
      <c r="DH190" s="21">
        <f>EXP(-LN(2)/2)*DH189+(1-EXP(-LN(2)/2))/(LN(2)/2)*DB190*DE190*VLOOKUP('Données projet'!$B$13,Paramètres!$A$1:$I$89,3,0)*0.475*44/12</f>
        <v>3.5677557646981252E-15</v>
      </c>
      <c r="DI190" s="22">
        <f t="shared" si="175"/>
        <v>5.8417604575618913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-9.9475983006414026E-14</v>
      </c>
      <c r="DP190" s="17">
        <f>DO190*VLOOKUP('Données projet'!$B$14,Paramètres!$A$1:$I$89,3,0)*VLOOKUP('Données projet'!$B$14,Paramètres!$A$1:$I$89,5,0)</f>
        <v>-9.6213170763803652E-14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206.5245935130306</v>
      </c>
      <c r="DU190" s="59">
        <f t="shared" si="152"/>
        <v>130.57011290898546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3.7335606541122979</v>
      </c>
      <c r="EB190" s="21">
        <f>EXP(-LN(2)/25)*EB189+(1-EXP(-LN(2)/25))/(LN(2)/25)*Calculateur!DW190*Calculateur!DY190*VLOOKUP('Données projet'!$B$14,Paramètres!$A$1:$I$89,3,0)*0.475*44/12</f>
        <v>2.8702590996911499</v>
      </c>
      <c r="EC190" s="21">
        <f>EXP(-LN(2)/2)*EC189+(1-EXP(-LN(2)/2))/(LN(2)/2)*DW190*DZ190*VLOOKUP('Données projet'!$B$14,Paramètres!$A$1:$I$89,3,0)*0.475*44/12</f>
        <v>2.3252372618179121E-9</v>
      </c>
      <c r="ED190" s="22">
        <f t="shared" si="178"/>
        <v>6.6038197561286847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1.7053025658242404E-13</v>
      </c>
      <c r="EK190" s="17">
        <f>EJ190*VLOOKUP('Données projet'!$B$15,Paramètres!$A$1:$I$89,3,0)*VLOOKUP('Données projet'!$B$15,Paramètres!$A$1:$I$89,5,0)</f>
        <v>7.9808160080574461E-14</v>
      </c>
      <c r="EL190" s="13">
        <f t="shared" si="179"/>
        <v>1.2308384591775343E-12</v>
      </c>
      <c r="EM190" s="20">
        <f t="shared" si="180"/>
        <v>2.282709528541206E-12</v>
      </c>
      <c r="EN190" s="59">
        <f t="shared" si="128"/>
        <v>289.85810977945869</v>
      </c>
      <c r="EO190" s="59">
        <f ca="1">AVERAGE(OFFSET($EN$3,0,0,'Données projet'!$E$15+1,1))-AVERAGE(OFFSET($H$3,0,0,'Données projet'!$E$15+1,1))</f>
        <v>374.38106339726073</v>
      </c>
      <c r="EP190" s="59">
        <f t="shared" si="154"/>
        <v>296.53283288925957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47.981175834239359</v>
      </c>
      <c r="EW190" s="21">
        <f>EXP(-LN(2)/25)*EW189+(1-EXP(-LN(2)/25))/(LN(2)/25)*Calculateur!ER190*Calculateur!ET190*VLOOKUP('Données projet'!$B$15,Paramètres!$A$1:$I$89,3,0)*0.475*44/12</f>
        <v>9.5074888058101159</v>
      </c>
      <c r="EX190" s="21">
        <f>EXP(-LN(2)/2)*EX189+(1-EXP(-LN(2)/2))/(LN(2)/2)*ER190*EU190*VLOOKUP('Données projet'!$B$15,Paramètres!$A$1:$I$89,3,0)*0.475*44/12</f>
        <v>1.2073164312012052E-7</v>
      </c>
      <c r="EY190" s="22">
        <f t="shared" si="181"/>
        <v>57.48866476078112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9">
        <f t="shared" si="109"/>
        <v>289.91839713869643</v>
      </c>
      <c r="S191" s="59">
        <f ca="1">AVERAGE(OFFSET($R$3,0,0,'Données projet'!$E$9+1,1))-AVERAGE(OFFSET($H$3,0,0,'Données projet'!$E$9+1,1))</f>
        <v>681.47578137804555</v>
      </c>
      <c r="T191" s="59">
        <f t="shared" si="142"/>
        <v>300.88511065995885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1.0818439477588981E-13</v>
      </c>
      <c r="AK191" s="13">
        <f t="shared" si="164"/>
        <v>1.6104228458716316E-12</v>
      </c>
      <c r="AL191" s="20">
        <f t="shared" si="165"/>
        <v>2.9932409441277661E-12</v>
      </c>
      <c r="AM191" s="59">
        <f t="shared" si="113"/>
        <v>289.91839713868325</v>
      </c>
      <c r="AN191" s="59">
        <f ca="1">AVERAGE(OFFSET($AM$3,0,0,'Données projet'!$E$10+1,1))-AVERAGE(OFFSET($H$3,0,0,'Données projet'!$E$10+1,1))</f>
        <v>423.80243030843661</v>
      </c>
      <c r="AO191" s="59">
        <f t="shared" si="144"/>
        <v>260.29028006191834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11.96257844148627</v>
      </c>
      <c r="AV191" s="21">
        <f>EXP(-LN(2)/25)*AV190+(1-EXP(-LN(2)/25))/(LN(2)/25)*Calculateur!AQ191*Calculateur!AS191*VLOOKUP('Données projet'!$B$10,Paramètres!$A$1:$I$89,3,0)*0.475*44/12</f>
        <v>7.0156255408199417</v>
      </c>
      <c r="AW191" s="21">
        <f>EXP(-LN(2)/2)*AW190+(1-EXP(-LN(2)/2))/(LN(2)/2)*AQ191*AT191*VLOOKUP('Données projet'!$B$10,Paramètres!$A$1:$I$89,3,0)*0.475*44/12</f>
        <v>3.7747930941465723E-9</v>
      </c>
      <c r="AX191" s="21">
        <f t="shared" si="166"/>
        <v>18.978203986081006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-1.3596945791505279E-13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373.61861223558259</v>
      </c>
      <c r="BJ191" s="59">
        <f t="shared" si="146"/>
        <v>277.62293009761049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18.053334600086448</v>
      </c>
      <c r="BQ191" s="21">
        <f>EXP(-LN(2)/25)*BQ190+(1-EXP(-LN(2)/25))/(LN(2)/25)*Calculateur!BL191*Calculateur!BN191*VLOOKUP('Données projet'!$B$11,Paramètres!$A$1:$I$89,3,0)*0.475*44/12</f>
        <v>2.5906786479664339</v>
      </c>
      <c r="BR191" s="21">
        <f>EXP(-LN(2)/2)*BR190+(1-EXP(-LN(2)/2))/(LN(2)/2)*BL191*BO191*VLOOKUP('Données projet'!$B$11,Paramètres!$A$1:$I$89,3,0)*0.475*44/12</f>
        <v>3.9255622531047366E-15</v>
      </c>
      <c r="BS191" s="22">
        <f t="shared" si="169"/>
        <v>20.644013248052886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8.5265128291212022E-14</v>
      </c>
      <c r="BZ191" s="13">
        <f>BY191*VLOOKUP('Données projet'!$B$12,Paramètres!$A$1:$I$89,3,0)*VLOOKUP('Données projet'!$B$12,Paramètres!$A$1:$I$89,5,0)</f>
        <v>7.4487616075202836E-14</v>
      </c>
      <c r="CA191" s="13">
        <f t="shared" si="170"/>
        <v>1.1580453144473142E-12</v>
      </c>
      <c r="CB191" s="20">
        <f t="shared" si="171"/>
        <v>2.1466615206600508E-12</v>
      </c>
      <c r="CC191" s="59">
        <f t="shared" si="119"/>
        <v>289.91839713868239</v>
      </c>
      <c r="CD191" s="59">
        <f ca="1">AVERAGE(OFFSET($CC$3,0,0,'Données projet'!$E$12+1,1))-AVERAGE(OFFSET($H$3,0,0,'Données projet'!$E$12+1,1))</f>
        <v>251.30277097589737</v>
      </c>
      <c r="CE191" s="59">
        <f t="shared" si="148"/>
        <v>224.11983819941796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2.6039956272585179</v>
      </c>
      <c r="CL191" s="21">
        <f>EXP(-LN(2)/25)*CL190+(1-EXP(-LN(2)/25))/(LN(2)/25)*Calculateur!CG191*Calculateur!CI191*VLOOKUP('Données projet'!$B$12,Paramètres!$A$1:$I$89,3,0)*0.475*44/12</f>
        <v>3.3112372709365165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5.9152328981950344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2.8421709430404007E-14</v>
      </c>
      <c r="CU191" s="17">
        <f>CT191*VLOOKUP('Données projet'!$B$13,Paramètres!$A$1:$I$89,3,0)*VLOOKUP('Données projet'!$B$13,Paramètres!$A$1:$I$89,5,0)</f>
        <v>2.4829205358400945E-14</v>
      </c>
      <c r="CV191" s="13">
        <f t="shared" si="173"/>
        <v>4.3867331143352915E-13</v>
      </c>
      <c r="CW191" s="20">
        <f t="shared" si="174"/>
        <v>8.0726688341261168E-13</v>
      </c>
      <c r="CX191" s="59">
        <f t="shared" si="122"/>
        <v>289.91839713868103</v>
      </c>
      <c r="CY191" s="59">
        <f ca="1">AVERAGE(OFFSET($CX$3,0,0,'Données projet'!$E$13+1,1))-AVERAGE(OFFSET($H$3,0,0,'Données projet'!$E$13+1,1))</f>
        <v>287.28439432670405</v>
      </c>
      <c r="CZ191" s="59">
        <f t="shared" si="150"/>
        <v>276.01618888357268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3.8854358637385373</v>
      </c>
      <c r="DG191" s="21">
        <f>EXP(-LN(2)/25)*DG190+(1-EXP(-LN(2)/25))/(LN(2)/25)*Calculateur!DB191*Calculateur!DD191*VLOOKUP('Données projet'!$B$13,Paramètres!$A$1:$I$89,3,0)*0.475*44/12</f>
        <v>1.8272389443062913</v>
      </c>
      <c r="DH191" s="21">
        <f>EXP(-LN(2)/2)*DH190+(1-EXP(-LN(2)/2))/(LN(2)/2)*DB191*DE191*VLOOKUP('Données projet'!$B$13,Paramètres!$A$1:$I$89,3,0)*0.475*44/12</f>
        <v>2.5227842948354408E-15</v>
      </c>
      <c r="DI191" s="22">
        <f t="shared" si="175"/>
        <v>5.7126748080448317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-9.9475983006414026E-14</v>
      </c>
      <c r="DP191" s="17">
        <f>DO191*VLOOKUP('Données projet'!$B$14,Paramètres!$A$1:$I$89,3,0)*VLOOKUP('Données projet'!$B$14,Paramètres!$A$1:$I$89,5,0)</f>
        <v>-9.6213170763803652E-14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206.5245935130306</v>
      </c>
      <c r="DU191" s="59">
        <f t="shared" si="152"/>
        <v>130.57011290898546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3.6603478069322954</v>
      </c>
      <c r="EB191" s="21">
        <f>EXP(-LN(2)/25)*EB190+(1-EXP(-LN(2)/25))/(LN(2)/25)*Calculateur!DW191*Calculateur!DY191*VLOOKUP('Données projet'!$B$14,Paramètres!$A$1:$I$89,3,0)*0.475*44/12</f>
        <v>2.7917717136697293</v>
      </c>
      <c r="EC191" s="21">
        <f>EXP(-LN(2)/2)*EC190+(1-EXP(-LN(2)/2))/(LN(2)/2)*DW191*DZ191*VLOOKUP('Données projet'!$B$14,Paramètres!$A$1:$I$89,3,0)*0.475*44/12</f>
        <v>1.6441910356990853E-9</v>
      </c>
      <c r="ED191" s="22">
        <f t="shared" si="178"/>
        <v>6.4521195222462167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1.7053025658242404E-13</v>
      </c>
      <c r="EK191" s="17">
        <f>EJ191*VLOOKUP('Données projet'!$B$15,Paramètres!$A$1:$I$89,3,0)*VLOOKUP('Données projet'!$B$15,Paramètres!$A$1:$I$89,5,0)</f>
        <v>7.9808160080574461E-14</v>
      </c>
      <c r="EL191" s="13">
        <f t="shared" si="179"/>
        <v>1.2308384591775343E-12</v>
      </c>
      <c r="EM191" s="20">
        <f t="shared" si="180"/>
        <v>2.282709528541206E-12</v>
      </c>
      <c r="EN191" s="59">
        <f t="shared" si="128"/>
        <v>289.91839713868251</v>
      </c>
      <c r="EO191" s="59">
        <f ca="1">AVERAGE(OFFSET($EN$3,0,0,'Données projet'!$E$15+1,1))-AVERAGE(OFFSET($H$3,0,0,'Données projet'!$E$15+1,1))</f>
        <v>374.38106339726073</v>
      </c>
      <c r="EP191" s="59">
        <f t="shared" si="154"/>
        <v>296.53283288925957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47.040294241757444</v>
      </c>
      <c r="EW191" s="21">
        <f>EXP(-LN(2)/25)*EW190+(1-EXP(-LN(2)/25))/(LN(2)/25)*Calculateur!ER191*Calculateur!ET191*VLOOKUP('Données projet'!$B$15,Paramètres!$A$1:$I$89,3,0)*0.475*44/12</f>
        <v>9.2475060244381311</v>
      </c>
      <c r="EX191" s="21">
        <f>EXP(-LN(2)/2)*EX190+(1-EXP(-LN(2)/2))/(LN(2)/2)*ER191*EU191*VLOOKUP('Données projet'!$B$15,Paramètres!$A$1:$I$89,3,0)*0.475*44/12</f>
        <v>8.5370163554031411E-8</v>
      </c>
      <c r="EY191" s="22">
        <f t="shared" si="181"/>
        <v>56.287800351565735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9">
        <f t="shared" si="109"/>
        <v>289.97763864702006</v>
      </c>
      <c r="S192" s="59">
        <f ca="1">AVERAGE(OFFSET($R$3,0,0,'Données projet'!$E$9+1,1))-AVERAGE(OFFSET($H$3,0,0,'Données projet'!$E$9+1,1))</f>
        <v>681.47578137804555</v>
      </c>
      <c r="T192" s="59">
        <f t="shared" si="142"/>
        <v>300.88511065995885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1.0818439477588981E-13</v>
      </c>
      <c r="AK192" s="13">
        <f t="shared" si="164"/>
        <v>1.6104228458716316E-12</v>
      </c>
      <c r="AL192" s="20">
        <f t="shared" si="165"/>
        <v>2.9932409441277661E-12</v>
      </c>
      <c r="AM192" s="59">
        <f t="shared" si="113"/>
        <v>289.97763864700687</v>
      </c>
      <c r="AN192" s="59">
        <f ca="1">AVERAGE(OFFSET($AM$3,0,0,'Données projet'!$E$10+1,1))-AVERAGE(OFFSET($H$3,0,0,'Données projet'!$E$10+1,1))</f>
        <v>423.80243030843661</v>
      </c>
      <c r="AO192" s="59">
        <f t="shared" si="144"/>
        <v>260.29028006191834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11.727999574701109</v>
      </c>
      <c r="AV192" s="21">
        <f>EXP(-LN(2)/25)*AV191+(1-EXP(-LN(2)/25))/(LN(2)/25)*Calculateur!AQ192*Calculateur!AS192*VLOOKUP('Données projet'!$B$10,Paramètres!$A$1:$I$89,3,0)*0.475*44/12</f>
        <v>6.8237828914705076</v>
      </c>
      <c r="AW192" s="21">
        <f>EXP(-LN(2)/2)*AW191+(1-EXP(-LN(2)/2))/(LN(2)/2)*AQ192*AT192*VLOOKUP('Données projet'!$B$10,Paramètres!$A$1:$I$89,3,0)*0.475*44/12</f>
        <v>2.669181794447191E-9</v>
      </c>
      <c r="AX192" s="21">
        <f t="shared" si="166"/>
        <v>18.551782468840798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-1.3596945791505279E-13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373.61861223558259</v>
      </c>
      <c r="BJ192" s="59">
        <f t="shared" si="146"/>
        <v>277.62293009761049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17.699319720025567</v>
      </c>
      <c r="BQ192" s="21">
        <f>EXP(-LN(2)/25)*BQ191+(1-EXP(-LN(2)/25))/(LN(2)/25)*Calculateur!BL192*Calculateur!BN192*VLOOKUP('Données projet'!$B$11,Paramètres!$A$1:$I$89,3,0)*0.475*44/12</f>
        <v>2.5198364040999226</v>
      </c>
      <c r="BR192" s="21">
        <f>EXP(-LN(2)/2)*BR191+(1-EXP(-LN(2)/2))/(LN(2)/2)*BL192*BO192*VLOOKUP('Données projet'!$B$11,Paramètres!$A$1:$I$89,3,0)*0.475*44/12</f>
        <v>2.7757916891403015E-15</v>
      </c>
      <c r="BS192" s="22">
        <f t="shared" si="169"/>
        <v>20.219156124125494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8.5265128291212022E-14</v>
      </c>
      <c r="BZ192" s="13">
        <f>BY192*VLOOKUP('Données projet'!$B$12,Paramètres!$A$1:$I$89,3,0)*VLOOKUP('Données projet'!$B$12,Paramètres!$A$1:$I$89,5,0)</f>
        <v>7.4487616075202836E-14</v>
      </c>
      <c r="CA192" s="13">
        <f t="shared" si="170"/>
        <v>1.1580453144473142E-12</v>
      </c>
      <c r="CB192" s="20">
        <f t="shared" si="171"/>
        <v>2.1466615206600508E-12</v>
      </c>
      <c r="CC192" s="59">
        <f t="shared" si="119"/>
        <v>289.97763864700602</v>
      </c>
      <c r="CD192" s="59">
        <f ca="1">AVERAGE(OFFSET($CC$3,0,0,'Données projet'!$E$12+1,1))-AVERAGE(OFFSET($H$3,0,0,'Données projet'!$E$12+1,1))</f>
        <v>251.30277097589737</v>
      </c>
      <c r="CE192" s="59">
        <f t="shared" si="148"/>
        <v>224.11983819941796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2.5529328612884812</v>
      </c>
      <c r="CL192" s="21">
        <f>EXP(-LN(2)/25)*CL191+(1-EXP(-LN(2)/25))/(LN(2)/25)*Calculateur!CG192*Calculateur!CI192*VLOOKUP('Données projet'!$B$12,Paramètres!$A$1:$I$89,3,0)*0.475*44/12</f>
        <v>3.2206913136323574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5.7736241749208386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2.8421709430404007E-14</v>
      </c>
      <c r="CU192" s="17">
        <f>CT192*VLOOKUP('Données projet'!$B$13,Paramètres!$A$1:$I$89,3,0)*VLOOKUP('Données projet'!$B$13,Paramètres!$A$1:$I$89,5,0)</f>
        <v>2.4829205358400945E-14</v>
      </c>
      <c r="CV192" s="13">
        <f t="shared" si="173"/>
        <v>4.3867331143352915E-13</v>
      </c>
      <c r="CW192" s="20">
        <f t="shared" si="174"/>
        <v>8.0726688341261168E-13</v>
      </c>
      <c r="CX192" s="59">
        <f t="shared" si="122"/>
        <v>289.97763864700465</v>
      </c>
      <c r="CY192" s="59">
        <f ca="1">AVERAGE(OFFSET($CX$3,0,0,'Données projet'!$E$13+1,1))-AVERAGE(OFFSET($H$3,0,0,'Données projet'!$E$13+1,1))</f>
        <v>287.28439432670405</v>
      </c>
      <c r="CZ192" s="59">
        <f t="shared" si="150"/>
        <v>276.01618888357268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3.8092448363324949</v>
      </c>
      <c r="DG192" s="21">
        <f>EXP(-LN(2)/25)*DG191+(1-EXP(-LN(2)/25))/(LN(2)/25)*Calculateur!DB192*Calculateur!DD192*VLOOKUP('Données projet'!$B$13,Paramètres!$A$1:$I$89,3,0)*0.475*44/12</f>
        <v>1.7772729992839158</v>
      </c>
      <c r="DH192" s="21">
        <f>EXP(-LN(2)/2)*DH191+(1-EXP(-LN(2)/2))/(LN(2)/2)*DB192*DE192*VLOOKUP('Données projet'!$B$13,Paramètres!$A$1:$I$89,3,0)*0.475*44/12</f>
        <v>1.7838778823490626E-15</v>
      </c>
      <c r="DI192" s="22">
        <f t="shared" si="175"/>
        <v>5.5865178356164122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-9.9475983006414026E-14</v>
      </c>
      <c r="DP192" s="17">
        <f>DO192*VLOOKUP('Données projet'!$B$14,Paramètres!$A$1:$I$89,3,0)*VLOOKUP('Données projet'!$B$14,Paramètres!$A$1:$I$89,5,0)</f>
        <v>-9.6213170763803652E-14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206.5245935130306</v>
      </c>
      <c r="DU192" s="59">
        <f t="shared" si="152"/>
        <v>130.57011290898546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3.5885706190300652</v>
      </c>
      <c r="EB192" s="21">
        <f>EXP(-LN(2)/25)*EB191+(1-EXP(-LN(2)/25))/(LN(2)/25)*Calculateur!DW192*Calculateur!DY192*VLOOKUP('Données projet'!$B$14,Paramètres!$A$1:$I$89,3,0)*0.475*44/12</f>
        <v>2.715430569346537</v>
      </c>
      <c r="EC192" s="21">
        <f>EXP(-LN(2)/2)*EC191+(1-EXP(-LN(2)/2))/(LN(2)/2)*DW192*DZ192*VLOOKUP('Données projet'!$B$14,Paramètres!$A$1:$I$89,3,0)*0.475*44/12</f>
        <v>1.1626186309089561E-9</v>
      </c>
      <c r="ED192" s="22">
        <f t="shared" si="178"/>
        <v>6.3040011895392212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1.7053025658242404E-13</v>
      </c>
      <c r="EK192" s="17">
        <f>EJ192*VLOOKUP('Données projet'!$B$15,Paramètres!$A$1:$I$89,3,0)*VLOOKUP('Données projet'!$B$15,Paramètres!$A$1:$I$89,5,0)</f>
        <v>7.9808160080574461E-14</v>
      </c>
      <c r="EL192" s="13">
        <f t="shared" si="179"/>
        <v>1.2308384591775343E-12</v>
      </c>
      <c r="EM192" s="20">
        <f t="shared" si="180"/>
        <v>2.282709528541206E-12</v>
      </c>
      <c r="EN192" s="59">
        <f t="shared" si="128"/>
        <v>289.97763864700613</v>
      </c>
      <c r="EO192" s="59">
        <f ca="1">AVERAGE(OFFSET($EN$3,0,0,'Données projet'!$E$15+1,1))-AVERAGE(OFFSET($H$3,0,0,'Données projet'!$E$15+1,1))</f>
        <v>374.38106339726073</v>
      </c>
      <c r="EP192" s="59">
        <f t="shared" si="154"/>
        <v>296.53283288925957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46.117862763422991</v>
      </c>
      <c r="EW192" s="21">
        <f>EXP(-LN(2)/25)*EW191+(1-EXP(-LN(2)/25))/(LN(2)/25)*Calculateur!ER192*Calculateur!ET192*VLOOKUP('Données projet'!$B$15,Paramètres!$A$1:$I$89,3,0)*0.475*44/12</f>
        <v>8.9946324858946642</v>
      </c>
      <c r="EX192" s="21">
        <f>EXP(-LN(2)/2)*EX191+(1-EXP(-LN(2)/2))/(LN(2)/2)*ER192*EU192*VLOOKUP('Données projet'!$B$15,Paramètres!$A$1:$I$89,3,0)*0.475*44/12</f>
        <v>6.0365821560060261E-8</v>
      </c>
      <c r="EY192" s="22">
        <f t="shared" si="181"/>
        <v>55.112495309683474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9">
        <f t="shared" si="109"/>
        <v>290.03585244761848</v>
      </c>
      <c r="S193" s="59">
        <f ca="1">AVERAGE(OFFSET($R$3,0,0,'Données projet'!$E$9+1,1))-AVERAGE(OFFSET($H$3,0,0,'Données projet'!$E$9+1,1))</f>
        <v>681.47578137804555</v>
      </c>
      <c r="T193" s="59">
        <f t="shared" si="142"/>
        <v>300.88511065995885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1.0818439477588981E-13</v>
      </c>
      <c r="AK193" s="13">
        <f t="shared" si="164"/>
        <v>1.6104228458716316E-12</v>
      </c>
      <c r="AL193" s="20">
        <f t="shared" si="165"/>
        <v>2.9932409441277661E-12</v>
      </c>
      <c r="AM193" s="59">
        <f t="shared" si="113"/>
        <v>290.03585244760529</v>
      </c>
      <c r="AN193" s="59">
        <f ca="1">AVERAGE(OFFSET($AM$3,0,0,'Données projet'!$E$10+1,1))-AVERAGE(OFFSET($H$3,0,0,'Données projet'!$E$10+1,1))</f>
        <v>423.80243030843661</v>
      </c>
      <c r="AO193" s="59">
        <f t="shared" si="144"/>
        <v>260.29028006191834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11.498020656414623</v>
      </c>
      <c r="AV193" s="21">
        <f>EXP(-LN(2)/25)*AV192+(1-EXP(-LN(2)/25))/(LN(2)/25)*Calculateur!AQ193*Calculateur!AS193*VLOOKUP('Données projet'!$B$10,Paramètres!$A$1:$I$89,3,0)*0.475*44/12</f>
        <v>6.6371861894561004</v>
      </c>
      <c r="AW193" s="21">
        <f>EXP(-LN(2)/2)*AW192+(1-EXP(-LN(2)/2))/(LN(2)/2)*AQ193*AT193*VLOOKUP('Données projet'!$B$10,Paramètres!$A$1:$I$89,3,0)*0.475*44/12</f>
        <v>1.8873965470732862E-9</v>
      </c>
      <c r="AX193" s="21">
        <f t="shared" si="166"/>
        <v>18.13520684775812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-1.3596945791505279E-13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373.61861223558259</v>
      </c>
      <c r="BJ193" s="59">
        <f t="shared" si="146"/>
        <v>277.62293009761049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17.352246855834927</v>
      </c>
      <c r="BQ193" s="21">
        <f>EXP(-LN(2)/25)*BQ192+(1-EXP(-LN(2)/25))/(LN(2)/25)*Calculateur!BL193*Calculateur!BN193*VLOOKUP('Données projet'!$B$11,Paramètres!$A$1:$I$89,3,0)*0.475*44/12</f>
        <v>2.4509313451173731</v>
      </c>
      <c r="BR193" s="21">
        <f>EXP(-LN(2)/2)*BR192+(1-EXP(-LN(2)/2))/(LN(2)/2)*BL193*BO193*VLOOKUP('Données projet'!$B$11,Paramètres!$A$1:$I$89,3,0)*0.475*44/12</f>
        <v>1.9627811265523683E-15</v>
      </c>
      <c r="BS193" s="22">
        <f t="shared" si="169"/>
        <v>19.803178200952303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8.5265128291212022E-14</v>
      </c>
      <c r="BZ193" s="13">
        <f>BY193*VLOOKUP('Données projet'!$B$12,Paramètres!$A$1:$I$89,3,0)*VLOOKUP('Données projet'!$B$12,Paramètres!$A$1:$I$89,5,0)</f>
        <v>7.4487616075202836E-14</v>
      </c>
      <c r="CA193" s="13">
        <f t="shared" si="170"/>
        <v>1.1580453144473142E-12</v>
      </c>
      <c r="CB193" s="20">
        <f t="shared" si="171"/>
        <v>2.1466615206600508E-12</v>
      </c>
      <c r="CC193" s="59">
        <f t="shared" si="119"/>
        <v>290.03585244760444</v>
      </c>
      <c r="CD193" s="59">
        <f ca="1">AVERAGE(OFFSET($CC$3,0,0,'Données projet'!$E$12+1,1))-AVERAGE(OFFSET($H$3,0,0,'Données projet'!$E$12+1,1))</f>
        <v>251.30277097589737</v>
      </c>
      <c r="CE193" s="59">
        <f t="shared" si="148"/>
        <v>224.11983819941796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2.5028714050139049</v>
      </c>
      <c r="CL193" s="21">
        <f>EXP(-LN(2)/25)*CL192+(1-EXP(-LN(2)/25))/(LN(2)/25)*Calculateur!CG193*Calculateur!CI193*VLOOKUP('Données projet'!$B$12,Paramètres!$A$1:$I$89,3,0)*0.475*44/12</f>
        <v>3.1326213402922853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5.6354927453061903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2.8421709430404007E-14</v>
      </c>
      <c r="CU193" s="17">
        <f>CT193*VLOOKUP('Données projet'!$B$13,Paramètres!$A$1:$I$89,3,0)*VLOOKUP('Données projet'!$B$13,Paramètres!$A$1:$I$89,5,0)</f>
        <v>2.4829205358400945E-14</v>
      </c>
      <c r="CV193" s="13">
        <f t="shared" si="173"/>
        <v>4.3867331143352915E-13</v>
      </c>
      <c r="CW193" s="20">
        <f t="shared" si="174"/>
        <v>8.0726688341261168E-13</v>
      </c>
      <c r="CX193" s="59">
        <f t="shared" si="122"/>
        <v>290.03585244760308</v>
      </c>
      <c r="CY193" s="59">
        <f ca="1">AVERAGE(OFFSET($CX$3,0,0,'Données projet'!$E$13+1,1))-AVERAGE(OFFSET($H$3,0,0,'Données projet'!$E$13+1,1))</f>
        <v>287.28439432670405</v>
      </c>
      <c r="CZ193" s="59">
        <f t="shared" si="150"/>
        <v>276.01618888357268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3.7345478685019473</v>
      </c>
      <c r="DG193" s="21">
        <f>EXP(-LN(2)/25)*DG192+(1-EXP(-LN(2)/25))/(LN(2)/25)*Calculateur!DB193*Calculateur!DD193*VLOOKUP('Données projet'!$B$13,Paramètres!$A$1:$I$89,3,0)*0.475*44/12</f>
        <v>1.7286733756557722</v>
      </c>
      <c r="DH193" s="21">
        <f>EXP(-LN(2)/2)*DH192+(1-EXP(-LN(2)/2))/(LN(2)/2)*DB193*DE193*VLOOKUP('Données projet'!$B$13,Paramètres!$A$1:$I$89,3,0)*0.475*44/12</f>
        <v>1.2613921474177204E-15</v>
      </c>
      <c r="DI193" s="22">
        <f t="shared" si="175"/>
        <v>5.4632212441577206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-9.9475983006414026E-14</v>
      </c>
      <c r="DP193" s="17">
        <f>DO193*VLOOKUP('Données projet'!$B$14,Paramètres!$A$1:$I$89,3,0)*VLOOKUP('Données projet'!$B$14,Paramètres!$A$1:$I$89,5,0)</f>
        <v>-9.6213170763803652E-14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206.5245935130306</v>
      </c>
      <c r="DU193" s="59">
        <f t="shared" si="152"/>
        <v>130.57011290898546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3.5182009380028361</v>
      </c>
      <c r="EB193" s="21">
        <f>EXP(-LN(2)/25)*EB192+(1-EXP(-LN(2)/25))/(LN(2)/25)*Calculateur!DW193*Calculateur!DY193*VLOOKUP('Données projet'!$B$14,Paramètres!$A$1:$I$89,3,0)*0.475*44/12</f>
        <v>2.6411769776294687</v>
      </c>
      <c r="EC193" s="21">
        <f>EXP(-LN(2)/2)*EC192+(1-EXP(-LN(2)/2))/(LN(2)/2)*DW193*DZ193*VLOOKUP('Données projet'!$B$14,Paramètres!$A$1:$I$89,3,0)*0.475*44/12</f>
        <v>8.2209551784954267E-10</v>
      </c>
      <c r="ED193" s="22">
        <f t="shared" si="178"/>
        <v>6.1593779164544005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1.7053025658242404E-13</v>
      </c>
      <c r="EK193" s="17">
        <f>EJ193*VLOOKUP('Données projet'!$B$15,Paramètres!$A$1:$I$89,3,0)*VLOOKUP('Données projet'!$B$15,Paramètres!$A$1:$I$89,5,0)</f>
        <v>7.9808160080574461E-14</v>
      </c>
      <c r="EL193" s="13">
        <f t="shared" si="179"/>
        <v>1.2308384591775343E-12</v>
      </c>
      <c r="EM193" s="20">
        <f t="shared" si="180"/>
        <v>2.282709528541206E-12</v>
      </c>
      <c r="EN193" s="59">
        <f t="shared" si="128"/>
        <v>290.03585244760455</v>
      </c>
      <c r="EO193" s="59">
        <f ca="1">AVERAGE(OFFSET($EN$3,0,0,'Données projet'!$E$15+1,1))-AVERAGE(OFFSET($H$3,0,0,'Données projet'!$E$15+1,1))</f>
        <v>374.38106339726073</v>
      </c>
      <c r="EP193" s="59">
        <f t="shared" si="154"/>
        <v>296.53283288925957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45.213519603751031</v>
      </c>
      <c r="EW193" s="21">
        <f>EXP(-LN(2)/25)*EW192+(1-EXP(-LN(2)/25))/(LN(2)/25)*Calculateur!ER193*Calculateur!ET193*VLOOKUP('Données projet'!$B$15,Paramètres!$A$1:$I$89,3,0)*0.475*44/12</f>
        <v>8.7486737875607101</v>
      </c>
      <c r="EX193" s="21">
        <f>EXP(-LN(2)/2)*EX192+(1-EXP(-LN(2)/2))/(LN(2)/2)*ER193*EU193*VLOOKUP('Données projet'!$B$15,Paramètres!$A$1:$I$89,3,0)*0.475*44/12</f>
        <v>4.2685081777015706E-8</v>
      </c>
      <c r="EY193" s="22">
        <f t="shared" si="181"/>
        <v>53.962193433996823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9">
        <f t="shared" si="109"/>
        <v>290.09305636892304</v>
      </c>
      <c r="S194" s="59">
        <f ca="1">AVERAGE(OFFSET($R$3,0,0,'Données projet'!$E$9+1,1))-AVERAGE(OFFSET($H$3,0,0,'Données projet'!$E$9+1,1))</f>
        <v>681.47578137804555</v>
      </c>
      <c r="T194" s="59">
        <f t="shared" si="142"/>
        <v>300.88511065995885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1.0818439477588981E-13</v>
      </c>
      <c r="AK194" s="13">
        <f t="shared" si="164"/>
        <v>1.6104228458716316E-12</v>
      </c>
      <c r="AL194" s="20">
        <f t="shared" si="165"/>
        <v>2.9932409441277661E-12</v>
      </c>
      <c r="AM194" s="59">
        <f t="shared" si="113"/>
        <v>290.09305636890986</v>
      </c>
      <c r="AN194" s="59">
        <f ca="1">AVERAGE(OFFSET($AM$3,0,0,'Données projet'!$E$10+1,1))-AVERAGE(OFFSET($H$3,0,0,'Données projet'!$E$10+1,1))</f>
        <v>423.80243030843661</v>
      </c>
      <c r="AO194" s="59">
        <f t="shared" si="144"/>
        <v>260.29028006191834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11.272551484442445</v>
      </c>
      <c r="AV194" s="21">
        <f>EXP(-LN(2)/25)*AV193+(1-EXP(-LN(2)/25))/(LN(2)/25)*Calculateur!AQ194*Calculateur!AS194*VLOOKUP('Données projet'!$B$10,Paramètres!$A$1:$I$89,3,0)*0.475*44/12</f>
        <v>6.4556919840709712</v>
      </c>
      <c r="AW194" s="21">
        <f>EXP(-LN(2)/2)*AW193+(1-EXP(-LN(2)/2))/(LN(2)/2)*AQ194*AT194*VLOOKUP('Données projet'!$B$10,Paramètres!$A$1:$I$89,3,0)*0.475*44/12</f>
        <v>1.3345908972235955E-9</v>
      </c>
      <c r="AX194" s="21">
        <f t="shared" si="166"/>
        <v>17.728243469848007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-1.3596945791505279E-13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373.61861223558259</v>
      </c>
      <c r="BJ194" s="59">
        <f t="shared" si="146"/>
        <v>277.62293009761049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17.01197987881752</v>
      </c>
      <c r="BQ194" s="21">
        <f>EXP(-LN(2)/25)*BQ193+(1-EXP(-LN(2)/25))/(LN(2)/25)*Calculateur!BL194*Calculateur!BN194*VLOOKUP('Données projet'!$B$11,Paramètres!$A$1:$I$89,3,0)*0.475*44/12</f>
        <v>2.3839104985962609</v>
      </c>
      <c r="BR194" s="21">
        <f>EXP(-LN(2)/2)*BR193+(1-EXP(-LN(2)/2))/(LN(2)/2)*BL194*BO194*VLOOKUP('Données projet'!$B$11,Paramètres!$A$1:$I$89,3,0)*0.475*44/12</f>
        <v>1.3878958445701508E-15</v>
      </c>
      <c r="BS194" s="22">
        <f t="shared" si="169"/>
        <v>19.395890377413782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8.5265128291212022E-14</v>
      </c>
      <c r="BZ194" s="13">
        <f>BY194*VLOOKUP('Données projet'!$B$12,Paramètres!$A$1:$I$89,3,0)*VLOOKUP('Données projet'!$B$12,Paramètres!$A$1:$I$89,5,0)</f>
        <v>7.4487616075202836E-14</v>
      </c>
      <c r="CA194" s="13">
        <f t="shared" si="170"/>
        <v>1.1580453144473142E-12</v>
      </c>
      <c r="CB194" s="20">
        <f t="shared" si="171"/>
        <v>2.1466615206600508E-12</v>
      </c>
      <c r="CC194" s="59">
        <f t="shared" si="119"/>
        <v>290.093056368909</v>
      </c>
      <c r="CD194" s="59">
        <f ca="1">AVERAGE(OFFSET($CC$3,0,0,'Données projet'!$E$12+1,1))-AVERAGE(OFFSET($H$3,0,0,'Données projet'!$E$12+1,1))</f>
        <v>251.30277097589737</v>
      </c>
      <c r="CE194" s="59">
        <f t="shared" si="148"/>
        <v>224.11983819941796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2.4537916233624002</v>
      </c>
      <c r="CL194" s="21">
        <f>EXP(-LN(2)/25)*CL193+(1-EXP(-LN(2)/25))/(LN(2)/25)*Calculateur!CG194*Calculateur!CI194*VLOOKUP('Données projet'!$B$12,Paramètres!$A$1:$I$89,3,0)*0.475*44/12</f>
        <v>3.0469596450045962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5.5007512683669963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2.8421709430404007E-14</v>
      </c>
      <c r="CU194" s="17">
        <f>CT194*VLOOKUP('Données projet'!$B$13,Paramètres!$A$1:$I$89,3,0)*VLOOKUP('Données projet'!$B$13,Paramètres!$A$1:$I$89,5,0)</f>
        <v>2.4829205358400945E-14</v>
      </c>
      <c r="CV194" s="13">
        <f t="shared" si="173"/>
        <v>4.3867331143352915E-13</v>
      </c>
      <c r="CW194" s="20">
        <f t="shared" si="174"/>
        <v>8.0726688341261168E-13</v>
      </c>
      <c r="CX194" s="59">
        <f t="shared" si="122"/>
        <v>290.09305636890764</v>
      </c>
      <c r="CY194" s="59">
        <f ca="1">AVERAGE(OFFSET($CX$3,0,0,'Données projet'!$E$13+1,1))-AVERAGE(OFFSET($H$3,0,0,'Données projet'!$E$13+1,1))</f>
        <v>287.28439432670405</v>
      </c>
      <c r="CZ194" s="59">
        <f t="shared" si="150"/>
        <v>276.01618888357268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3.6613156626499048</v>
      </c>
      <c r="DG194" s="21">
        <f>EXP(-LN(2)/25)*DG193+(1-EXP(-LN(2)/25))/(LN(2)/25)*Calculateur!DB194*Calculateur!DD194*VLOOKUP('Données projet'!$B$13,Paramètres!$A$1:$I$89,3,0)*0.475*44/12</f>
        <v>1.6814027112914831</v>
      </c>
      <c r="DH194" s="21">
        <f>EXP(-LN(2)/2)*DH193+(1-EXP(-LN(2)/2))/(LN(2)/2)*DB194*DE194*VLOOKUP('Données projet'!$B$13,Paramètres!$A$1:$I$89,3,0)*0.475*44/12</f>
        <v>8.919389411745313E-16</v>
      </c>
      <c r="DI194" s="22">
        <f t="shared" si="175"/>
        <v>5.3427183739413886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-9.9475983006414026E-14</v>
      </c>
      <c r="DP194" s="17">
        <f>DO194*VLOOKUP('Données projet'!$B$14,Paramètres!$A$1:$I$89,3,0)*VLOOKUP('Données projet'!$B$14,Paramètres!$A$1:$I$89,5,0)</f>
        <v>-9.6213170763803652E-14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206.5245935130306</v>
      </c>
      <c r="DU194" s="59">
        <f t="shared" si="152"/>
        <v>130.57011290898546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3.4492111634992835</v>
      </c>
      <c r="EB194" s="21">
        <f>EXP(-LN(2)/25)*EB193+(1-EXP(-LN(2)/25))/(LN(2)/25)*Calculateur!DW194*Calculateur!DY194*VLOOKUP('Données projet'!$B$14,Paramètres!$A$1:$I$89,3,0)*0.475*44/12</f>
        <v>2.5689538542827299</v>
      </c>
      <c r="EC194" s="21">
        <f>EXP(-LN(2)/2)*EC193+(1-EXP(-LN(2)/2))/(LN(2)/2)*DW194*DZ194*VLOOKUP('Données projet'!$B$14,Paramètres!$A$1:$I$89,3,0)*0.475*44/12</f>
        <v>5.8130931545447803E-10</v>
      </c>
      <c r="ED194" s="22">
        <f t="shared" si="178"/>
        <v>6.0181650183633231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1.7053025658242404E-13</v>
      </c>
      <c r="EK194" s="17">
        <f>EJ194*VLOOKUP('Données projet'!$B$15,Paramètres!$A$1:$I$89,3,0)*VLOOKUP('Données projet'!$B$15,Paramètres!$A$1:$I$89,5,0)</f>
        <v>7.9808160080574461E-14</v>
      </c>
      <c r="EL194" s="13">
        <f t="shared" si="179"/>
        <v>1.2308384591775343E-12</v>
      </c>
      <c r="EM194" s="20">
        <f t="shared" si="180"/>
        <v>2.282709528541206E-12</v>
      </c>
      <c r="EN194" s="59">
        <f t="shared" si="128"/>
        <v>290.09305636890912</v>
      </c>
      <c r="EO194" s="59">
        <f ca="1">AVERAGE(OFFSET($EN$3,0,0,'Données projet'!$E$15+1,1))-AVERAGE(OFFSET($H$3,0,0,'Données projet'!$E$15+1,1))</f>
        <v>374.38106339726073</v>
      </c>
      <c r="EP194" s="59">
        <f t="shared" si="154"/>
        <v>296.53283288925957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44.326910061845375</v>
      </c>
      <c r="EW194" s="21">
        <f>EXP(-LN(2)/25)*EW193+(1-EXP(-LN(2)/25))/(LN(2)/25)*Calculateur!ER194*Calculateur!ET194*VLOOKUP('Données projet'!$B$15,Paramètres!$A$1:$I$89,3,0)*0.475*44/12</f>
        <v>8.5094408427671038</v>
      </c>
      <c r="EX194" s="21">
        <f>EXP(-LN(2)/2)*EX193+(1-EXP(-LN(2)/2))/(LN(2)/2)*ER194*EU194*VLOOKUP('Données projet'!$B$15,Paramètres!$A$1:$I$89,3,0)*0.475*44/12</f>
        <v>3.0182910780030131E-8</v>
      </c>
      <c r="EY194" s="22">
        <f t="shared" si="181"/>
        <v>52.836350934795391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9">
        <f t="shared" ref="R195:R203" si="191">Q195+(I195+J195)*44/12</f>
        <v>290.14926793008186</v>
      </c>
      <c r="S195" s="59">
        <f ca="1">AVERAGE(OFFSET($R$3,0,0,'Données projet'!$E$9+1,1))-AVERAGE(OFFSET($H$3,0,0,'Données projet'!$E$9+1,1))</f>
        <v>681.47578137804555</v>
      </c>
      <c r="T195" s="59">
        <f t="shared" si="142"/>
        <v>300.88511065995885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1.0818439477588981E-13</v>
      </c>
      <c r="AK195" s="13">
        <f t="shared" si="164"/>
        <v>1.6104228458716316E-12</v>
      </c>
      <c r="AL195" s="20">
        <f t="shared" si="165"/>
        <v>2.9932409441277661E-12</v>
      </c>
      <c r="AM195" s="59">
        <f t="shared" si="113"/>
        <v>290.14926793006867</v>
      </c>
      <c r="AN195" s="59">
        <f ca="1">AVERAGE(OFFSET($AM$3,0,0,'Données projet'!$E$10+1,1))-AVERAGE(OFFSET($H$3,0,0,'Données projet'!$E$10+1,1))</f>
        <v>423.80243030843661</v>
      </c>
      <c r="AO195" s="59">
        <f t="shared" si="144"/>
        <v>260.29028006191834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11.051503625410028</v>
      </c>
      <c r="AV195" s="21">
        <f>EXP(-LN(2)/25)*AV194+(1-EXP(-LN(2)/25))/(LN(2)/25)*Calculateur!AQ195*Calculateur!AS195*VLOOKUP('Données projet'!$B$10,Paramètres!$A$1:$I$89,3,0)*0.475*44/12</f>
        <v>6.2791607472764639</v>
      </c>
      <c r="AW195" s="21">
        <f>EXP(-LN(2)/2)*AW194+(1-EXP(-LN(2)/2))/(LN(2)/2)*AQ195*AT195*VLOOKUP('Données projet'!$B$10,Paramètres!$A$1:$I$89,3,0)*0.475*44/12</f>
        <v>9.4369827353664308E-10</v>
      </c>
      <c r="AX195" s="21">
        <f t="shared" si="166"/>
        <v>17.330664373630189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-1.3596945791505279E-13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373.61861223558259</v>
      </c>
      <c r="BJ195" s="59">
        <f t="shared" si="146"/>
        <v>277.62293009761049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16.678385329677063</v>
      </c>
      <c r="BQ195" s="21">
        <f>EXP(-LN(2)/25)*BQ194+(1-EXP(-LN(2)/25))/(LN(2)/25)*Calculateur!BL195*Calculateur!BN195*VLOOKUP('Données projet'!$B$11,Paramètres!$A$1:$I$89,3,0)*0.475*44/12</f>
        <v>2.3187223406477417</v>
      </c>
      <c r="BR195" s="21">
        <f>EXP(-LN(2)/2)*BR194+(1-EXP(-LN(2)/2))/(LN(2)/2)*BL195*BO195*VLOOKUP('Données projet'!$B$11,Paramètres!$A$1:$I$89,3,0)*0.475*44/12</f>
        <v>9.8139056327618416E-16</v>
      </c>
      <c r="BS195" s="22">
        <f t="shared" si="169"/>
        <v>18.997107670324805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8.5265128291212022E-14</v>
      </c>
      <c r="BZ195" s="13">
        <f>BY195*VLOOKUP('Données projet'!$B$12,Paramètres!$A$1:$I$89,3,0)*VLOOKUP('Données projet'!$B$12,Paramètres!$A$1:$I$89,5,0)</f>
        <v>7.4487616075202836E-14</v>
      </c>
      <c r="CA195" s="13">
        <f t="shared" si="170"/>
        <v>1.1580453144473142E-12</v>
      </c>
      <c r="CB195" s="20">
        <f t="shared" si="171"/>
        <v>2.1466615206600508E-12</v>
      </c>
      <c r="CC195" s="59">
        <f t="shared" si="119"/>
        <v>290.14926793006782</v>
      </c>
      <c r="CD195" s="59">
        <f ca="1">AVERAGE(OFFSET($CC$3,0,0,'Données projet'!$E$12+1,1))-AVERAGE(OFFSET($H$3,0,0,'Données projet'!$E$12+1,1))</f>
        <v>251.30277097589737</v>
      </c>
      <c r="CE195" s="59">
        <f t="shared" si="148"/>
        <v>224.11983819941796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2.4056742662933703</v>
      </c>
      <c r="CL195" s="21">
        <f>EXP(-LN(2)/25)*CL194+(1-EXP(-LN(2)/25))/(LN(2)/25)*Calculateur!CG195*Calculateur!CI195*VLOOKUP('Données projet'!$B$12,Paramètres!$A$1:$I$89,3,0)*0.475*44/12</f>
        <v>2.9636403732793015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5.3693146395726714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2.8421709430404007E-14</v>
      </c>
      <c r="CU195" s="17">
        <f>CT195*VLOOKUP('Données projet'!$B$13,Paramètres!$A$1:$I$89,3,0)*VLOOKUP('Données projet'!$B$13,Paramètres!$A$1:$I$89,5,0)</f>
        <v>2.4829205358400945E-14</v>
      </c>
      <c r="CV195" s="13">
        <f t="shared" si="173"/>
        <v>4.3867331143352915E-13</v>
      </c>
      <c r="CW195" s="20">
        <f t="shared" si="174"/>
        <v>8.0726688341261168E-13</v>
      </c>
      <c r="CX195" s="59">
        <f t="shared" si="122"/>
        <v>290.14926793006646</v>
      </c>
      <c r="CY195" s="59">
        <f ca="1">AVERAGE(OFFSET($CX$3,0,0,'Données projet'!$E$13+1,1))-AVERAGE(OFFSET($H$3,0,0,'Données projet'!$E$13+1,1))</f>
        <v>287.28439432670405</v>
      </c>
      <c r="CZ195" s="59">
        <f t="shared" si="150"/>
        <v>276.01618888357268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3.5895194956873859</v>
      </c>
      <c r="DG195" s="21">
        <f>EXP(-LN(2)/25)*DG194+(1-EXP(-LN(2)/25))/(LN(2)/25)*Calculateur!DB195*Calculateur!DD195*VLOOKUP('Données projet'!$B$13,Paramètres!$A$1:$I$89,3,0)*0.475*44/12</f>
        <v>1.6354246657300917</v>
      </c>
      <c r="DH195" s="21">
        <f>EXP(-LN(2)/2)*DH194+(1-EXP(-LN(2)/2))/(LN(2)/2)*DB195*DE195*VLOOKUP('Données projet'!$B$13,Paramètres!$A$1:$I$89,3,0)*0.475*44/12</f>
        <v>6.306960737088602E-16</v>
      </c>
      <c r="DI195" s="22">
        <f t="shared" si="175"/>
        <v>5.2249441614174783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-9.9475983006414026E-14</v>
      </c>
      <c r="DP195" s="17">
        <f>DO195*VLOOKUP('Données projet'!$B$14,Paramètres!$A$1:$I$89,3,0)*VLOOKUP('Données projet'!$B$14,Paramètres!$A$1:$I$89,5,0)</f>
        <v>-9.6213170763803652E-14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206.5245935130306</v>
      </c>
      <c r="DU195" s="59">
        <f t="shared" si="152"/>
        <v>130.57011290898546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3.3815742363941381</v>
      </c>
      <c r="EB195" s="21">
        <f>EXP(-LN(2)/25)*EB194+(1-EXP(-LN(2)/25))/(LN(2)/25)*Calculateur!DW195*Calculateur!DY195*VLOOKUP('Données projet'!$B$14,Paramètres!$A$1:$I$89,3,0)*0.475*44/12</f>
        <v>2.4987056760419568</v>
      </c>
      <c r="EC195" s="21">
        <f>EXP(-LN(2)/2)*EC194+(1-EXP(-LN(2)/2))/(LN(2)/2)*DW195*DZ195*VLOOKUP('Données projet'!$B$14,Paramètres!$A$1:$I$89,3,0)*0.475*44/12</f>
        <v>4.1104775892477133E-10</v>
      </c>
      <c r="ED195" s="22">
        <f t="shared" si="178"/>
        <v>5.8802799128471426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1.7053025658242404E-13</v>
      </c>
      <c r="EK195" s="17">
        <f>EJ195*VLOOKUP('Données projet'!$B$15,Paramètres!$A$1:$I$89,3,0)*VLOOKUP('Données projet'!$B$15,Paramètres!$A$1:$I$89,5,0)</f>
        <v>7.9808160080574461E-14</v>
      </c>
      <c r="EL195" s="13">
        <f t="shared" si="179"/>
        <v>1.2308384591775343E-12</v>
      </c>
      <c r="EM195" s="20">
        <f t="shared" si="180"/>
        <v>2.282709528541206E-12</v>
      </c>
      <c r="EN195" s="59">
        <f t="shared" si="128"/>
        <v>290.14926793006794</v>
      </c>
      <c r="EO195" s="59">
        <f ca="1">AVERAGE(OFFSET($EN$3,0,0,'Données projet'!$E$15+1,1))-AVERAGE(OFFSET($H$3,0,0,'Données projet'!$E$15+1,1))</f>
        <v>374.38106339726073</v>
      </c>
      <c r="EP195" s="59">
        <f t="shared" si="154"/>
        <v>296.53283288925957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43.45768639227807</v>
      </c>
      <c r="EW195" s="21">
        <f>EXP(-LN(2)/25)*EW194+(1-EXP(-LN(2)/25))/(LN(2)/25)*Calculateur!ER195*Calculateur!ET195*VLOOKUP('Données projet'!$B$15,Paramètres!$A$1:$I$89,3,0)*0.475*44/12</f>
        <v>8.2767497354295916</v>
      </c>
      <c r="EX195" s="21">
        <f>EXP(-LN(2)/2)*EX194+(1-EXP(-LN(2)/2))/(LN(2)/2)*ER195*EU195*VLOOKUP('Données projet'!$B$15,Paramètres!$A$1:$I$89,3,0)*0.475*44/12</f>
        <v>2.1342540888507853E-8</v>
      </c>
      <c r="EY195" s="22">
        <f t="shared" si="181"/>
        <v>51.734436149050204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9">
        <f t="shared" si="191"/>
        <v>290.20450434632471</v>
      </c>
      <c r="S196" s="59">
        <f ca="1">AVERAGE(OFFSET($R$3,0,0,'Données projet'!$E$9+1,1))-AVERAGE(OFFSET($H$3,0,0,'Données projet'!$E$9+1,1))</f>
        <v>681.47578137804555</v>
      </c>
      <c r="T196" s="59">
        <f t="shared" si="142"/>
        <v>300.88511065995885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1.0818439477588981E-13</v>
      </c>
      <c r="AK196" s="13">
        <f t="shared" si="164"/>
        <v>1.6104228458716316E-12</v>
      </c>
      <c r="AL196" s="20">
        <f t="shared" si="165"/>
        <v>2.9932409441277661E-12</v>
      </c>
      <c r="AM196" s="59">
        <f t="shared" ref="AM196:AM203" si="193">AL196+(AD196+AE196)*44/12</f>
        <v>290.20450434631152</v>
      </c>
      <c r="AN196" s="59">
        <f ca="1">AVERAGE(OFFSET($AM$3,0,0,'Données projet'!$E$10+1,1))-AVERAGE(OFFSET($H$3,0,0,'Données projet'!$E$10+1,1))</f>
        <v>423.80243030843661</v>
      </c>
      <c r="AO196" s="59">
        <f t="shared" si="144"/>
        <v>260.29028006191834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10.834790380067355</v>
      </c>
      <c r="AV196" s="21">
        <f>EXP(-LN(2)/25)*AV195+(1-EXP(-LN(2)/25))/(LN(2)/25)*Calculateur!AQ196*Calculateur!AS196*VLOOKUP('Données projet'!$B$10,Paramètres!$A$1:$I$89,3,0)*0.475*44/12</f>
        <v>6.1074567664354769</v>
      </c>
      <c r="AW196" s="21">
        <f>EXP(-LN(2)/2)*AW195+(1-EXP(-LN(2)/2))/(LN(2)/2)*AQ196*AT196*VLOOKUP('Données projet'!$B$10,Paramètres!$A$1:$I$89,3,0)*0.475*44/12</f>
        <v>6.6729544861179774E-10</v>
      </c>
      <c r="AX196" s="21">
        <f t="shared" si="166"/>
        <v>16.942247147170129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-1.3596945791505279E-13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373.61861223558259</v>
      </c>
      <c r="BJ196" s="59">
        <f t="shared" si="146"/>
        <v>277.62293009761049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16.351332366172667</v>
      </c>
      <c r="BQ196" s="21">
        <f>EXP(-LN(2)/25)*BQ195+(1-EXP(-LN(2)/25))/(LN(2)/25)*Calculateur!BL196*Calculateur!BN196*VLOOKUP('Données projet'!$B$11,Paramètres!$A$1:$I$89,3,0)*0.475*44/12</f>
        <v>2.2553167563064207</v>
      </c>
      <c r="BR196" s="21">
        <f>EXP(-LN(2)/2)*BR195+(1-EXP(-LN(2)/2))/(LN(2)/2)*BL196*BO196*VLOOKUP('Données projet'!$B$11,Paramètres!$A$1:$I$89,3,0)*0.475*44/12</f>
        <v>6.9394792228507538E-16</v>
      </c>
      <c r="BS196" s="22">
        <f t="shared" si="169"/>
        <v>18.606649122479087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8.5265128291212022E-14</v>
      </c>
      <c r="BZ196" s="13">
        <f>BY196*VLOOKUP('Données projet'!$B$12,Paramètres!$A$1:$I$89,3,0)*VLOOKUP('Données projet'!$B$12,Paramètres!$A$1:$I$89,5,0)</f>
        <v>7.4487616075202836E-14</v>
      </c>
      <c r="CA196" s="13">
        <f t="shared" si="170"/>
        <v>1.1580453144473142E-12</v>
      </c>
      <c r="CB196" s="20">
        <f t="shared" si="171"/>
        <v>2.1466615206600508E-12</v>
      </c>
      <c r="CC196" s="59">
        <f t="shared" ref="CC196:CC203" si="195">CB196+(BT196+BU196)*44/12</f>
        <v>290.20450434631067</v>
      </c>
      <c r="CD196" s="59">
        <f ca="1">AVERAGE(OFFSET($CC$3,0,0,'Données projet'!$E$12+1,1))-AVERAGE(OFFSET($H$3,0,0,'Données projet'!$E$12+1,1))</f>
        <v>251.30277097589737</v>
      </c>
      <c r="CE196" s="59">
        <f t="shared" si="148"/>
        <v>224.11983819941796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2.3585004612477745</v>
      </c>
      <c r="CL196" s="21">
        <f>EXP(-LN(2)/25)*CL195+(1-EXP(-LN(2)/25))/(LN(2)/25)*Calculateur!CG196*Calculateur!CI196*VLOOKUP('Données projet'!$B$12,Paramètres!$A$1:$I$89,3,0)*0.475*44/12</f>
        <v>2.8825994714209053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5.2410999326686802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2.8421709430404007E-14</v>
      </c>
      <c r="CU196" s="17">
        <f>CT196*VLOOKUP('Données projet'!$B$13,Paramètres!$A$1:$I$89,3,0)*VLOOKUP('Données projet'!$B$13,Paramètres!$A$1:$I$89,5,0)</f>
        <v>2.4829205358400945E-14</v>
      </c>
      <c r="CV196" s="13">
        <f t="shared" si="173"/>
        <v>4.3867331143352915E-13</v>
      </c>
      <c r="CW196" s="20">
        <f t="shared" si="174"/>
        <v>8.0726688341261168E-13</v>
      </c>
      <c r="CX196" s="59">
        <f t="shared" ref="CX196:CX203" si="196">CW196+(CO196+CP196)*44/12</f>
        <v>290.20450434630931</v>
      </c>
      <c r="CY196" s="59">
        <f ca="1">AVERAGE(OFFSET($CX$3,0,0,'Données projet'!$E$13+1,1))-AVERAGE(OFFSET($H$3,0,0,'Données projet'!$E$13+1,1))</f>
        <v>287.28439432670405</v>
      </c>
      <c r="CZ196" s="59">
        <f t="shared" si="150"/>
        <v>276.01618888357268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3.5191312077676642</v>
      </c>
      <c r="DG196" s="21">
        <f>EXP(-LN(2)/25)*DG195+(1-EXP(-LN(2)/25))/(LN(2)/25)*Calculateur!DB196*Calculateur!DD196*VLOOKUP('Données projet'!$B$13,Paramètres!$A$1:$I$89,3,0)*0.475*44/12</f>
        <v>1.590703892242457</v>
      </c>
      <c r="DH196" s="21">
        <f>EXP(-LN(2)/2)*DH195+(1-EXP(-LN(2)/2))/(LN(2)/2)*DB196*DE196*VLOOKUP('Données projet'!$B$13,Paramètres!$A$1:$I$89,3,0)*0.475*44/12</f>
        <v>4.4596947058726565E-16</v>
      </c>
      <c r="DI196" s="22">
        <f t="shared" si="175"/>
        <v>5.1098351000101223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-9.9475983006414026E-14</v>
      </c>
      <c r="DP196" s="17">
        <f>DO196*VLOOKUP('Données projet'!$B$14,Paramètres!$A$1:$I$89,3,0)*VLOOKUP('Données projet'!$B$14,Paramètres!$A$1:$I$89,5,0)</f>
        <v>-9.6213170763803652E-14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206.5245935130306</v>
      </c>
      <c r="DU196" s="59">
        <f t="shared" si="152"/>
        <v>130.57011290898546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3.3152636281750727</v>
      </c>
      <c r="EB196" s="21">
        <f>EXP(-LN(2)/25)*EB195+(1-EXP(-LN(2)/25))/(LN(2)/25)*Calculateur!DW196*Calculateur!DY196*VLOOKUP('Données projet'!$B$14,Paramètres!$A$1:$I$89,3,0)*0.475*44/12</f>
        <v>2.4303784379293689</v>
      </c>
      <c r="EC196" s="21">
        <f>EXP(-LN(2)/2)*EC195+(1-EXP(-LN(2)/2))/(LN(2)/2)*DW196*DZ196*VLOOKUP('Données projet'!$B$14,Paramètres!$A$1:$I$89,3,0)*0.475*44/12</f>
        <v>2.9065465772723902E-10</v>
      </c>
      <c r="ED196" s="22">
        <f t="shared" si="178"/>
        <v>5.7456420663950958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1.7053025658242404E-13</v>
      </c>
      <c r="EK196" s="17">
        <f>EJ196*VLOOKUP('Données projet'!$B$15,Paramètres!$A$1:$I$89,3,0)*VLOOKUP('Données projet'!$B$15,Paramètres!$A$1:$I$89,5,0)</f>
        <v>7.9808160080574461E-14</v>
      </c>
      <c r="EL196" s="13">
        <f t="shared" si="179"/>
        <v>1.2308384591775343E-12</v>
      </c>
      <c r="EM196" s="20">
        <f t="shared" si="180"/>
        <v>2.282709528541206E-12</v>
      </c>
      <c r="EN196" s="59">
        <f t="shared" ref="EN196:EN203" si="198">EM196+(EE196+EF196)*44/12</f>
        <v>290.20450434631078</v>
      </c>
      <c r="EO196" s="59">
        <f ca="1">AVERAGE(OFFSET($EN$3,0,0,'Données projet'!$E$15+1,1))-AVERAGE(OFFSET($H$3,0,0,'Données projet'!$E$15+1,1))</f>
        <v>374.38106339726073</v>
      </c>
      <c r="EP196" s="59">
        <f t="shared" si="154"/>
        <v>296.53283288925957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42.605507668696887</v>
      </c>
      <c r="EW196" s="21">
        <f>EXP(-LN(2)/25)*EW195+(1-EXP(-LN(2)/25))/(LN(2)/25)*Calculateur!ER196*Calculateur!ET196*VLOOKUP('Données projet'!$B$15,Paramètres!$A$1:$I$89,3,0)*0.475*44/12</f>
        <v>8.0504215786589182</v>
      </c>
      <c r="EX196" s="21">
        <f>EXP(-LN(2)/2)*EX195+(1-EXP(-LN(2)/2))/(LN(2)/2)*ER196*EU196*VLOOKUP('Données projet'!$B$15,Paramètres!$A$1:$I$89,3,0)*0.475*44/12</f>
        <v>1.5091455390015065E-8</v>
      </c>
      <c r="EY196" s="22">
        <f t="shared" si="181"/>
        <v>50.655929262447266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9">
        <f t="shared" si="191"/>
        <v>290.25878253423593</v>
      </c>
      <c r="S197" s="59">
        <f ca="1">AVERAGE(OFFSET($R$3,0,0,'Données projet'!$E$9+1,1))-AVERAGE(OFFSET($H$3,0,0,'Données projet'!$E$9+1,1))</f>
        <v>681.47578137804555</v>
      </c>
      <c r="T197" s="59">
        <f t="shared" ref="T197:T203" si="204">$T$3</f>
        <v>300.88511065995885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1.0818439477588981E-13</v>
      </c>
      <c r="AK197" s="13">
        <f t="shared" si="164"/>
        <v>1.6104228458716316E-12</v>
      </c>
      <c r="AL197" s="20">
        <f t="shared" si="165"/>
        <v>2.9932409441277661E-12</v>
      </c>
      <c r="AM197" s="59">
        <f t="shared" si="193"/>
        <v>290.25878253422275</v>
      </c>
      <c r="AN197" s="59">
        <f ca="1">AVERAGE(OFFSET($AM$3,0,0,'Données projet'!$E$10+1,1))-AVERAGE(OFFSET($H$3,0,0,'Données projet'!$E$10+1,1))</f>
        <v>423.80243030843661</v>
      </c>
      <c r="AO197" s="59">
        <f t="shared" ref="AO197:AO203" si="205">$AO$3</f>
        <v>260.29028006191834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10.622326749283824</v>
      </c>
      <c r="AV197" s="21">
        <f>EXP(-LN(2)/25)*AV196+(1-EXP(-LN(2)/25))/(LN(2)/25)*Calculateur!AQ197*Calculateur!AS197*VLOOKUP('Données projet'!$B$10,Paramètres!$A$1:$I$89,3,0)*0.475*44/12</f>
        <v>5.9404480399801063</v>
      </c>
      <c r="AW197" s="21">
        <f>EXP(-LN(2)/2)*AW196+(1-EXP(-LN(2)/2))/(LN(2)/2)*AQ197*AT197*VLOOKUP('Données projet'!$B$10,Paramètres!$A$1:$I$89,3,0)*0.475*44/12</f>
        <v>4.7184913676832154E-10</v>
      </c>
      <c r="AX197" s="21">
        <f t="shared" si="166"/>
        <v>16.56277478973578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-1.3596945791505279E-13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373.61861223558259</v>
      </c>
      <c r="BJ197" s="59">
        <f t="shared" ref="BJ197:BJ203" si="206">$BJ$3</f>
        <v>277.62293009761049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16.030692711799979</v>
      </c>
      <c r="BQ197" s="21">
        <f>EXP(-LN(2)/25)*BQ196+(1-EXP(-LN(2)/25))/(LN(2)/25)*Calculateur!BL197*Calculateur!BN197*VLOOKUP('Données projet'!$B$11,Paramètres!$A$1:$I$89,3,0)*0.475*44/12</f>
        <v>2.1936450010032682</v>
      </c>
      <c r="BR197" s="21">
        <f>EXP(-LN(2)/2)*BR196+(1-EXP(-LN(2)/2))/(LN(2)/2)*BL197*BO197*VLOOKUP('Données projet'!$B$11,Paramètres!$A$1:$I$89,3,0)*0.475*44/12</f>
        <v>4.9069528163809208E-16</v>
      </c>
      <c r="BS197" s="22">
        <f t="shared" si="169"/>
        <v>18.224337712803248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8.5265128291212022E-14</v>
      </c>
      <c r="BZ197" s="13">
        <f>BY197*VLOOKUP('Données projet'!$B$12,Paramètres!$A$1:$I$89,3,0)*VLOOKUP('Données projet'!$B$12,Paramètres!$A$1:$I$89,5,0)</f>
        <v>7.4487616075202836E-14</v>
      </c>
      <c r="CA197" s="13">
        <f t="shared" si="170"/>
        <v>1.1580453144473142E-12</v>
      </c>
      <c r="CB197" s="20">
        <f t="shared" si="171"/>
        <v>2.1466615206600508E-12</v>
      </c>
      <c r="CC197" s="59">
        <f t="shared" si="195"/>
        <v>290.25878253422189</v>
      </c>
      <c r="CD197" s="59">
        <f ca="1">AVERAGE(OFFSET($CC$3,0,0,'Données projet'!$E$12+1,1))-AVERAGE(OFFSET($H$3,0,0,'Données projet'!$E$12+1,1))</f>
        <v>251.30277097589737</v>
      </c>
      <c r="CE197" s="59">
        <f t="shared" ref="CE197:CE203" si="207">$CE$3</f>
        <v>224.11983819941796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2.3122517057459424</v>
      </c>
      <c r="CL197" s="21">
        <f>EXP(-LN(2)/25)*CL196+(1-EXP(-LN(2)/25))/(LN(2)/25)*Calculateur!CG197*Calculateur!CI197*VLOOKUP('Données projet'!$B$12,Paramètres!$A$1:$I$89,3,0)*0.475*44/12</f>
        <v>2.8037746372855827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5.1160263430315247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2.8421709430404007E-14</v>
      </c>
      <c r="CU197" s="17">
        <f>CT197*VLOOKUP('Données projet'!$B$13,Paramètres!$A$1:$I$89,3,0)*VLOOKUP('Données projet'!$B$13,Paramètres!$A$1:$I$89,5,0)</f>
        <v>2.4829205358400945E-14</v>
      </c>
      <c r="CV197" s="13">
        <f t="shared" si="173"/>
        <v>4.3867331143352915E-13</v>
      </c>
      <c r="CW197" s="20">
        <f t="shared" si="174"/>
        <v>8.0726688341261168E-13</v>
      </c>
      <c r="CX197" s="59">
        <f t="shared" si="196"/>
        <v>290.25878253422053</v>
      </c>
      <c r="CY197" s="59">
        <f ca="1">AVERAGE(OFFSET($CX$3,0,0,'Données projet'!$E$13+1,1))-AVERAGE(OFFSET($H$3,0,0,'Données projet'!$E$13+1,1))</f>
        <v>287.28439432670405</v>
      </c>
      <c r="CZ197" s="59">
        <f t="shared" ref="CZ197:CZ203" si="208">$CZ$3</f>
        <v>276.01618888357268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3.4501231912414321</v>
      </c>
      <c r="DG197" s="21">
        <f>EXP(-LN(2)/25)*DG196+(1-EXP(-LN(2)/25))/(LN(2)/25)*Calculateur!DB197*Calculateur!DD197*VLOOKUP('Données projet'!$B$13,Paramètres!$A$1:$I$89,3,0)*0.475*44/12</f>
        <v>1.5472060106576049</v>
      </c>
      <c r="DH197" s="21">
        <f>EXP(-LN(2)/2)*DH196+(1-EXP(-LN(2)/2))/(LN(2)/2)*DB197*DE197*VLOOKUP('Données projet'!$B$13,Paramètres!$A$1:$I$89,3,0)*0.475*44/12</f>
        <v>3.153480368544301E-16</v>
      </c>
      <c r="DI197" s="22">
        <f t="shared" si="175"/>
        <v>4.9973292018990367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-9.9475983006414026E-14</v>
      </c>
      <c r="DP197" s="17">
        <f>DO197*VLOOKUP('Données projet'!$B$14,Paramètres!$A$1:$I$89,3,0)*VLOOKUP('Données projet'!$B$14,Paramètres!$A$1:$I$89,5,0)</f>
        <v>-9.6213170763803652E-14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206.5245935130306</v>
      </c>
      <c r="DU197" s="59">
        <f t="shared" ref="DU197:DU203" si="209">$DU$3</f>
        <v>130.57011290898546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3.2502533305377059</v>
      </c>
      <c r="EB197" s="21">
        <f>EXP(-LN(2)/25)*EB196+(1-EXP(-LN(2)/25))/(LN(2)/25)*Calculateur!DW197*Calculateur!DY197*VLOOKUP('Données projet'!$B$14,Paramètres!$A$1:$I$89,3,0)*0.475*44/12</f>
        <v>2.3639196117361432</v>
      </c>
      <c r="EC197" s="21">
        <f>EXP(-LN(2)/2)*EC196+(1-EXP(-LN(2)/2))/(LN(2)/2)*DW197*DZ197*VLOOKUP('Données projet'!$B$14,Paramètres!$A$1:$I$89,3,0)*0.475*44/12</f>
        <v>2.0552387946238567E-10</v>
      </c>
      <c r="ED197" s="22">
        <f t="shared" si="178"/>
        <v>5.6141729424793727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1.7053025658242404E-13</v>
      </c>
      <c r="EK197" s="17">
        <f>EJ197*VLOOKUP('Données projet'!$B$15,Paramètres!$A$1:$I$89,3,0)*VLOOKUP('Données projet'!$B$15,Paramètres!$A$1:$I$89,5,0)</f>
        <v>7.9808160080574461E-14</v>
      </c>
      <c r="EL197" s="13">
        <f t="shared" si="179"/>
        <v>1.2308384591775343E-12</v>
      </c>
      <c r="EM197" s="20">
        <f t="shared" si="180"/>
        <v>2.282709528541206E-12</v>
      </c>
      <c r="EN197" s="59">
        <f t="shared" si="198"/>
        <v>290.25878253422201</v>
      </c>
      <c r="EO197" s="59">
        <f ca="1">AVERAGE(OFFSET($EN$3,0,0,'Données projet'!$E$15+1,1))-AVERAGE(OFFSET($H$3,0,0,'Données projet'!$E$15+1,1))</f>
        <v>374.38106339726073</v>
      </c>
      <c r="EP197" s="59">
        <f t="shared" ref="EP197:EP203" si="210">$EP$3</f>
        <v>296.53283288925957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41.770039650107435</v>
      </c>
      <c r="EW197" s="21">
        <f>EXP(-LN(2)/25)*EW196+(1-EXP(-LN(2)/25))/(LN(2)/25)*Calculateur!ER197*Calculateur!ET197*VLOOKUP('Données projet'!$B$15,Paramètres!$A$1:$I$89,3,0)*0.475*44/12</f>
        <v>7.8302823772372188</v>
      </c>
      <c r="EX197" s="21">
        <f>EXP(-LN(2)/2)*EX196+(1-EXP(-LN(2)/2))/(LN(2)/2)*ER197*EU197*VLOOKUP('Données projet'!$B$15,Paramètres!$A$1:$I$89,3,0)*0.475*44/12</f>
        <v>1.0671270444253926E-8</v>
      </c>
      <c r="EY197" s="22">
        <f t="shared" si="181"/>
        <v>49.600322038015925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9">
        <f t="shared" si="191"/>
        <v>290.3121191169347</v>
      </c>
      <c r="S198" s="59">
        <f ca="1">AVERAGE(OFFSET($R$3,0,0,'Données projet'!$E$9+1,1))-AVERAGE(OFFSET($H$3,0,0,'Données projet'!$E$9+1,1))</f>
        <v>681.47578137804555</v>
      </c>
      <c r="T198" s="59">
        <f t="shared" si="204"/>
        <v>300.88511065995885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1.0818439477588981E-13</v>
      </c>
      <c r="AK198" s="13">
        <f t="shared" si="164"/>
        <v>1.6104228458716316E-12</v>
      </c>
      <c r="AL198" s="20">
        <f t="shared" si="165"/>
        <v>2.9932409441277661E-12</v>
      </c>
      <c r="AM198" s="59">
        <f t="shared" si="193"/>
        <v>290.31211911692151</v>
      </c>
      <c r="AN198" s="59">
        <f ca="1">AVERAGE(OFFSET($AM$3,0,0,'Données projet'!$E$10+1,1))-AVERAGE(OFFSET($H$3,0,0,'Données projet'!$E$10+1,1))</f>
        <v>423.80243030843661</v>
      </c>
      <c r="AO198" s="59">
        <f t="shared" si="205"/>
        <v>260.29028006191834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10.414029400709939</v>
      </c>
      <c r="AV198" s="21">
        <f>EXP(-LN(2)/25)*AV197+(1-EXP(-LN(2)/25))/(LN(2)/25)*Calculateur!AQ198*Calculateur!AS198*VLOOKUP('Données projet'!$B$10,Paramètres!$A$1:$I$89,3,0)*0.475*44/12</f>
        <v>5.7780061759322647</v>
      </c>
      <c r="AW198" s="21">
        <f>EXP(-LN(2)/2)*AW197+(1-EXP(-LN(2)/2))/(LN(2)/2)*AQ198*AT198*VLOOKUP('Données projet'!$B$10,Paramètres!$A$1:$I$89,3,0)*0.475*44/12</f>
        <v>3.3364772430589887E-10</v>
      </c>
      <c r="AX198" s="21">
        <f t="shared" si="166"/>
        <v>16.192035576975851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-1.3596945791505279E-13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373.61861223558259</v>
      </c>
      <c r="BJ198" s="59">
        <f t="shared" si="206"/>
        <v>277.62293009761049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15.716340605478662</v>
      </c>
      <c r="BQ198" s="21">
        <f>EXP(-LN(2)/25)*BQ197+(1-EXP(-LN(2)/25))/(LN(2)/25)*Calculateur!BL198*Calculateur!BN198*VLOOKUP('Données projet'!$B$11,Paramètres!$A$1:$I$89,3,0)*0.475*44/12</f>
        <v>2.133659663092057</v>
      </c>
      <c r="BR198" s="21">
        <f>EXP(-LN(2)/2)*BR197+(1-EXP(-LN(2)/2))/(LN(2)/2)*BL198*BO198*VLOOKUP('Données projet'!$B$11,Paramètres!$A$1:$I$89,3,0)*0.475*44/12</f>
        <v>3.4697396114253769E-16</v>
      </c>
      <c r="BS198" s="22">
        <f t="shared" si="169"/>
        <v>17.850000268570717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8.5265128291212022E-14</v>
      </c>
      <c r="BZ198" s="13">
        <f>BY198*VLOOKUP('Données projet'!$B$12,Paramètres!$A$1:$I$89,3,0)*VLOOKUP('Données projet'!$B$12,Paramètres!$A$1:$I$89,5,0)</f>
        <v>7.4487616075202836E-14</v>
      </c>
      <c r="CA198" s="13">
        <f t="shared" si="170"/>
        <v>1.1580453144473142E-12</v>
      </c>
      <c r="CB198" s="20">
        <f t="shared" si="171"/>
        <v>2.1466615206600508E-12</v>
      </c>
      <c r="CC198" s="59">
        <f t="shared" si="195"/>
        <v>290.31211911692066</v>
      </c>
      <c r="CD198" s="59">
        <f ca="1">AVERAGE(OFFSET($CC$3,0,0,'Données projet'!$E$12+1,1))-AVERAGE(OFFSET($H$3,0,0,'Données projet'!$E$12+1,1))</f>
        <v>251.30277097589737</v>
      </c>
      <c r="CE198" s="59">
        <f t="shared" si="207"/>
        <v>224.11983819941796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2.266909860130546</v>
      </c>
      <c r="CL198" s="21">
        <f>EXP(-LN(2)/25)*CL197+(1-EXP(-LN(2)/25))/(LN(2)/25)*Calculateur!CG198*Calculateur!CI198*VLOOKUP('Données projet'!$B$12,Paramètres!$A$1:$I$89,3,0)*0.475*44/12</f>
        <v>2.7271052723849083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4.9940151325154538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2.8421709430404007E-14</v>
      </c>
      <c r="CU198" s="17">
        <f>CT198*VLOOKUP('Données projet'!$B$13,Paramètres!$A$1:$I$89,3,0)*VLOOKUP('Données projet'!$B$13,Paramètres!$A$1:$I$89,5,0)</f>
        <v>2.4829205358400945E-14</v>
      </c>
      <c r="CV198" s="13">
        <f t="shared" si="173"/>
        <v>4.3867331143352915E-13</v>
      </c>
      <c r="CW198" s="20">
        <f t="shared" si="174"/>
        <v>8.0726688341261168E-13</v>
      </c>
      <c r="CX198" s="59">
        <f t="shared" si="196"/>
        <v>290.31211911691929</v>
      </c>
      <c r="CY198" s="59">
        <f ca="1">AVERAGE(OFFSET($CX$3,0,0,'Données projet'!$E$13+1,1))-AVERAGE(OFFSET($H$3,0,0,'Données projet'!$E$13+1,1))</f>
        <v>287.28439432670405</v>
      </c>
      <c r="CZ198" s="59">
        <f t="shared" si="208"/>
        <v>276.01618888357268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3.3824683798285453</v>
      </c>
      <c r="DG198" s="21">
        <f>EXP(-LN(2)/25)*DG197+(1-EXP(-LN(2)/25))/(LN(2)/25)*Calculateur!DB198*Calculateur!DD198*VLOOKUP('Données projet'!$B$13,Paramètres!$A$1:$I$89,3,0)*0.475*44/12</f>
        <v>1.5048975809321448</v>
      </c>
      <c r="DH198" s="21">
        <f>EXP(-LN(2)/2)*DH197+(1-EXP(-LN(2)/2))/(LN(2)/2)*DB198*DE198*VLOOKUP('Données projet'!$B$13,Paramètres!$A$1:$I$89,3,0)*0.475*44/12</f>
        <v>2.2298473529363283E-16</v>
      </c>
      <c r="DI198" s="22">
        <f t="shared" si="175"/>
        <v>4.8873659607606896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-9.9475983006414026E-14</v>
      </c>
      <c r="DP198" s="17">
        <f>DO198*VLOOKUP('Données projet'!$B$14,Paramètres!$A$1:$I$89,3,0)*VLOOKUP('Données projet'!$B$14,Paramètres!$A$1:$I$89,5,0)</f>
        <v>-9.6213170763803652E-14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206.5245935130306</v>
      </c>
      <c r="DU198" s="59">
        <f t="shared" si="209"/>
        <v>130.57011290898546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3.1865178451846417</v>
      </c>
      <c r="EB198" s="21">
        <f>EXP(-LN(2)/25)*EB197+(1-EXP(-LN(2)/25))/(LN(2)/25)*Calculateur!DW198*Calculateur!DY198*VLOOKUP('Données projet'!$B$14,Paramètres!$A$1:$I$89,3,0)*0.475*44/12</f>
        <v>2.2992781056400888</v>
      </c>
      <c r="EC198" s="21">
        <f>EXP(-LN(2)/2)*EC197+(1-EXP(-LN(2)/2))/(LN(2)/2)*DW198*DZ198*VLOOKUP('Données projet'!$B$14,Paramètres!$A$1:$I$89,3,0)*0.475*44/12</f>
        <v>1.4532732886361951E-10</v>
      </c>
      <c r="ED198" s="22">
        <f t="shared" si="178"/>
        <v>5.4857959509700578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1.7053025658242404E-13</v>
      </c>
      <c r="EK198" s="17">
        <f>EJ198*VLOOKUP('Données projet'!$B$15,Paramètres!$A$1:$I$89,3,0)*VLOOKUP('Données projet'!$B$15,Paramètres!$A$1:$I$89,5,0)</f>
        <v>7.9808160080574461E-14</v>
      </c>
      <c r="EL198" s="13">
        <f t="shared" si="179"/>
        <v>1.2308384591775343E-12</v>
      </c>
      <c r="EM198" s="20">
        <f t="shared" si="180"/>
        <v>2.282709528541206E-12</v>
      </c>
      <c r="EN198" s="59">
        <f t="shared" si="198"/>
        <v>290.31211911692077</v>
      </c>
      <c r="EO198" s="59">
        <f ca="1">AVERAGE(OFFSET($EN$3,0,0,'Données projet'!$E$15+1,1))-AVERAGE(OFFSET($H$3,0,0,'Données projet'!$E$15+1,1))</f>
        <v>374.38106339726073</v>
      </c>
      <c r="EP198" s="59">
        <f t="shared" si="210"/>
        <v>296.53283288925957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40.950954649777351</v>
      </c>
      <c r="EW198" s="21">
        <f>EXP(-LN(2)/25)*EW197+(1-EXP(-LN(2)/25))/(LN(2)/25)*Calculateur!ER198*Calculateur!ET198*VLOOKUP('Données projet'!$B$15,Paramètres!$A$1:$I$89,3,0)*0.475*44/12</f>
        <v>7.6161628938550132</v>
      </c>
      <c r="EX198" s="21">
        <f>EXP(-LN(2)/2)*EX197+(1-EXP(-LN(2)/2))/(LN(2)/2)*ER198*EU198*VLOOKUP('Données projet'!$B$15,Paramètres!$A$1:$I$89,3,0)*0.475*44/12</f>
        <v>7.5457276950075326E-9</v>
      </c>
      <c r="EY198" s="22">
        <f t="shared" si="181"/>
        <v>48.567117551178093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9">
        <f t="shared" si="191"/>
        <v>290.36453042916639</v>
      </c>
      <c r="S199" s="59">
        <f ca="1">AVERAGE(OFFSET($R$3,0,0,'Données projet'!$E$9+1,1))-AVERAGE(OFFSET($H$3,0,0,'Données projet'!$E$9+1,1))</f>
        <v>681.47578137804555</v>
      </c>
      <c r="T199" s="59">
        <f t="shared" si="204"/>
        <v>300.88511065995885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1.0818439477588981E-13</v>
      </c>
      <c r="AK199" s="13">
        <f t="shared" si="164"/>
        <v>1.6104228458716316E-12</v>
      </c>
      <c r="AL199" s="20">
        <f t="shared" si="165"/>
        <v>2.9932409441277661E-12</v>
      </c>
      <c r="AM199" s="59">
        <f t="shared" si="193"/>
        <v>290.36453042915321</v>
      </c>
      <c r="AN199" s="59">
        <f ca="1">AVERAGE(OFFSET($AM$3,0,0,'Données projet'!$E$10+1,1))-AVERAGE(OFFSET($H$3,0,0,'Données projet'!$E$10+1,1))</f>
        <v>423.80243030843661</v>
      </c>
      <c r="AO199" s="59">
        <f t="shared" si="205"/>
        <v>260.29028006191834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10.20981663609275</v>
      </c>
      <c r="AV199" s="21">
        <f>EXP(-LN(2)/25)*AV198+(1-EXP(-LN(2)/25))/(LN(2)/25)*Calculateur!AQ199*Calculateur!AS199*VLOOKUP('Données projet'!$B$10,Paramètres!$A$1:$I$89,3,0)*0.475*44/12</f>
        <v>5.6200062931992578</v>
      </c>
      <c r="AW199" s="21">
        <f>EXP(-LN(2)/2)*AW198+(1-EXP(-LN(2)/2))/(LN(2)/2)*AQ199*AT199*VLOOKUP('Données projet'!$B$10,Paramètres!$A$1:$I$89,3,0)*0.475*44/12</f>
        <v>2.3592456838416077E-10</v>
      </c>
      <c r="AX199" s="21">
        <f t="shared" si="166"/>
        <v>15.829822929527932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-1.3596945791505279E-13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373.61861223558259</v>
      </c>
      <c r="BJ199" s="59">
        <f t="shared" si="206"/>
        <v>277.62293009761049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15.408152752226453</v>
      </c>
      <c r="BQ199" s="21">
        <f>EXP(-LN(2)/25)*BQ198+(1-EXP(-LN(2)/25))/(LN(2)/25)*Calculateur!BL199*Calculateur!BN199*VLOOKUP('Données projet'!$B$11,Paramètres!$A$1:$I$89,3,0)*0.475*44/12</f>
        <v>2.0753146274005196</v>
      </c>
      <c r="BR199" s="21">
        <f>EXP(-LN(2)/2)*BR198+(1-EXP(-LN(2)/2))/(LN(2)/2)*BL199*BO199*VLOOKUP('Données projet'!$B$11,Paramètres!$A$1:$I$89,3,0)*0.475*44/12</f>
        <v>2.4534764081904604E-16</v>
      </c>
      <c r="BS199" s="22">
        <f t="shared" si="169"/>
        <v>17.483467379626973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8.5265128291212022E-14</v>
      </c>
      <c r="BZ199" s="13">
        <f>BY199*VLOOKUP('Données projet'!$B$12,Paramètres!$A$1:$I$89,3,0)*VLOOKUP('Données projet'!$B$12,Paramètres!$A$1:$I$89,5,0)</f>
        <v>7.4487616075202836E-14</v>
      </c>
      <c r="CA199" s="13">
        <f t="shared" si="170"/>
        <v>1.1580453144473142E-12</v>
      </c>
      <c r="CB199" s="20">
        <f t="shared" si="171"/>
        <v>2.1466615206600508E-12</v>
      </c>
      <c r="CC199" s="59">
        <f t="shared" si="195"/>
        <v>290.36453042915235</v>
      </c>
      <c r="CD199" s="59">
        <f ca="1">AVERAGE(OFFSET($CC$3,0,0,'Données projet'!$E$12+1,1))-AVERAGE(OFFSET($H$3,0,0,'Données projet'!$E$12+1,1))</f>
        <v>251.30277097589737</v>
      </c>
      <c r="CE199" s="59">
        <f t="shared" si="207"/>
        <v>224.11983819941796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2.2224571404518723</v>
      </c>
      <c r="CL199" s="21">
        <f>EXP(-LN(2)/25)*CL198+(1-EXP(-LN(2)/25))/(LN(2)/25)*Calculateur!CG199*Calculateur!CI199*VLOOKUP('Données projet'!$B$12,Paramètres!$A$1:$I$89,3,0)*0.475*44/12</f>
        <v>2.6525324352993094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4.8749895757511812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2.8421709430404007E-14</v>
      </c>
      <c r="CU199" s="17">
        <f>CT199*VLOOKUP('Données projet'!$B$13,Paramètres!$A$1:$I$89,3,0)*VLOOKUP('Données projet'!$B$13,Paramètres!$A$1:$I$89,5,0)</f>
        <v>2.4829205358400945E-14</v>
      </c>
      <c r="CV199" s="13">
        <f t="shared" si="173"/>
        <v>4.3867331143352915E-13</v>
      </c>
      <c r="CW199" s="20">
        <f t="shared" si="174"/>
        <v>8.0726688341261168E-13</v>
      </c>
      <c r="CX199" s="59">
        <f t="shared" si="196"/>
        <v>290.36453042915099</v>
      </c>
      <c r="CY199" s="59">
        <f ca="1">AVERAGE(OFFSET($CX$3,0,0,'Données projet'!$E$13+1,1))-AVERAGE(OFFSET($H$3,0,0,'Données projet'!$E$13+1,1))</f>
        <v>287.28439432670405</v>
      </c>
      <c r="CZ199" s="59">
        <f t="shared" si="208"/>
        <v>276.01618888357268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3.316140238002105</v>
      </c>
      <c r="DG199" s="21">
        <f>EXP(-LN(2)/25)*DG198+(1-EXP(-LN(2)/25))/(LN(2)/25)*Calculateur!DB199*Calculateur!DD199*VLOOKUP('Données projet'!$B$13,Paramètres!$A$1:$I$89,3,0)*0.475*44/12</f>
        <v>1.4637460774424309</v>
      </c>
      <c r="DH199" s="21">
        <f>EXP(-LN(2)/2)*DH198+(1-EXP(-LN(2)/2))/(LN(2)/2)*DB199*DE199*VLOOKUP('Données projet'!$B$13,Paramètres!$A$1:$I$89,3,0)*0.475*44/12</f>
        <v>1.5767401842721505E-16</v>
      </c>
      <c r="DI199" s="22">
        <f t="shared" si="175"/>
        <v>4.7798863154445357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-9.9475983006414026E-14</v>
      </c>
      <c r="DP199" s="17">
        <f>DO199*VLOOKUP('Données projet'!$B$14,Paramètres!$A$1:$I$89,3,0)*VLOOKUP('Données projet'!$B$14,Paramètres!$A$1:$I$89,5,0)</f>
        <v>-9.6213170763803652E-14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206.5245935130306</v>
      </c>
      <c r="DU199" s="59">
        <f t="shared" si="209"/>
        <v>130.57011290898546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3.1240321738245433</v>
      </c>
      <c r="EB199" s="21">
        <f>EXP(-LN(2)/25)*EB198+(1-EXP(-LN(2)/25))/(LN(2)/25)*Calculateur!DW199*Calculateur!DY199*VLOOKUP('Données projet'!$B$14,Paramètres!$A$1:$I$89,3,0)*0.475*44/12</f>
        <v>2.23640422492758</v>
      </c>
      <c r="EC199" s="21">
        <f>EXP(-LN(2)/2)*EC198+(1-EXP(-LN(2)/2))/(LN(2)/2)*DW199*DZ199*VLOOKUP('Données projet'!$B$14,Paramètres!$A$1:$I$89,3,0)*0.475*44/12</f>
        <v>1.0276193973119283E-10</v>
      </c>
      <c r="ED199" s="22">
        <f t="shared" si="178"/>
        <v>5.3604363988548851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1.7053025658242404E-13</v>
      </c>
      <c r="EK199" s="17">
        <f>EJ199*VLOOKUP('Données projet'!$B$15,Paramètres!$A$1:$I$89,3,0)*VLOOKUP('Données projet'!$B$15,Paramètres!$A$1:$I$89,5,0)</f>
        <v>7.9808160080574461E-14</v>
      </c>
      <c r="EL199" s="13">
        <f t="shared" si="179"/>
        <v>1.2308384591775343E-12</v>
      </c>
      <c r="EM199" s="20">
        <f t="shared" si="180"/>
        <v>2.282709528541206E-12</v>
      </c>
      <c r="EN199" s="59">
        <f t="shared" si="198"/>
        <v>290.36453042915247</v>
      </c>
      <c r="EO199" s="59">
        <f ca="1">AVERAGE(OFFSET($EN$3,0,0,'Données projet'!$E$15+1,1))-AVERAGE(OFFSET($H$3,0,0,'Données projet'!$E$15+1,1))</f>
        <v>374.38106339726073</v>
      </c>
      <c r="EP199" s="59">
        <f t="shared" si="210"/>
        <v>296.53283288925957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40.147931406711216</v>
      </c>
      <c r="EW199" s="21">
        <f>EXP(-LN(2)/25)*EW198+(1-EXP(-LN(2)/25))/(LN(2)/25)*Calculateur!ER199*Calculateur!ET199*VLOOKUP('Données projet'!$B$15,Paramètres!$A$1:$I$89,3,0)*0.475*44/12</f>
        <v>7.4078985190059479</v>
      </c>
      <c r="EX199" s="21">
        <f>EXP(-LN(2)/2)*EX198+(1-EXP(-LN(2)/2))/(LN(2)/2)*ER199*EU199*VLOOKUP('Données projet'!$B$15,Paramètres!$A$1:$I$89,3,0)*0.475*44/12</f>
        <v>5.3356352221269632E-9</v>
      </c>
      <c r="EY199" s="22">
        <f t="shared" si="181"/>
        <v>47.555829931052799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9">
        <f t="shared" si="191"/>
        <v>290.41603252230499</v>
      </c>
      <c r="S200" s="59">
        <f ca="1">AVERAGE(OFFSET($R$3,0,0,'Données projet'!$E$9+1,1))-AVERAGE(OFFSET($H$3,0,0,'Données projet'!$E$9+1,1))</f>
        <v>681.47578137804555</v>
      </c>
      <c r="T200" s="59">
        <f t="shared" si="204"/>
        <v>300.88511065995885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1.0818439477588981E-13</v>
      </c>
      <c r="AK200" s="13">
        <f t="shared" si="164"/>
        <v>1.6104228458716316E-12</v>
      </c>
      <c r="AL200" s="20">
        <f t="shared" si="165"/>
        <v>2.9932409441277661E-12</v>
      </c>
      <c r="AM200" s="59">
        <f t="shared" si="193"/>
        <v>290.4160325222918</v>
      </c>
      <c r="AN200" s="59">
        <f ca="1">AVERAGE(OFFSET($AM$3,0,0,'Données projet'!$E$10+1,1))-AVERAGE(OFFSET($H$3,0,0,'Données projet'!$E$10+1,1))</f>
        <v>423.80243030843661</v>
      </c>
      <c r="AO200" s="59">
        <f t="shared" si="205"/>
        <v>260.29028006191834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10.009608359232217</v>
      </c>
      <c r="AV200" s="21">
        <f>EXP(-LN(2)/25)*AV199+(1-EXP(-LN(2)/25))/(LN(2)/25)*Calculateur!AQ200*Calculateur!AS200*VLOOKUP('Données projet'!$B$10,Paramètres!$A$1:$I$89,3,0)*0.475*44/12</f>
        <v>5.4663269255684375</v>
      </c>
      <c r="AW200" s="21">
        <f>EXP(-LN(2)/2)*AW199+(1-EXP(-LN(2)/2))/(LN(2)/2)*AQ200*AT200*VLOOKUP('Données projet'!$B$10,Paramètres!$A$1:$I$89,3,0)*0.475*44/12</f>
        <v>1.6682386215294944E-10</v>
      </c>
      <c r="AX200" s="21">
        <f t="shared" si="166"/>
        <v>15.475935284967479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-1.3596945791505279E-13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373.61861223558259</v>
      </c>
      <c r="BJ200" s="59">
        <f t="shared" si="206"/>
        <v>277.62293009761049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15.106008274800491</v>
      </c>
      <c r="BQ200" s="21">
        <f>EXP(-LN(2)/25)*BQ199+(1-EXP(-LN(2)/25))/(LN(2)/25)*Calculateur!BL200*Calculateur!BN200*VLOOKUP('Données projet'!$B$11,Paramètres!$A$1:$I$89,3,0)*0.475*44/12</f>
        <v>2.0185650397781996</v>
      </c>
      <c r="BR200" s="21">
        <f>EXP(-LN(2)/2)*BR199+(1-EXP(-LN(2)/2))/(LN(2)/2)*BL200*BO200*VLOOKUP('Données projet'!$B$11,Paramètres!$A$1:$I$89,3,0)*0.475*44/12</f>
        <v>1.7348698057126885E-16</v>
      </c>
      <c r="BS200" s="22">
        <f t="shared" si="169"/>
        <v>17.12457331457869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8.5265128291212022E-14</v>
      </c>
      <c r="BZ200" s="13">
        <f>BY200*VLOOKUP('Données projet'!$B$12,Paramètres!$A$1:$I$89,3,0)*VLOOKUP('Données projet'!$B$12,Paramètres!$A$1:$I$89,5,0)</f>
        <v>7.4487616075202836E-14</v>
      </c>
      <c r="CA200" s="13">
        <f t="shared" si="170"/>
        <v>1.1580453144473142E-12</v>
      </c>
      <c r="CB200" s="20">
        <f t="shared" si="171"/>
        <v>2.1466615206600508E-12</v>
      </c>
      <c r="CC200" s="59">
        <f t="shared" si="195"/>
        <v>290.41603252229095</v>
      </c>
      <c r="CD200" s="59">
        <f ca="1">AVERAGE(OFFSET($CC$3,0,0,'Données projet'!$E$12+1,1))-AVERAGE(OFFSET($H$3,0,0,'Données projet'!$E$12+1,1))</f>
        <v>251.30277097589737</v>
      </c>
      <c r="CE200" s="59">
        <f t="shared" si="207"/>
        <v>224.11983819941796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2.1788761114926158</v>
      </c>
      <c r="CL200" s="21">
        <f>EXP(-LN(2)/25)*CL199+(1-EXP(-LN(2)/25))/(LN(2)/25)*Calculateur!CG200*Calculateur!CI200*VLOOKUP('Données projet'!$B$12,Paramètres!$A$1:$I$89,3,0)*0.475*44/12</f>
        <v>2.5799987963654316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4.758874907858047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2.8421709430404007E-14</v>
      </c>
      <c r="CU200" s="17">
        <f>CT200*VLOOKUP('Données projet'!$B$13,Paramètres!$A$1:$I$89,3,0)*VLOOKUP('Données projet'!$B$13,Paramètres!$A$1:$I$89,5,0)</f>
        <v>2.4829205358400945E-14</v>
      </c>
      <c r="CV200" s="13">
        <f t="shared" si="173"/>
        <v>4.3867331143352915E-13</v>
      </c>
      <c r="CW200" s="20">
        <f t="shared" si="174"/>
        <v>8.0726688341261168E-13</v>
      </c>
      <c r="CX200" s="59">
        <f t="shared" si="196"/>
        <v>290.41603252228958</v>
      </c>
      <c r="CY200" s="59">
        <f ca="1">AVERAGE(OFFSET($CX$3,0,0,'Données projet'!$E$13+1,1))-AVERAGE(OFFSET($H$3,0,0,'Données projet'!$E$13+1,1))</f>
        <v>287.28439432670405</v>
      </c>
      <c r="CZ200" s="59">
        <f t="shared" si="208"/>
        <v>276.01618888357268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3.2511127505807091</v>
      </c>
      <c r="DG200" s="21">
        <f>EXP(-LN(2)/25)*DG199+(1-EXP(-LN(2)/25))/(LN(2)/25)*Calculateur!DB200*Calculateur!DD200*VLOOKUP('Données projet'!$B$13,Paramètres!$A$1:$I$89,3,0)*0.475*44/12</f>
        <v>1.4237198639797068</v>
      </c>
      <c r="DH200" s="21">
        <f>EXP(-LN(2)/2)*DH199+(1-EXP(-LN(2)/2))/(LN(2)/2)*DB200*DE200*VLOOKUP('Données projet'!$B$13,Paramètres!$A$1:$I$89,3,0)*0.475*44/12</f>
        <v>1.1149236764681641E-16</v>
      </c>
      <c r="DI200" s="22">
        <f t="shared" si="175"/>
        <v>4.6748326145604162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-9.9475983006414026E-14</v>
      </c>
      <c r="DP200" s="17">
        <f>DO200*VLOOKUP('Données projet'!$B$14,Paramètres!$A$1:$I$89,3,0)*VLOOKUP('Données projet'!$B$14,Paramètres!$A$1:$I$89,5,0)</f>
        <v>-9.6213170763803652E-14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206.5245935130306</v>
      </c>
      <c r="DU200" s="59">
        <f t="shared" si="209"/>
        <v>130.57011290898546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3.0627718083673203</v>
      </c>
      <c r="EB200" s="21">
        <f>EXP(-LN(2)/25)*EB199+(1-EXP(-LN(2)/25))/(LN(2)/25)*Calculateur!DW200*Calculateur!DY200*VLOOKUP('Données projet'!$B$14,Paramètres!$A$1:$I$89,3,0)*0.475*44/12</f>
        <v>2.1752496337895484</v>
      </c>
      <c r="EC200" s="21">
        <f>EXP(-LN(2)/2)*EC199+(1-EXP(-LN(2)/2))/(LN(2)/2)*DW200*DZ200*VLOOKUP('Données projet'!$B$14,Paramètres!$A$1:$I$89,3,0)*0.475*44/12</f>
        <v>7.2663664431809754E-11</v>
      </c>
      <c r="ED200" s="22">
        <f t="shared" si="178"/>
        <v>5.2380214422295328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1.7053025658242404E-13</v>
      </c>
      <c r="EK200" s="17">
        <f>EJ200*VLOOKUP('Données projet'!$B$15,Paramètres!$A$1:$I$89,3,0)*VLOOKUP('Données projet'!$B$15,Paramètres!$A$1:$I$89,5,0)</f>
        <v>7.9808160080574461E-14</v>
      </c>
      <c r="EL200" s="13">
        <f t="shared" si="179"/>
        <v>1.2308384591775343E-12</v>
      </c>
      <c r="EM200" s="20">
        <f t="shared" si="180"/>
        <v>2.282709528541206E-12</v>
      </c>
      <c r="EN200" s="59">
        <f t="shared" si="198"/>
        <v>290.41603252229106</v>
      </c>
      <c r="EO200" s="59">
        <f ca="1">AVERAGE(OFFSET($EN$3,0,0,'Données projet'!$E$15+1,1))-AVERAGE(OFFSET($H$3,0,0,'Données projet'!$E$15+1,1))</f>
        <v>374.38106339726073</v>
      </c>
      <c r="EP200" s="59">
        <f t="shared" si="210"/>
        <v>296.53283288925957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39.360654959645792</v>
      </c>
      <c r="EW200" s="21">
        <f>EXP(-LN(2)/25)*EW199+(1-EXP(-LN(2)/25))/(LN(2)/25)*Calculateur!ER200*Calculateur!ET200*VLOOKUP('Données projet'!$B$15,Paramètres!$A$1:$I$89,3,0)*0.475*44/12</f>
        <v>7.2053291444392782</v>
      </c>
      <c r="EX200" s="21">
        <f>EXP(-LN(2)/2)*EX199+(1-EXP(-LN(2)/2))/(LN(2)/2)*ER200*EU200*VLOOKUP('Données projet'!$B$15,Paramètres!$A$1:$I$89,3,0)*0.475*44/12</f>
        <v>3.7728638475037663E-9</v>
      </c>
      <c r="EY200" s="22">
        <f t="shared" si="181"/>
        <v>46.565984107857929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9">
        <f t="shared" si="191"/>
        <v>290.46664116926911</v>
      </c>
      <c r="S201" s="59">
        <f ca="1">AVERAGE(OFFSET($R$3,0,0,'Données projet'!$E$9+1,1))-AVERAGE(OFFSET($H$3,0,0,'Données projet'!$E$9+1,1))</f>
        <v>681.47578137804555</v>
      </c>
      <c r="T201" s="59">
        <f t="shared" si="204"/>
        <v>300.88511065995885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1.0818439477588981E-13</v>
      </c>
      <c r="AK201" s="13">
        <f t="shared" si="164"/>
        <v>1.6104228458716316E-12</v>
      </c>
      <c r="AL201" s="20">
        <f t="shared" si="165"/>
        <v>2.9932409441277661E-12</v>
      </c>
      <c r="AM201" s="59">
        <f t="shared" si="193"/>
        <v>290.46664116925592</v>
      </c>
      <c r="AN201" s="59">
        <f ca="1">AVERAGE(OFFSET($AM$3,0,0,'Données projet'!$E$10+1,1))-AVERAGE(OFFSET($H$3,0,0,'Données projet'!$E$10+1,1))</f>
        <v>423.80243030843661</v>
      </c>
      <c r="AO201" s="59">
        <f t="shared" si="205"/>
        <v>260.29028006191834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9.8133260445659278</v>
      </c>
      <c r="AV201" s="21">
        <f>EXP(-LN(2)/25)*AV200+(1-EXP(-LN(2)/25))/(LN(2)/25)*Calculateur!AQ201*Calculateur!AS201*VLOOKUP('Données projet'!$B$10,Paramètres!$A$1:$I$89,3,0)*0.475*44/12</f>
        <v>5.3168499283271293</v>
      </c>
      <c r="AW201" s="21">
        <f>EXP(-LN(2)/2)*AW200+(1-EXP(-LN(2)/2))/(LN(2)/2)*AQ201*AT201*VLOOKUP('Données projet'!$B$10,Paramètres!$A$1:$I$89,3,0)*0.475*44/12</f>
        <v>1.1796228419208038E-10</v>
      </c>
      <c r="AX201" s="21">
        <f t="shared" si="166"/>
        <v>15.130175973011019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-1.3596945791505279E-13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373.61861223558259</v>
      </c>
      <c r="BJ201" s="59">
        <f t="shared" si="206"/>
        <v>277.62293009761049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14.809788666286918</v>
      </c>
      <c r="BQ201" s="21">
        <f>EXP(-LN(2)/25)*BQ200+(1-EXP(-LN(2)/25))/(LN(2)/25)*Calculateur!BL201*Calculateur!BN201*VLOOKUP('Données projet'!$B$11,Paramètres!$A$1:$I$89,3,0)*0.475*44/12</f>
        <v>1.9633672726137428</v>
      </c>
      <c r="BR201" s="21">
        <f>EXP(-LN(2)/2)*BR200+(1-EXP(-LN(2)/2))/(LN(2)/2)*BL201*BO201*VLOOKUP('Données projet'!$B$11,Paramètres!$A$1:$I$89,3,0)*0.475*44/12</f>
        <v>1.2267382040952302E-16</v>
      </c>
      <c r="BS201" s="22">
        <f t="shared" si="169"/>
        <v>16.773155938900661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8.5265128291212022E-14</v>
      </c>
      <c r="BZ201" s="13">
        <f>BY201*VLOOKUP('Données projet'!$B$12,Paramètres!$A$1:$I$89,3,0)*VLOOKUP('Données projet'!$B$12,Paramètres!$A$1:$I$89,5,0)</f>
        <v>7.4487616075202836E-14</v>
      </c>
      <c r="CA201" s="13">
        <f t="shared" si="170"/>
        <v>1.1580453144473142E-12</v>
      </c>
      <c r="CB201" s="20">
        <f t="shared" si="171"/>
        <v>2.1466615206600508E-12</v>
      </c>
      <c r="CC201" s="59">
        <f t="shared" si="195"/>
        <v>290.46664116925507</v>
      </c>
      <c r="CD201" s="59">
        <f ca="1">AVERAGE(OFFSET($CC$3,0,0,'Données projet'!$E$12+1,1))-AVERAGE(OFFSET($H$3,0,0,'Données projet'!$E$12+1,1))</f>
        <v>251.30277097589737</v>
      </c>
      <c r="CE201" s="59">
        <f t="shared" si="207"/>
        <v>224.11983819941796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2.1361496799294475</v>
      </c>
      <c r="CL201" s="21">
        <f>EXP(-LN(2)/25)*CL200+(1-EXP(-LN(2)/25))/(LN(2)/25)*Calculateur!CG201*Calculateur!CI201*VLOOKUP('Données projet'!$B$12,Paramètres!$A$1:$I$89,3,0)*0.475*44/12</f>
        <v>2.509448593602579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4.6455982735320269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2.8421709430404007E-14</v>
      </c>
      <c r="CU201" s="17">
        <f>CT201*VLOOKUP('Données projet'!$B$13,Paramètres!$A$1:$I$89,3,0)*VLOOKUP('Données projet'!$B$13,Paramètres!$A$1:$I$89,5,0)</f>
        <v>2.4829205358400945E-14</v>
      </c>
      <c r="CV201" s="13">
        <f t="shared" si="173"/>
        <v>4.3867331143352915E-13</v>
      </c>
      <c r="CW201" s="20">
        <f t="shared" si="174"/>
        <v>8.0726688341261168E-13</v>
      </c>
      <c r="CX201" s="59">
        <f t="shared" si="196"/>
        <v>290.46664116925371</v>
      </c>
      <c r="CY201" s="59">
        <f ca="1">AVERAGE(OFFSET($CX$3,0,0,'Données projet'!$E$13+1,1))-AVERAGE(OFFSET($H$3,0,0,'Données projet'!$E$13+1,1))</f>
        <v>287.28439432670405</v>
      </c>
      <c r="CZ201" s="59">
        <f t="shared" si="208"/>
        <v>276.01618888357268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3.1873604125247961</v>
      </c>
      <c r="DG201" s="21">
        <f>EXP(-LN(2)/25)*DG200+(1-EXP(-LN(2)/25))/(LN(2)/25)*Calculateur!DB201*Calculateur!DD201*VLOOKUP('Données projet'!$B$13,Paramètres!$A$1:$I$89,3,0)*0.475*44/12</f>
        <v>1.3847881694290081</v>
      </c>
      <c r="DH201" s="21">
        <f>EXP(-LN(2)/2)*DH200+(1-EXP(-LN(2)/2))/(LN(2)/2)*DB201*DE201*VLOOKUP('Données projet'!$B$13,Paramètres!$A$1:$I$89,3,0)*0.475*44/12</f>
        <v>7.8837009213607525E-17</v>
      </c>
      <c r="DI201" s="22">
        <f t="shared" si="175"/>
        <v>4.5721485819538046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-9.9475983006414026E-14</v>
      </c>
      <c r="DP201" s="17">
        <f>DO201*VLOOKUP('Données projet'!$B$14,Paramètres!$A$1:$I$89,3,0)*VLOOKUP('Données projet'!$B$14,Paramètres!$A$1:$I$89,5,0)</f>
        <v>-9.6213170763803652E-14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206.5245935130306</v>
      </c>
      <c r="DU201" s="59">
        <f t="shared" si="209"/>
        <v>130.57011290898546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3.0027127213115801</v>
      </c>
      <c r="EB201" s="21">
        <f>EXP(-LN(2)/25)*EB200+(1-EXP(-LN(2)/25))/(LN(2)/25)*Calculateur!DW201*Calculateur!DY201*VLOOKUP('Données projet'!$B$14,Paramètres!$A$1:$I$89,3,0)*0.475*44/12</f>
        <v>2.1157673181621663</v>
      </c>
      <c r="EC201" s="21">
        <f>EXP(-LN(2)/2)*EC200+(1-EXP(-LN(2)/2))/(LN(2)/2)*DW201*DZ201*VLOOKUP('Données projet'!$B$14,Paramètres!$A$1:$I$89,3,0)*0.475*44/12</f>
        <v>5.1380969865596417E-11</v>
      </c>
      <c r="ED201" s="22">
        <f t="shared" si="178"/>
        <v>5.118480039525128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1.7053025658242404E-13</v>
      </c>
      <c r="EK201" s="17">
        <f>EJ201*VLOOKUP('Données projet'!$B$15,Paramètres!$A$1:$I$89,3,0)*VLOOKUP('Données projet'!$B$15,Paramètres!$A$1:$I$89,5,0)</f>
        <v>7.9808160080574461E-14</v>
      </c>
      <c r="EL201" s="13">
        <f t="shared" si="179"/>
        <v>1.2308384591775343E-12</v>
      </c>
      <c r="EM201" s="20">
        <f t="shared" si="180"/>
        <v>2.282709528541206E-12</v>
      </c>
      <c r="EN201" s="59">
        <f t="shared" si="198"/>
        <v>290.46664116925518</v>
      </c>
      <c r="EO201" s="59">
        <f ca="1">AVERAGE(OFFSET($EN$3,0,0,'Données projet'!$E$15+1,1))-AVERAGE(OFFSET($H$3,0,0,'Données projet'!$E$15+1,1))</f>
        <v>374.38106339726073</v>
      </c>
      <c r="EP201" s="59">
        <f t="shared" si="210"/>
        <v>296.53283288925957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38.588816523516108</v>
      </c>
      <c r="EW201" s="21">
        <f>EXP(-LN(2)/25)*EW200+(1-EXP(-LN(2)/25))/(LN(2)/25)*Calculateur!ER201*Calculateur!ET201*VLOOKUP('Données projet'!$B$15,Paramètres!$A$1:$I$89,3,0)*0.475*44/12</f>
        <v>7.008299040072794</v>
      </c>
      <c r="EX201" s="21">
        <f>EXP(-LN(2)/2)*EX200+(1-EXP(-LN(2)/2))/(LN(2)/2)*ER201*EU201*VLOOKUP('Données projet'!$B$15,Paramètres!$A$1:$I$89,3,0)*0.475*44/12</f>
        <v>2.6678176110634816E-9</v>
      </c>
      <c r="EY201" s="22">
        <f t="shared" si="181"/>
        <v>45.597115566256718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9">
        <f t="shared" si="191"/>
        <v>290.51637186935233</v>
      </c>
      <c r="S202" s="59">
        <f ca="1">AVERAGE(OFFSET($R$3,0,0,'Données projet'!$E$9+1,1))-AVERAGE(OFFSET($H$3,0,0,'Données projet'!$E$9+1,1))</f>
        <v>681.47578137804555</v>
      </c>
      <c r="T202" s="59">
        <f t="shared" si="204"/>
        <v>300.88511065995885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1.0818439477588981E-13</v>
      </c>
      <c r="AK202" s="13">
        <f t="shared" si="164"/>
        <v>1.6104228458716316E-12</v>
      </c>
      <c r="AL202" s="20">
        <f t="shared" si="165"/>
        <v>2.9932409441277661E-12</v>
      </c>
      <c r="AM202" s="59">
        <f t="shared" si="193"/>
        <v>290.51637186933914</v>
      </c>
      <c r="AN202" s="59">
        <f ca="1">AVERAGE(OFFSET($AM$3,0,0,'Données projet'!$E$10+1,1))-AVERAGE(OFFSET($H$3,0,0,'Données projet'!$E$10+1,1))</f>
        <v>423.80243030843661</v>
      </c>
      <c r="AO202" s="59">
        <f t="shared" si="205"/>
        <v>260.29028006191834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9.6208927063698546</v>
      </c>
      <c r="AV202" s="21">
        <f>EXP(-LN(2)/25)*AV201+(1-EXP(-LN(2)/25))/(LN(2)/25)*Calculateur!AQ202*Calculateur!AS202*VLOOKUP('Données projet'!$B$10,Paramètres!$A$1:$I$89,3,0)*0.475*44/12</f>
        <v>5.1714603874360376</v>
      </c>
      <c r="AW202" s="21">
        <f>EXP(-LN(2)/2)*AW201+(1-EXP(-LN(2)/2))/(LN(2)/2)*AQ202*AT202*VLOOKUP('Données projet'!$B$10,Paramètres!$A$1:$I$89,3,0)*0.475*44/12</f>
        <v>8.3411931076474718E-11</v>
      </c>
      <c r="AX202" s="21">
        <f t="shared" si="166"/>
        <v>14.792353093889306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-1.3596945791505279E-13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373.61861223558259</v>
      </c>
      <c r="BJ202" s="59">
        <f t="shared" si="206"/>
        <v>277.62293009761049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14.519377743620176</v>
      </c>
      <c r="BQ202" s="21">
        <f>EXP(-LN(2)/25)*BQ201+(1-EXP(-LN(2)/25))/(LN(2)/25)*Calculateur!BL202*Calculateur!BN202*VLOOKUP('Données projet'!$B$11,Paramètres!$A$1:$I$89,3,0)*0.475*44/12</f>
        <v>1.9096788912951224</v>
      </c>
      <c r="BR202" s="21">
        <f>EXP(-LN(2)/2)*BR201+(1-EXP(-LN(2)/2))/(LN(2)/2)*BL202*BO202*VLOOKUP('Données projet'!$B$11,Paramètres!$A$1:$I$89,3,0)*0.475*44/12</f>
        <v>8.6743490285634423E-17</v>
      </c>
      <c r="BS202" s="22">
        <f t="shared" si="169"/>
        <v>16.429056634915298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8.5265128291212022E-14</v>
      </c>
      <c r="BZ202" s="13">
        <f>BY202*VLOOKUP('Données projet'!$B$12,Paramètres!$A$1:$I$89,3,0)*VLOOKUP('Données projet'!$B$12,Paramètres!$A$1:$I$89,5,0)</f>
        <v>7.4487616075202836E-14</v>
      </c>
      <c r="CA202" s="13">
        <f t="shared" si="170"/>
        <v>1.1580453144473142E-12</v>
      </c>
      <c r="CB202" s="20">
        <f t="shared" si="171"/>
        <v>2.1466615206600508E-12</v>
      </c>
      <c r="CC202" s="59">
        <f t="shared" si="195"/>
        <v>290.51637186933829</v>
      </c>
      <c r="CD202" s="59">
        <f ca="1">AVERAGE(OFFSET($CC$3,0,0,'Données projet'!$E$12+1,1))-AVERAGE(OFFSET($H$3,0,0,'Données projet'!$E$12+1,1))</f>
        <v>251.30277097589737</v>
      </c>
      <c r="CE202" s="59">
        <f t="shared" si="207"/>
        <v>224.11983819941796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2.0942610876286829</v>
      </c>
      <c r="CL202" s="21">
        <f>EXP(-LN(2)/25)*CL201+(1-EXP(-LN(2)/25))/(LN(2)/25)*Calculateur!CG202*Calculateur!CI202*VLOOKUP('Données projet'!$B$12,Paramètres!$A$1:$I$89,3,0)*0.475*44/12</f>
        <v>2.4408275898443503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4.5350886774730332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2.8421709430404007E-14</v>
      </c>
      <c r="CU202" s="17">
        <f>CT202*VLOOKUP('Données projet'!$B$13,Paramètres!$A$1:$I$89,3,0)*VLOOKUP('Données projet'!$B$13,Paramètres!$A$1:$I$89,5,0)</f>
        <v>2.4829205358400945E-14</v>
      </c>
      <c r="CV202" s="13">
        <f t="shared" si="173"/>
        <v>4.3867331143352915E-13</v>
      </c>
      <c r="CW202" s="20">
        <f t="shared" si="174"/>
        <v>8.0726688341261168E-13</v>
      </c>
      <c r="CX202" s="59">
        <f t="shared" si="196"/>
        <v>290.51637186933692</v>
      </c>
      <c r="CY202" s="59">
        <f ca="1">AVERAGE(OFFSET($CX$3,0,0,'Données projet'!$E$13+1,1))-AVERAGE(OFFSET($H$3,0,0,'Données projet'!$E$13+1,1))</f>
        <v>287.28439432670405</v>
      </c>
      <c r="CZ202" s="59">
        <f t="shared" si="208"/>
        <v>276.01618888357268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3.1248582189330727</v>
      </c>
      <c r="DG202" s="21">
        <f>EXP(-LN(2)/25)*DG201+(1-EXP(-LN(2)/25))/(LN(2)/25)*Calculateur!DB202*Calculateur!DD202*VLOOKUP('Données projet'!$B$13,Paramètres!$A$1:$I$89,3,0)*0.475*44/12</f>
        <v>1.3469210641131271</v>
      </c>
      <c r="DH202" s="21">
        <f>EXP(-LN(2)/2)*DH201+(1-EXP(-LN(2)/2))/(LN(2)/2)*DB202*DE202*VLOOKUP('Données projet'!$B$13,Paramètres!$A$1:$I$89,3,0)*0.475*44/12</f>
        <v>5.5746183823408206E-17</v>
      </c>
      <c r="DI202" s="22">
        <f t="shared" si="175"/>
        <v>4.4717792830461995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-9.9475983006414026E-14</v>
      </c>
      <c r="DP202" s="17">
        <f>DO202*VLOOKUP('Données projet'!$B$14,Paramètres!$A$1:$I$89,3,0)*VLOOKUP('Données projet'!$B$14,Paramètres!$A$1:$I$89,5,0)</f>
        <v>-9.6213170763803652E-14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206.5245935130306</v>
      </c>
      <c r="DU202" s="59">
        <f t="shared" si="209"/>
        <v>130.57011290898546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2.9438313563205769</v>
      </c>
      <c r="EB202" s="21">
        <f>EXP(-LN(2)/25)*EB201+(1-EXP(-LN(2)/25))/(LN(2)/25)*Calculateur!DW202*Calculateur!DY202*VLOOKUP('Données projet'!$B$14,Paramètres!$A$1:$I$89,3,0)*0.475*44/12</f>
        <v>2.0579115495836544</v>
      </c>
      <c r="EC202" s="21">
        <f>EXP(-LN(2)/2)*EC201+(1-EXP(-LN(2)/2))/(LN(2)/2)*DW202*DZ202*VLOOKUP('Données projet'!$B$14,Paramètres!$A$1:$I$89,3,0)*0.475*44/12</f>
        <v>3.6331832215904877E-11</v>
      </c>
      <c r="ED202" s="22">
        <f t="shared" si="178"/>
        <v>5.0017429059405636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1.7053025658242404E-13</v>
      </c>
      <c r="EK202" s="17">
        <f>EJ202*VLOOKUP('Données projet'!$B$15,Paramètres!$A$1:$I$89,3,0)*VLOOKUP('Données projet'!$B$15,Paramètres!$A$1:$I$89,5,0)</f>
        <v>7.9808160080574461E-14</v>
      </c>
      <c r="EL202" s="13">
        <f t="shared" si="179"/>
        <v>1.2308384591775343E-12</v>
      </c>
      <c r="EM202" s="20">
        <f t="shared" si="180"/>
        <v>2.282709528541206E-12</v>
      </c>
      <c r="EN202" s="59">
        <f t="shared" si="198"/>
        <v>290.5163718693384</v>
      </c>
      <c r="EO202" s="59">
        <f ca="1">AVERAGE(OFFSET($EN$3,0,0,'Données projet'!$E$15+1,1))-AVERAGE(OFFSET($H$3,0,0,'Données projet'!$E$15+1,1))</f>
        <v>374.38106339726073</v>
      </c>
      <c r="EP202" s="59">
        <f t="shared" si="210"/>
        <v>296.53283288925957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37.832113368343968</v>
      </c>
      <c r="EW202" s="21">
        <f>EXP(-LN(2)/25)*EW201+(1-EXP(-LN(2)/25))/(LN(2)/25)*Calculateur!ER202*Calculateur!ET202*VLOOKUP('Données projet'!$B$15,Paramètres!$A$1:$I$89,3,0)*0.475*44/12</f>
        <v>6.8166567342715743</v>
      </c>
      <c r="EX202" s="21">
        <f>EXP(-LN(2)/2)*EX201+(1-EXP(-LN(2)/2))/(LN(2)/2)*ER202*EU202*VLOOKUP('Données projet'!$B$15,Paramètres!$A$1:$I$89,3,0)*0.475*44/12</f>
        <v>1.8864319237518832E-9</v>
      </c>
      <c r="EY202" s="22">
        <f t="shared" si="181"/>
        <v>44.648770104501978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9">
        <f t="shared" si="191"/>
        <v>290.56523985297031</v>
      </c>
      <c r="S203" s="59">
        <f ca="1">AVERAGE(OFFSET($R$3,0,0,'Données projet'!$E$9+1,1))-AVERAGE(OFFSET($H$3,0,0,'Données projet'!$E$9+1,1))</f>
        <v>681.47578137804555</v>
      </c>
      <c r="T203" s="59">
        <f t="shared" si="204"/>
        <v>300.88511065995885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1.0818439477588981E-13</v>
      </c>
      <c r="AK203" s="13">
        <f t="shared" si="164"/>
        <v>1.6104228458716316E-12</v>
      </c>
      <c r="AL203" s="20">
        <f t="shared" si="165"/>
        <v>2.9932409441277661E-12</v>
      </c>
      <c r="AM203" s="59">
        <f t="shared" si="193"/>
        <v>290.56523985295712</v>
      </c>
      <c r="AN203" s="59">
        <f ca="1">AVERAGE(OFFSET($AM$3,0,0,'Données projet'!$E$10+1,1))-AVERAGE(OFFSET($H$3,0,0,'Données projet'!$E$10+1,1))</f>
        <v>423.80243030843661</v>
      </c>
      <c r="AO203" s="59">
        <f t="shared" si="205"/>
        <v>260.29028006191834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9.4322328685630588</v>
      </c>
      <c r="AV203" s="21">
        <f>EXP(-LN(2)/25)*AV202+(1-EXP(-LN(2)/25))/(LN(2)/25)*Calculateur!AQ203*Calculateur!AS203*VLOOKUP('Données projet'!$B$10,Paramètres!$A$1:$I$89,3,0)*0.475*44/12</f>
        <v>5.0300465311863167</v>
      </c>
      <c r="AW203" s="21">
        <f>EXP(-LN(2)/2)*AW202+(1-EXP(-LN(2)/2))/(LN(2)/2)*AQ203*AT203*VLOOKUP('Données projet'!$B$10,Paramètres!$A$1:$I$89,3,0)*0.475*44/12</f>
        <v>5.8981142096040192E-11</v>
      </c>
      <c r="AX203" s="21">
        <f t="shared" si="166"/>
        <v>14.462279399808356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-1.3596945791505279E-13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373.61861223558259</v>
      </c>
      <c r="BJ203" s="59">
        <f t="shared" si="206"/>
        <v>277.62293009761049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14.234661602013755</v>
      </c>
      <c r="BQ203" s="21">
        <f>EXP(-LN(2)/25)*BQ202+(1-EXP(-LN(2)/25))/(LN(2)/25)*Calculateur!BL203*Calculateur!BN203*VLOOKUP('Données projet'!$B$11,Paramètres!$A$1:$I$89,3,0)*0.475*44/12</f>
        <v>1.857458621587009</v>
      </c>
      <c r="BR203" s="21">
        <f>EXP(-LN(2)/2)*BR202+(1-EXP(-LN(2)/2))/(LN(2)/2)*BL203*BO203*VLOOKUP('Données projet'!$B$11,Paramètres!$A$1:$I$89,3,0)*0.475*44/12</f>
        <v>6.133691020476151E-17</v>
      </c>
      <c r="BS203" s="22">
        <f t="shared" si="169"/>
        <v>16.092120223600766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8.5265128291212022E-14</v>
      </c>
      <c r="BZ203" s="13">
        <f>BY203*VLOOKUP('Données projet'!$B$12,Paramètres!$A$1:$I$89,3,0)*VLOOKUP('Données projet'!$B$12,Paramètres!$A$1:$I$89,5,0)</f>
        <v>7.4487616075202836E-14</v>
      </c>
      <c r="CA203" s="13">
        <f t="shared" si="170"/>
        <v>1.1580453144473142E-12</v>
      </c>
      <c r="CB203" s="20">
        <f t="shared" si="171"/>
        <v>2.1466615206600508E-12</v>
      </c>
      <c r="CC203" s="59">
        <f t="shared" si="195"/>
        <v>290.56523985295627</v>
      </c>
      <c r="CD203" s="59">
        <f ca="1">AVERAGE(OFFSET($CC$3,0,0,'Données projet'!$E$12+1,1))-AVERAGE(OFFSET($H$3,0,0,'Données projet'!$E$12+1,1))</f>
        <v>251.30277097589737</v>
      </c>
      <c r="CE203" s="59">
        <f t="shared" si="207"/>
        <v>224.11983819941796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2.0531939050734178</v>
      </c>
      <c r="CL203" s="21">
        <f>EXP(-LN(2)/25)*CL202+(1-EXP(-LN(2)/25))/(LN(2)/25)*Calculateur!CG203*Calculateur!CI203*VLOOKUP('Données projet'!$B$12,Paramètres!$A$1:$I$89,3,0)*0.475*44/12</f>
        <v>2.3740830310425123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4.4272769361159305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2.8421709430404007E-14</v>
      </c>
      <c r="CU203" s="17">
        <f>CT203*VLOOKUP('Données projet'!$B$13,Paramètres!$A$1:$I$89,3,0)*VLOOKUP('Données projet'!$B$13,Paramètres!$A$1:$I$89,5,0)</f>
        <v>2.4829205358400945E-14</v>
      </c>
      <c r="CV203" s="13">
        <f t="shared" si="173"/>
        <v>4.3867331143352915E-13</v>
      </c>
      <c r="CW203" s="20">
        <f t="shared" si="174"/>
        <v>8.0726688341261168E-13</v>
      </c>
      <c r="CX203" s="59">
        <f t="shared" si="196"/>
        <v>290.5652398529549</v>
      </c>
      <c r="CY203" s="59">
        <f ca="1">AVERAGE(OFFSET($CX$3,0,0,'Données projet'!$E$13+1,1))-AVERAGE(OFFSET($H$3,0,0,'Données projet'!$E$13+1,1))</f>
        <v>287.28439432670405</v>
      </c>
      <c r="CZ203" s="59">
        <f t="shared" si="208"/>
        <v>276.01618888357268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3.0635816552351094</v>
      </c>
      <c r="DG203" s="21">
        <f>EXP(-LN(2)/25)*DG202+(1-EXP(-LN(2)/25))/(LN(2)/25)*Calculateur!DB203*Calculateur!DD203*VLOOKUP('Données projet'!$B$13,Paramètres!$A$1:$I$89,3,0)*0.475*44/12</f>
        <v>1.3100894367834532</v>
      </c>
      <c r="DH203" s="21">
        <f>EXP(-LN(2)/2)*DH202+(1-EXP(-LN(2)/2))/(LN(2)/2)*DB203*DE203*VLOOKUP('Données projet'!$B$13,Paramètres!$A$1:$I$89,3,0)*0.475*44/12</f>
        <v>3.9418504606803763E-17</v>
      </c>
      <c r="DI203" s="22">
        <f t="shared" si="175"/>
        <v>4.3736710920185624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-9.9475983006414026E-14</v>
      </c>
      <c r="DP203" s="17">
        <f>DO203*VLOOKUP('Données projet'!$B$14,Paramètres!$A$1:$I$89,3,0)*VLOOKUP('Données projet'!$B$14,Paramètres!$A$1:$I$89,5,0)</f>
        <v>-9.6213170763803652E-14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206.5245935130306</v>
      </c>
      <c r="DU203" s="59">
        <f t="shared" si="209"/>
        <v>130.57011290898546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2.8861046189829609</v>
      </c>
      <c r="EB203" s="21">
        <f>EXP(-LN(2)/25)*EB202+(1-EXP(-LN(2)/25))/(LN(2)/25)*Calculateur!DW203*Calculateur!DY203*VLOOKUP('Données projet'!$B$14,Paramètres!$A$1:$I$89,3,0)*0.475*44/12</f>
        <v>2.0016378500394243</v>
      </c>
      <c r="EC203" s="21">
        <f>EXP(-LN(2)/2)*EC202+(1-EXP(-LN(2)/2))/(LN(2)/2)*DW203*DZ203*VLOOKUP('Données projet'!$B$14,Paramètres!$A$1:$I$89,3,0)*0.475*44/12</f>
        <v>2.5690484932798208E-11</v>
      </c>
      <c r="ED203" s="22">
        <f t="shared" si="178"/>
        <v>4.8877424690480753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1.7053025658242404E-13</v>
      </c>
      <c r="EK203" s="17">
        <f>EJ203*VLOOKUP('Données projet'!$B$15,Paramètres!$A$1:$I$89,3,0)*VLOOKUP('Données projet'!$B$15,Paramètres!$A$1:$I$89,5,0)</f>
        <v>7.9808160080574461E-14</v>
      </c>
      <c r="EL203" s="13">
        <f t="shared" si="179"/>
        <v>1.2308384591775343E-12</v>
      </c>
      <c r="EM203" s="20">
        <f t="shared" si="180"/>
        <v>2.282709528541206E-12</v>
      </c>
      <c r="EN203" s="59">
        <f t="shared" si="198"/>
        <v>290.56523985295638</v>
      </c>
      <c r="EO203" s="59">
        <f ca="1">AVERAGE(OFFSET($EN$3,0,0,'Données projet'!$E$15+1,1))-AVERAGE(OFFSET($H$3,0,0,'Données projet'!$E$15+1,1))</f>
        <v>374.38106339726073</v>
      </c>
      <c r="EP203" s="59">
        <f t="shared" si="210"/>
        <v>296.53283288925957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37.090248700501398</v>
      </c>
      <c r="EW203" s="21">
        <f>EXP(-LN(2)/25)*EW202+(1-EXP(-LN(2)/25))/(LN(2)/25)*Calculateur!ER203*Calculateur!ET203*VLOOKUP('Données projet'!$B$15,Paramètres!$A$1:$I$89,3,0)*0.475*44/12</f>
        <v>6.63025489740052</v>
      </c>
      <c r="EX203" s="21">
        <f>EXP(-LN(2)/2)*EX202+(1-EXP(-LN(2)/2))/(LN(2)/2)*ER203*EU203*VLOOKUP('Données projet'!$B$15,Paramètres!$A$1:$I$89,3,0)*0.475*44/12</f>
        <v>1.3339088055317408E-9</v>
      </c>
      <c r="EY203" s="22">
        <f t="shared" si="181"/>
        <v>43.720503599235826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1.1852335095914694</v>
      </c>
      <c r="BA205" s="82">
        <f>EXP(LN('Données projet'!B88)/'Données projet'!A88)</f>
        <v>1.2474449991725556</v>
      </c>
      <c r="BV205" s="82">
        <f>EXP(LN('Données projet'!B114)/'Données projet'!A114)</f>
        <v>1.2359900023548769</v>
      </c>
      <c r="CQ205" s="82">
        <f>EXP(LN('Données projet'!B140)/'Données projet'!A140)</f>
        <v>1.2240347367580502</v>
      </c>
      <c r="DL205" s="82">
        <f>EXP(LN('Données projet'!B166)/'Données projet'!A166)</f>
        <v>1.1439407123438055</v>
      </c>
      <c r="EG205" s="82">
        <f>EXP(LN('Données projet'!B192)/'Données projet'!A192)</f>
        <v>1.1244566645013536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20" sqref="N20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sessile</v>
      </c>
      <c r="B6" s="146">
        <f>'Données projet'!D9</f>
        <v>4.8000000000000007</v>
      </c>
      <c r="C6" s="147">
        <f ca="1">IF(OR('Données projet'!B9="",'Données projet'!C9="",'Données projet'!C9=0%),0,Calculateur!S3)</f>
        <v>681.47578137804555</v>
      </c>
      <c r="D6" s="147">
        <f>IF(OR('Données projet'!B9="",'Données projet'!C9="",'Données projet'!C9=0%),0,Calculateur!T3)</f>
        <v>300.88511065995885</v>
      </c>
      <c r="E6" s="147">
        <f ca="1">MIN(C6,D6)</f>
        <v>300.88511065995885</v>
      </c>
      <c r="F6" s="147">
        <f ca="1">E6*B6</f>
        <v>1444.2485311678026</v>
      </c>
      <c r="G6" s="147">
        <f ca="1">F6*(100%-'Données projet'!$C$24)*(100%-'Données projet'!$C$25)*(100%-'Données projet'!$C$26)*(100%-'Données projet'!$C$27)</f>
        <v>1299.8236780510224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1299.8236780510224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Charme</v>
      </c>
      <c r="B7" s="154">
        <f>'Données projet'!D10</f>
        <v>1.6</v>
      </c>
      <c r="C7" s="147">
        <f ca="1">IF(OR('Données projet'!B10="",'Données projet'!C10="",'Données projet'!C10=0%),0,Calculateur!AN3)</f>
        <v>423.80243030843661</v>
      </c>
      <c r="D7" s="147">
        <f>IF(OR('Données projet'!B10="",'Données projet'!C10="",'Données projet'!C10=0%),0,Calculateur!AO3)</f>
        <v>260.29028006191834</v>
      </c>
      <c r="E7" s="147">
        <f t="shared" ref="E7:E15" ca="1" si="0">MIN(C7,D7)</f>
        <v>260.29028006191834</v>
      </c>
      <c r="F7" s="147">
        <f t="shared" ref="F7:F15" ca="1" si="1">E7*B7</f>
        <v>416.46444809906939</v>
      </c>
      <c r="G7" s="147">
        <f ca="1">F7*(100%-'Données projet'!$C$24)*(100%-'Données projet'!$C$25)*(100%-'Données projet'!$C$26)*(100%-'Données projet'!$C$27)</f>
        <v>374.81800328916245</v>
      </c>
      <c r="H7" s="155">
        <f>IF(OR('Données projet'!B10="",'Données projet'!C10="",'Données projet'!C10=0%),0,AVERAGE(Calculateur!$AX$3:$AX$33)*B7)</f>
        <v>0.90292548405509943</v>
      </c>
      <c r="I7" s="149">
        <f>H7*(100%-'Données projet'!$C$24)*(100%-'Données projet'!$C$25)*(100%-'Données projet'!$C$26)*(100%-'Données projet'!$C$27)</f>
        <v>0.81263293564958949</v>
      </c>
      <c r="J7" s="150">
        <f>IF(OR('Données projet'!B10="",'Données projet'!C10="",'Données projet'!C10=0%),0,SUM(Calculateur!$AQ$3:$AQ$33)*VLOOKUP('Données projet'!$B$10,Paramètres!$A$1:$I$89,9,0)*B7)</f>
        <v>11.600000000000001</v>
      </c>
      <c r="K7" s="151">
        <f>J7*(100%-'Données projet'!$C$24)*(100%-'Données projet'!$C$25)*(100%-'Données projet'!$C$26)*(100%-'Données projet'!$C$27)</f>
        <v>10.440000000000001</v>
      </c>
      <c r="L7" s="152">
        <f t="shared" ref="L7:L15" ca="1" si="2">G7+I7+K7</f>
        <v>386.07063622481206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Pin laricio</v>
      </c>
      <c r="B8" s="154">
        <f>'Données projet'!D11</f>
        <v>4.5600000000000005</v>
      </c>
      <c r="C8" s="147">
        <f ca="1">IF(OR('Données projet'!B11="",'Données projet'!C11="",'Données projet'!C11=0%),0,Calculateur!BI3)</f>
        <v>373.61861223558259</v>
      </c>
      <c r="D8" s="147">
        <f>IF(OR('Données projet'!B11="",'Données projet'!C11="",'Données projet'!C11=0%),0,Calculateur!BJ3)</f>
        <v>277.62293009761049</v>
      </c>
      <c r="E8" s="147">
        <f t="shared" ca="1" si="0"/>
        <v>277.62293009761049</v>
      </c>
      <c r="F8" s="147">
        <f t="shared" ca="1" si="1"/>
        <v>1265.9605612451039</v>
      </c>
      <c r="G8" s="147">
        <f ca="1">F8*(100%-'Données projet'!$C$24)*(100%-'Données projet'!$C$25)*(100%-'Données projet'!$C$26)*(100%-'Données projet'!$C$27)</f>
        <v>1139.3645051205935</v>
      </c>
      <c r="H8" s="155">
        <f>IF(OR('Données projet'!B11="",'Données projet'!C11="",'Données projet'!C11=0%),0,AVERAGE(Calculateur!$BS$3:$BS$33)*B8)</f>
        <v>28.901284564001458</v>
      </c>
      <c r="I8" s="149">
        <f>H8*(100%-'Données projet'!$C$24)*(100%-'Données projet'!$C$25)*(100%-'Données projet'!$C$26)*(100%-'Données projet'!$C$27)</f>
        <v>26.011156107601312</v>
      </c>
      <c r="J8" s="150">
        <f>IF(OR('Données projet'!B11="",'Données projet'!C11="",'Données projet'!C11=0%),0,SUM(Calculateur!$BL$3:$BL$33)*VLOOKUP('Données projet'!$B$11,Paramètres!$A$1:$I$89,9,0)*B8)</f>
        <v>177.55044000000001</v>
      </c>
      <c r="K8" s="151">
        <f>J8*(100%-'Données projet'!$C$24)*(100%-'Données projet'!$C$25)*(100%-'Données projet'!$C$26)*(100%-'Données projet'!$C$27)</f>
        <v>159.79539600000001</v>
      </c>
      <c r="L8" s="152">
        <f t="shared" ca="1" si="2"/>
        <v>1325.1710572281947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Chêne rouge d'Amérique</v>
      </c>
      <c r="B9" s="154">
        <f>'Données projet'!D12</f>
        <v>0.4</v>
      </c>
      <c r="C9" s="147">
        <f ca="1">IF(OR('Données projet'!B12="",'Données projet'!C12="",'Données projet'!C12=0%),0,Calculateur!CD3)</f>
        <v>251.30277097589737</v>
      </c>
      <c r="D9" s="147">
        <f>IF(OR('Données projet'!B12="",'Données projet'!C12="",'Données projet'!C12=0%),0,Calculateur!CE3)</f>
        <v>224.11983819941796</v>
      </c>
      <c r="E9" s="147">
        <f t="shared" ca="1" si="0"/>
        <v>224.11983819941796</v>
      </c>
      <c r="F9" s="147">
        <f t="shared" ca="1" si="1"/>
        <v>89.647935279767182</v>
      </c>
      <c r="G9" s="147">
        <f ca="1">F9*(100%-'Données projet'!$C$24)*(100%-'Données projet'!$C$25)*(100%-'Données projet'!$C$26)*(100%-'Données projet'!$C$27)</f>
        <v>80.683141751790473</v>
      </c>
      <c r="H9" s="155">
        <f>IF(OR('Données projet'!B12="",'Données projet'!C12="",'Données projet'!C12=0%),0,AVERAGE(Calculateur!$CN$3:$CN$33)*B9)</f>
        <v>0.93577471689648906</v>
      </c>
      <c r="I9" s="149">
        <f>H9*(100%-'Données projet'!$C$24)*(100%-'Données projet'!$C$25)*(100%-'Données projet'!$C$26)*(100%-'Données projet'!$C$27)</f>
        <v>0.84219724520684014</v>
      </c>
      <c r="J9" s="150">
        <f>IF(OR('Données projet'!B12="",'Données projet'!C12="",'Données projet'!C12=0%),0,SUM(Calculateur!$CG$3:$CG$33)*VLOOKUP('Données projet'!$B$12,Paramètres!$A$1:$I$89,9,0)*B9)</f>
        <v>5.6410256410256414</v>
      </c>
      <c r="K9" s="151">
        <f>J9*(100%-'Données projet'!$C$24)*(100%-'Données projet'!$C$25)*(100%-'Données projet'!$C$26)*(100%-'Données projet'!$C$27)</f>
        <v>5.0769230769230775</v>
      </c>
      <c r="L9" s="152">
        <f t="shared" ca="1" si="2"/>
        <v>86.602262073920386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Erable champêtre</v>
      </c>
      <c r="B10" s="154">
        <f>'Données projet'!D13</f>
        <v>0.4</v>
      </c>
      <c r="C10" s="147">
        <f ca="1">IF(OR('Données projet'!B13="",'Données projet'!C13="",'Données projet'!C13=0%),0,Calculateur!CY3)</f>
        <v>287.28439432670405</v>
      </c>
      <c r="D10" s="147">
        <f>IF(OR('Données projet'!B13="",'Données projet'!C13="",'Données projet'!C13=0%),0,Calculateur!CZ3)</f>
        <v>276.01618888357268</v>
      </c>
      <c r="E10" s="147">
        <f t="shared" ca="1" si="0"/>
        <v>276.01618888357268</v>
      </c>
      <c r="F10" s="147">
        <f t="shared" ca="1" si="1"/>
        <v>110.40647555342908</v>
      </c>
      <c r="G10" s="147">
        <f ca="1">F10*(100%-'Données projet'!$C$24)*(100%-'Données projet'!$C$25)*(100%-'Données projet'!$C$26)*(100%-'Données projet'!$C$27)</f>
        <v>99.365827998086175</v>
      </c>
      <c r="H10" s="155">
        <f>IF(OR('Données projet'!B13="",'Données projet'!C13="",'Données projet'!C13=0%),0,AVERAGE(Calculateur!$DI$3:$DI$33)*B10)</f>
        <v>0.96916921933364086</v>
      </c>
      <c r="I10" s="149">
        <f>H10*(100%-'Données projet'!$C$24)*(100%-'Données projet'!$C$25)*(100%-'Données projet'!$C$26)*(100%-'Données projet'!$C$27)</f>
        <v>0.87225229740027677</v>
      </c>
      <c r="J10" s="150">
        <f>IF(OR('Données projet'!B13="",'Données projet'!C13="",'Données projet'!C13=0%),0,SUM(Calculateur!$DB$3:$DB$33)*VLOOKUP('Données projet'!$B$13,Paramètres!$A$1:$I$89,9,0)*B10)</f>
        <v>6.3000000000000007</v>
      </c>
      <c r="K10" s="151">
        <f>J10*(100%-'Données projet'!$C$24)*(100%-'Données projet'!$C$25)*(100%-'Données projet'!$C$26)*(100%-'Données projet'!$C$27)</f>
        <v>5.6700000000000008</v>
      </c>
      <c r="L10" s="152">
        <f t="shared" ca="1" si="2"/>
        <v>105.90808029548646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>Alisier torminal</v>
      </c>
      <c r="B11" s="154">
        <f>'Données projet'!D14</f>
        <v>0.4</v>
      </c>
      <c r="C11" s="147">
        <f ca="1">IF(OR('Données projet'!B14="",'Données projet'!C14="",'Données projet'!C14=0%),0,Calculateur!DT3)</f>
        <v>206.5245935130306</v>
      </c>
      <c r="D11" s="147">
        <f>IF(OR('Données projet'!B14="",'Données projet'!C14="",'Données projet'!C14=0%),0,Calculateur!DU3)</f>
        <v>130.57011290898546</v>
      </c>
      <c r="E11" s="147">
        <f t="shared" ca="1" si="0"/>
        <v>130.57011290898546</v>
      </c>
      <c r="F11" s="147">
        <f t="shared" ca="1" si="1"/>
        <v>52.228045163594189</v>
      </c>
      <c r="G11" s="147">
        <f ca="1">F11*(100%-'Données projet'!$C$24)*(100%-'Données projet'!$C$25)*(100%-'Données projet'!$C$26)*(100%-'Données projet'!$C$27)</f>
        <v>47.005240647234771</v>
      </c>
      <c r="H11" s="155">
        <f>IF(OR('Données projet'!B14="",'Données projet'!C14="",'Données projet'!C14=0%),0,AVERAGE(Calculateur!$ED$3:$ED$33)*B11)</f>
        <v>0.1211742010459968</v>
      </c>
      <c r="I11" s="149">
        <f>H11*(100%-'Données projet'!$C$24)*(100%-'Données projet'!$C$25)*(100%-'Données projet'!$C$26)*(100%-'Données projet'!$C$27)</f>
        <v>0.10905678094139712</v>
      </c>
      <c r="J11" s="150">
        <f>IF(OR('Données projet'!B14="",'Données projet'!C14="",'Données projet'!C14=0%),0,SUM(Calculateur!$DW$3:$DW$33)*VLOOKUP('Données projet'!$B$14,Paramètres!$A$1:$I$89,9,0)*B11)</f>
        <v>1.0897435897435899</v>
      </c>
      <c r="K11" s="151">
        <f>J11*(100%-'Données projet'!$C$24)*(100%-'Données projet'!$C$25)*(100%-'Données projet'!$C$26)*(100%-'Données projet'!$C$27)</f>
        <v>0.98076923076923095</v>
      </c>
      <c r="L11" s="152">
        <f t="shared" ca="1" si="2"/>
        <v>48.095066658945399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>Cèdre de l'Atlas</v>
      </c>
      <c r="B12" s="154">
        <f>'Données projet'!D15</f>
        <v>3.44</v>
      </c>
      <c r="C12" s="147">
        <f ca="1">IF(OR('Données projet'!B15="",'Données projet'!C15="",'Données projet'!C15=0%),0,Calculateur!EO3)</f>
        <v>374.38106339726073</v>
      </c>
      <c r="D12" s="147">
        <f>IF(OR('Données projet'!B15="",'Données projet'!C15="",'Données projet'!C15=0%),0,Calculateur!EP3)</f>
        <v>296.53283288925957</v>
      </c>
      <c r="E12" s="147">
        <f t="shared" ca="1" si="0"/>
        <v>296.53283288925957</v>
      </c>
      <c r="F12" s="147">
        <f t="shared" ca="1" si="1"/>
        <v>1020.0729451390529</v>
      </c>
      <c r="G12" s="147">
        <f ca="1">F12*(100%-'Données projet'!$C$24)*(100%-'Données projet'!$C$25)*(100%-'Données projet'!$C$26)*(100%-'Données projet'!$C$27)</f>
        <v>918.06565062514755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918.06565062514755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4399.0289416478199</v>
      </c>
      <c r="G16" s="166">
        <f t="shared" ca="1" si="3"/>
        <v>3959.1260474830374</v>
      </c>
      <c r="H16" s="167">
        <f t="shared" si="3"/>
        <v>31.830328185332682</v>
      </c>
      <c r="I16" s="167">
        <f t="shared" si="3"/>
        <v>28.647295366799415</v>
      </c>
      <c r="J16" s="168">
        <f t="shared" si="3"/>
        <v>202.18120923076924</v>
      </c>
      <c r="K16" s="168">
        <f t="shared" si="3"/>
        <v>181.96308830769229</v>
      </c>
      <c r="L16" s="169">
        <f t="shared" ca="1" si="3"/>
        <v>4169.7364311575293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Erable champêtre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>Cèdre de l'Atlas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Normal="100" workbookViewId="0">
      <selection activeCell="J21" sqref="J21:J29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861.70395431010343</v>
      </c>
      <c r="U10" s="178">
        <f>'Données projet'!D9</f>
        <v>4.8000000000000007</v>
      </c>
      <c r="V10" s="177">
        <f>U10*T10</f>
        <v>4136.1789806884972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Charme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335.76636165629861</v>
      </c>
      <c r="U11" s="178">
        <f>'Données projet'!D10</f>
        <v>1.6</v>
      </c>
      <c r="V11" s="177">
        <f t="shared" ref="V11" si="0">U11*T11</f>
        <v>537.22617865007783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1674.4714956032494</v>
      </c>
      <c r="U12" s="178">
        <f>'Données projet'!D11</f>
        <v>4.5600000000000005</v>
      </c>
      <c r="V12" s="177">
        <f t="shared" ref="V12:V19" si="1">U12*T12</f>
        <v>7635.5900199508178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rouge d'Amérique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486.92773227846953</v>
      </c>
      <c r="U13" s="178">
        <f>'Données projet'!D12</f>
        <v>0.4</v>
      </c>
      <c r="V13" s="177">
        <f t="shared" si="1"/>
        <v>194.77109291138783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champêtre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571.91518057530845</v>
      </c>
      <c r="U14" s="178">
        <f>'Données projet'!D13</f>
        <v>0.4</v>
      </c>
      <c r="V14" s="177">
        <f t="shared" si="1"/>
        <v>228.7660722301234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67.84129166727368</v>
      </c>
      <c r="U15" s="178">
        <f>'Données projet'!D14</f>
        <v>0.4</v>
      </c>
      <c r="V15" s="177">
        <f t="shared" si="1"/>
        <v>27.136516666909472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Cèdre de l'Atlas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856.52850877369065</v>
      </c>
      <c r="U16" s="178">
        <f>'Données projet'!D15</f>
        <v>3.44</v>
      </c>
      <c r="V16" s="177">
        <f t="shared" si="1"/>
        <v>2946.4580701814957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4600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42</v>
      </c>
      <c r="B23" s="181">
        <f>'Données projet'!D36</f>
        <v>44.510000000000005</v>
      </c>
      <c r="C23" s="193">
        <v>15</v>
      </c>
      <c r="D23" s="182">
        <f>B23*C23</f>
        <v>667.65000000000009</v>
      </c>
      <c r="E23" s="193">
        <v>60</v>
      </c>
      <c r="F23" s="230"/>
      <c r="H23" s="190">
        <v>5</v>
      </c>
      <c r="I23" s="191">
        <v>600</v>
      </c>
      <c r="J23" s="304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-82839.162733345031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50</v>
      </c>
      <c r="B24" s="181">
        <f>'Données projet'!D37</f>
        <v>37.54000000000002</v>
      </c>
      <c r="C24" s="193">
        <v>15</v>
      </c>
      <c r="D24" s="182">
        <f t="shared" ref="D24:D42" si="2">B24*C24</f>
        <v>563.10000000000036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42242.325704483803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58</v>
      </c>
      <c r="B25" s="181">
        <f>'Données projet'!D38</f>
        <v>47.789999999999992</v>
      </c>
      <c r="C25" s="193">
        <v>15</v>
      </c>
      <c r="D25" s="182">
        <f t="shared" si="2"/>
        <v>716.84999999999991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120</v>
      </c>
      <c r="Q25" s="234"/>
      <c r="R25" s="23"/>
      <c r="S25" s="186" t="s">
        <v>266</v>
      </c>
      <c r="T25" s="299">
        <f ca="1">T23-T24</f>
        <v>-125081.48843782884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66</v>
      </c>
      <c r="B26" s="181">
        <f>'Données projet'!D39</f>
        <v>53.679999999999978</v>
      </c>
      <c r="C26" s="193">
        <v>59.875</v>
      </c>
      <c r="D26" s="182">
        <f t="shared" si="2"/>
        <v>3214.0899999999988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74</v>
      </c>
      <c r="B27" s="181">
        <f>'Données projet'!D40</f>
        <v>51.339999999999975</v>
      </c>
      <c r="C27" s="193">
        <v>59.875</v>
      </c>
      <c r="D27" s="182">
        <f t="shared" si="2"/>
        <v>3073.9824999999987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84</v>
      </c>
      <c r="B28" s="181">
        <f>'Données projet'!D41</f>
        <v>66.69</v>
      </c>
      <c r="C28" s="193">
        <v>59.875</v>
      </c>
      <c r="D28" s="182">
        <f t="shared" si="2"/>
        <v>3993.0637499999998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94</v>
      </c>
      <c r="B29" s="181">
        <f>'Données projet'!D42</f>
        <v>67.350000000000023</v>
      </c>
      <c r="C29" s="193">
        <v>59.875</v>
      </c>
      <c r="D29" s="182">
        <f t="shared" si="2"/>
        <v>4032.5812500000015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104</v>
      </c>
      <c r="B30" s="181">
        <f>'Données projet'!D43</f>
        <v>66.089999999999975</v>
      </c>
      <c r="C30" s="193">
        <v>59.875</v>
      </c>
      <c r="D30" s="182">
        <f t="shared" si="2"/>
        <v>3957.1387499999987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2707.8413913130644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114</v>
      </c>
      <c r="B31" s="181">
        <f>'Données projet'!D44</f>
        <v>61.860000000000014</v>
      </c>
      <c r="C31" s="193">
        <v>59.875</v>
      </c>
      <c r="D31" s="182">
        <f t="shared" si="2"/>
        <v>3703.8675000000007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124</v>
      </c>
      <c r="B32" s="181">
        <f>'Données projet'!D45</f>
        <v>57.81</v>
      </c>
      <c r="C32" s="193">
        <v>59.875</v>
      </c>
      <c r="D32" s="182">
        <f t="shared" si="2"/>
        <v>3461.3737500000002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134</v>
      </c>
      <c r="B33" s="181">
        <f>'Données projet'!D46</f>
        <v>60.779999999999973</v>
      </c>
      <c r="C33" s="193">
        <v>179.75</v>
      </c>
      <c r="D33" s="182">
        <f t="shared" si="2"/>
        <v>10925.204999999994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120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144</v>
      </c>
      <c r="B34" s="181">
        <f>'Données projet'!D47</f>
        <v>61.800000000000068</v>
      </c>
      <c r="C34" s="193">
        <v>179.75</v>
      </c>
      <c r="D34" s="182">
        <f t="shared" si="2"/>
        <v>11108.550000000012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114.83253588516747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154</v>
      </c>
      <c r="B35" s="181">
        <f>'Données projet'!D48</f>
        <v>61.050000000000011</v>
      </c>
      <c r="C35" s="193">
        <v>179.75</v>
      </c>
      <c r="D35" s="182">
        <f t="shared" si="2"/>
        <v>10973.737500000003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109.88759414848563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164</v>
      </c>
      <c r="B36" s="181">
        <f>'Données projet'!D49</f>
        <v>66.020000000000095</v>
      </c>
      <c r="C36" s="193">
        <v>179.75</v>
      </c>
      <c r="D36" s="182">
        <f t="shared" si="2"/>
        <v>11867.095000000018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105.15559248658911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174</v>
      </c>
      <c r="B37" s="181">
        <f>'Données projet'!D50</f>
        <v>240</v>
      </c>
      <c r="C37" s="193">
        <v>234.375</v>
      </c>
      <c r="D37" s="182">
        <f t="shared" si="2"/>
        <v>56250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100.62736123118579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177</v>
      </c>
      <c r="B38" s="181">
        <f>'Données projet'!D51</f>
        <v>128.66000000000003</v>
      </c>
      <c r="C38" s="193">
        <v>234.375</v>
      </c>
      <c r="D38" s="182">
        <f t="shared" si="2"/>
        <v>30154.687500000007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96.294125580082095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180</v>
      </c>
      <c r="B39" s="181">
        <f>'Données projet'!D52</f>
        <v>86.97</v>
      </c>
      <c r="C39" s="193">
        <v>234.375</v>
      </c>
      <c r="D39" s="182">
        <f t="shared" si="2"/>
        <v>20383.59375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92.147488593380018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183</v>
      </c>
      <c r="B40" s="181">
        <f>'Données projet'!D53</f>
        <v>191.47</v>
      </c>
      <c r="C40" s="193">
        <v>234.375</v>
      </c>
      <c r="D40" s="182">
        <f t="shared" si="2"/>
        <v>44875.78125</v>
      </c>
      <c r="E40" s="193">
        <v>60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88.179414921894747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84.382215236262937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80.748531326567416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77.271321843605193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73.943848654167653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Charme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70.759663783892506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67.71259692238516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64.796743466397302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62.006453077892154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59.336318734825049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56.781166253421098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54.336044261646997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51.996214604446891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49.757143162150143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25</v>
      </c>
      <c r="B54" s="181">
        <f>'Données projet'!D62</f>
        <v>8</v>
      </c>
      <c r="C54" s="191">
        <v>13.25</v>
      </c>
      <c r="D54" s="179">
        <f>B54*C54</f>
        <v>106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47.614491064258509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30</v>
      </c>
      <c r="B55" s="181">
        <f>'Données projet'!D63</f>
        <v>21</v>
      </c>
      <c r="C55" s="191">
        <v>13.25</v>
      </c>
      <c r="D55" s="179">
        <f t="shared" ref="D55:D73" si="4">B55*C55</f>
        <v>278.25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45.564106281587101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35</v>
      </c>
      <c r="B56" s="181">
        <f>'Données projet'!D64</f>
        <v>21</v>
      </c>
      <c r="C56" s="191">
        <v>13.25</v>
      </c>
      <c r="D56" s="179">
        <f t="shared" si="4"/>
        <v>278.25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43.602015580466123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40</v>
      </c>
      <c r="B57" s="181">
        <f>'Données projet'!D65</f>
        <v>21</v>
      </c>
      <c r="C57" s="191">
        <v>13.25</v>
      </c>
      <c r="D57" s="179">
        <f t="shared" si="4"/>
        <v>278.25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41.724416823412568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45</v>
      </c>
      <c r="B58" s="181">
        <f>'Données projet'!D66</f>
        <v>21</v>
      </c>
      <c r="C58" s="191">
        <v>13.25</v>
      </c>
      <c r="D58" s="179">
        <f t="shared" si="4"/>
        <v>278.25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39.92767160135174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50</v>
      </c>
      <c r="B59" s="181">
        <f>'Données projet'!D67</f>
        <v>21</v>
      </c>
      <c r="C59" s="191">
        <v>13.25</v>
      </c>
      <c r="D59" s="179">
        <f t="shared" si="4"/>
        <v>278.25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38.208298183111729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55</v>
      </c>
      <c r="B60" s="181">
        <f>'Données projet'!D68</f>
        <v>21</v>
      </c>
      <c r="C60" s="191">
        <v>13.25</v>
      </c>
      <c r="D60" s="179">
        <f t="shared" si="4"/>
        <v>278.25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36.562964768527969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60</v>
      </c>
      <c r="B61" s="181">
        <f>'Données projet'!D69</f>
        <v>21</v>
      </c>
      <c r="C61" s="191">
        <v>13.25</v>
      </c>
      <c r="D61" s="179">
        <f t="shared" si="4"/>
        <v>278.25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34.98848303208419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65</v>
      </c>
      <c r="B62" s="181">
        <f>'Données projet'!D70</f>
        <v>21</v>
      </c>
      <c r="C62" s="191">
        <v>13.25</v>
      </c>
      <c r="D62" s="179">
        <f t="shared" si="4"/>
        <v>278.25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33.481801944578166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70</v>
      </c>
      <c r="B63" s="181">
        <f>'Données projet'!D71</f>
        <v>21</v>
      </c>
      <c r="C63" s="191">
        <v>25.625</v>
      </c>
      <c r="D63" s="179">
        <f t="shared" si="4"/>
        <v>538.125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32.040001860840363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75</v>
      </c>
      <c r="B64" s="181">
        <f>'Données projet'!D72</f>
        <v>21</v>
      </c>
      <c r="C64" s="191">
        <v>25.625</v>
      </c>
      <c r="D64" s="179">
        <f t="shared" si="4"/>
        <v>538.125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30.660288862048187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80</v>
      </c>
      <c r="B65" s="181">
        <f>'Données projet'!D73</f>
        <v>21</v>
      </c>
      <c r="C65" s="191">
        <v>25.625</v>
      </c>
      <c r="D65" s="179">
        <f t="shared" si="4"/>
        <v>538.125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29.339989341672922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85</v>
      </c>
      <c r="B66" s="181">
        <f>'Données projet'!D74</f>
        <v>21</v>
      </c>
      <c r="C66" s="191">
        <v>25.625</v>
      </c>
      <c r="D66" s="179">
        <f t="shared" si="4"/>
        <v>538.125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28.076544824567392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90</v>
      </c>
      <c r="B67" s="181">
        <f>'Données projet'!D75</f>
        <v>21</v>
      </c>
      <c r="C67" s="191">
        <v>25.625</v>
      </c>
      <c r="D67" s="179">
        <f t="shared" si="4"/>
        <v>538.125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26.867507009155403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95</v>
      </c>
      <c r="B68" s="181">
        <f>'Données projet'!D76</f>
        <v>21</v>
      </c>
      <c r="C68" s="191">
        <v>25.625</v>
      </c>
      <c r="D68" s="179">
        <f t="shared" si="4"/>
        <v>538.125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25.710533023115218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100</v>
      </c>
      <c r="B69" s="181">
        <f>'Données projet'!D77</f>
        <v>21</v>
      </c>
      <c r="C69" s="191">
        <v>25.625</v>
      </c>
      <c r="D69" s="179">
        <f t="shared" si="4"/>
        <v>538.125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24.603380883363851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105</v>
      </c>
      <c r="B70" s="181">
        <f>'Données projet'!D78</f>
        <v>20</v>
      </c>
      <c r="C70" s="191">
        <v>25.625</v>
      </c>
      <c r="D70" s="179">
        <f t="shared" si="4"/>
        <v>512.5</v>
      </c>
      <c r="E70" s="193">
        <v>60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23.543905151544354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110</v>
      </c>
      <c r="B71" s="181">
        <f>'Données projet'!D79</f>
        <v>19</v>
      </c>
      <c r="C71" s="191">
        <v>25.625</v>
      </c>
      <c r="D71" s="179">
        <f t="shared" si="4"/>
        <v>486.875</v>
      </c>
      <c r="E71" s="193">
        <v>60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22.530052776597472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115</v>
      </c>
      <c r="B72" s="181">
        <f>'Données projet'!D80</f>
        <v>18</v>
      </c>
      <c r="C72" s="191">
        <v>25.625</v>
      </c>
      <c r="D72" s="179">
        <f t="shared" si="4"/>
        <v>461.25</v>
      </c>
      <c r="E72" s="193">
        <v>60</v>
      </c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21.559859116361217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120</v>
      </c>
      <c r="B73" s="181">
        <f>'Données projet'!D81</f>
        <v>285</v>
      </c>
      <c r="C73" s="191">
        <v>25.625</v>
      </c>
      <c r="D73" s="179">
        <f t="shared" si="4"/>
        <v>7303.125</v>
      </c>
      <c r="E73" s="193">
        <v>60</v>
      </c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20.631444130489207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19.743008737310252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18.89283132756962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18.079264428296288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17.300731510331378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16.555723933331461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15.842798022326761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15.160572270169148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14.507724660448952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13.882990105692777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13.285157995878258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12.71306985251508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22</v>
      </c>
      <c r="B85" s="181">
        <f>'Données projet'!D88</f>
        <v>52.620000000000005</v>
      </c>
      <c r="C85" s="191">
        <v>12.75</v>
      </c>
      <c r="D85" s="179">
        <f>B85*C85</f>
        <v>670.90500000000009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12.16561708374649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27</v>
      </c>
      <c r="B86" s="181">
        <f>'Données projet'!D89</f>
        <v>37.929999999999993</v>
      </c>
      <c r="C86" s="191">
        <v>12.75</v>
      </c>
      <c r="D86" s="179">
        <f t="shared" ref="D86:D104" si="6">B86*C86</f>
        <v>483.6074999999999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11.641738836121043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33</v>
      </c>
      <c r="B87" s="181">
        <f>'Données projet'!D90</f>
        <v>50.460000000000008</v>
      </c>
      <c r="C87" s="191">
        <v>12.75</v>
      </c>
      <c r="D87" s="179">
        <f t="shared" si="6"/>
        <v>643.36500000000012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11.140419938871815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41</v>
      </c>
      <c r="B88" s="181">
        <f>'Données projet'!D91</f>
        <v>72.16</v>
      </c>
      <c r="C88" s="191">
        <v>24.5</v>
      </c>
      <c r="D88" s="179">
        <f t="shared" si="6"/>
        <v>1767.9199999999998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10.660688936719438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50</v>
      </c>
      <c r="B89" s="181">
        <f>'Données projet'!D92</f>
        <v>70.20999999999998</v>
      </c>
      <c r="C89" s="191">
        <v>24.5</v>
      </c>
      <c r="D89" s="179">
        <f t="shared" si="6"/>
        <v>1720.1449999999995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10.201616207387026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60</v>
      </c>
      <c r="B90" s="181">
        <f>'Données projet'!D93</f>
        <v>69.839999999999975</v>
      </c>
      <c r="C90" s="191">
        <v>24.5</v>
      </c>
      <c r="D90" s="179">
        <f t="shared" si="6"/>
        <v>1711.0799999999995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9.7623121601789737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70</v>
      </c>
      <c r="B91" s="181">
        <f>'Données projet'!D94</f>
        <v>67.88</v>
      </c>
      <c r="C91" s="191">
        <v>24.5</v>
      </c>
      <c r="D91" s="179">
        <f t="shared" si="6"/>
        <v>1663.06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9.3419255121329901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80</v>
      </c>
      <c r="B92" s="181">
        <f>'Données projet'!D95</f>
        <v>520.03</v>
      </c>
      <c r="C92" s="191">
        <v>34</v>
      </c>
      <c r="D92" s="179">
        <f t="shared" si="6"/>
        <v>17681.02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8.9396416384047761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8.5546809936887822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8.186297601616058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7.8337776092019729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7.4964379035425566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7.1736247880790058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6.8647127158650765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6.5691030773828505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6.2862230405577515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6.0155244407251214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5.7564827183972458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5.5085959027724858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5.271383639016733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5.0443862574322811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4.8271638827103178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Chêne rouge d'Amérique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4.6192955815409737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4.4203785469291619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4.2300273176355629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4.0478730312302034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3.8735627093112006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3.7067585735035409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3.5471373909124804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20</v>
      </c>
      <c r="B116" s="181">
        <f>'Données projet'!D114</f>
        <v>26.282051282051281</v>
      </c>
      <c r="C116" s="191">
        <v>13.5625</v>
      </c>
      <c r="D116" s="179">
        <f>B116*C116</f>
        <v>356.4503205128205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25</v>
      </c>
      <c r="B117" s="181">
        <f>'Données projet'!D115</f>
        <v>14.743589743589743</v>
      </c>
      <c r="C117" s="191">
        <v>13.5625</v>
      </c>
      <c r="D117" s="179">
        <f t="shared" ref="D117:D135" si="8">B117*C117</f>
        <v>199.95993589743588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30</v>
      </c>
      <c r="B118" s="181">
        <f>'Données projet'!D116</f>
        <v>15.384615384615383</v>
      </c>
      <c r="C118" s="191">
        <v>13.5625</v>
      </c>
      <c r="D118" s="179">
        <f t="shared" si="8"/>
        <v>208.65384615384613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35</v>
      </c>
      <c r="B119" s="181">
        <f>'Données projet'!D117</f>
        <v>15.384615384615383</v>
      </c>
      <c r="C119" s="191">
        <v>13.5625</v>
      </c>
      <c r="D119" s="179">
        <f t="shared" si="8"/>
        <v>208.65384615384613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40</v>
      </c>
      <c r="B120" s="181">
        <f>'Données projet'!D118</f>
        <v>14.743589743589743</v>
      </c>
      <c r="C120" s="191">
        <v>13.5625</v>
      </c>
      <c r="D120" s="179">
        <f t="shared" si="8"/>
        <v>199.95993589743588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45</v>
      </c>
      <c r="B121" s="181">
        <f>'Données projet'!D119</f>
        <v>14.102564102564102</v>
      </c>
      <c r="C121" s="191">
        <v>13.5625</v>
      </c>
      <c r="D121" s="179">
        <f t="shared" si="8"/>
        <v>191.26602564102564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50</v>
      </c>
      <c r="B122" s="181">
        <f>'Données projet'!D120</f>
        <v>13.461538461538462</v>
      </c>
      <c r="C122" s="191">
        <v>13.5625</v>
      </c>
      <c r="D122" s="179">
        <f t="shared" si="8"/>
        <v>182.57211538461539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55</v>
      </c>
      <c r="B123" s="181">
        <f>'Données projet'!D121</f>
        <v>12.820512820512819</v>
      </c>
      <c r="C123" s="191">
        <v>32.787500000000001</v>
      </c>
      <c r="D123" s="179">
        <f t="shared" si="8"/>
        <v>420.35256410256409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60</v>
      </c>
      <c r="B124" s="181">
        <f>'Données projet'!D122</f>
        <v>11.538461538461538</v>
      </c>
      <c r="C124" s="191">
        <v>32.787500000000001</v>
      </c>
      <c r="D124" s="179">
        <f t="shared" si="8"/>
        <v>378.31730769230768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65</v>
      </c>
      <c r="B125" s="181">
        <f>'Données projet'!D123</f>
        <v>10.897435897435898</v>
      </c>
      <c r="C125" s="191">
        <v>32.787500000000001</v>
      </c>
      <c r="D125" s="179">
        <f t="shared" si="8"/>
        <v>357.2996794871795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70</v>
      </c>
      <c r="B126" s="181">
        <f>'Données projet'!D124</f>
        <v>10.256410256410255</v>
      </c>
      <c r="C126" s="191">
        <v>32.787500000000001</v>
      </c>
      <c r="D126" s="179">
        <f t="shared" si="8"/>
        <v>336.28205128205127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75</v>
      </c>
      <c r="B127" s="181">
        <f>'Données projet'!D125</f>
        <v>8.9743589743589745</v>
      </c>
      <c r="C127" s="191">
        <v>32.787500000000001</v>
      </c>
      <c r="D127" s="179">
        <f t="shared" si="8"/>
        <v>294.24679487179486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80</v>
      </c>
      <c r="B128" s="181">
        <f>'Données projet'!D126</f>
        <v>8.3333333333333339</v>
      </c>
      <c r="C128" s="191">
        <v>32.787500000000001</v>
      </c>
      <c r="D128" s="179">
        <f t="shared" si="8"/>
        <v>273.22916666666669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85</v>
      </c>
      <c r="B129" s="181">
        <f>'Données projet'!D127</f>
        <v>7.6923076923076916</v>
      </c>
      <c r="C129" s="191">
        <v>32.787500000000001</v>
      </c>
      <c r="D129" s="179">
        <f t="shared" si="8"/>
        <v>252.21153846153845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90</v>
      </c>
      <c r="B130" s="181">
        <f>'Données projet'!D128</f>
        <v>7.0512820512820511</v>
      </c>
      <c r="C130" s="191">
        <v>32.787500000000001</v>
      </c>
      <c r="D130" s="179">
        <f t="shared" si="8"/>
        <v>231.19391025641025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95</v>
      </c>
      <c r="B131" s="181">
        <f>'Données projet'!D129</f>
        <v>7.0512820512820511</v>
      </c>
      <c r="C131" s="191">
        <v>32.787500000000001</v>
      </c>
      <c r="D131" s="179">
        <f t="shared" si="8"/>
        <v>231.19391025641025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100</v>
      </c>
      <c r="B132" s="181">
        <f>'Données projet'!D130</f>
        <v>153.84615384615384</v>
      </c>
      <c r="C132" s="191">
        <v>43.025000000000006</v>
      </c>
      <c r="D132" s="179">
        <f t="shared" si="8"/>
        <v>6619.2307692307695</v>
      </c>
      <c r="E132" s="193">
        <v>60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Erable champêtre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20</v>
      </c>
      <c r="B147" s="175">
        <f>'Données projet'!D140</f>
        <v>21</v>
      </c>
      <c r="C147" s="191">
        <v>13.75</v>
      </c>
      <c r="D147" s="182">
        <f>B147*C147</f>
        <v>288.75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25</v>
      </c>
      <c r="B148" s="175">
        <f>'Données projet'!D141</f>
        <v>21</v>
      </c>
      <c r="C148" s="191">
        <v>13.75</v>
      </c>
      <c r="D148" s="182">
        <f t="shared" ref="D148:D166" si="10">B148*C148</f>
        <v>288.75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30</v>
      </c>
      <c r="B149" s="175">
        <f>'Données projet'!D142</f>
        <v>21</v>
      </c>
      <c r="C149" s="191">
        <v>13.75</v>
      </c>
      <c r="D149" s="182">
        <f t="shared" si="10"/>
        <v>288.75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35</v>
      </c>
      <c r="B150" s="175">
        <f>'Données projet'!D143</f>
        <v>21</v>
      </c>
      <c r="C150" s="191">
        <v>13.75</v>
      </c>
      <c r="D150" s="182">
        <f t="shared" si="10"/>
        <v>288.75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40</v>
      </c>
      <c r="B151" s="175">
        <f>'Données projet'!D144</f>
        <v>21</v>
      </c>
      <c r="C151" s="191">
        <v>13.75</v>
      </c>
      <c r="D151" s="182">
        <f t="shared" si="10"/>
        <v>288.75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45</v>
      </c>
      <c r="B152" s="175">
        <f>'Données projet'!D145</f>
        <v>18</v>
      </c>
      <c r="C152" s="191">
        <v>13.75</v>
      </c>
      <c r="D152" s="182">
        <f t="shared" si="10"/>
        <v>247.5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50</v>
      </c>
      <c r="B153" s="175">
        <f>'Données projet'!D146</f>
        <v>13</v>
      </c>
      <c r="C153" s="191">
        <v>23.75</v>
      </c>
      <c r="D153" s="182">
        <f t="shared" si="10"/>
        <v>308.75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55</v>
      </c>
      <c r="B154" s="175">
        <f>'Données projet'!D147</f>
        <v>11</v>
      </c>
      <c r="C154" s="191">
        <v>23.75</v>
      </c>
      <c r="D154" s="182">
        <f t="shared" si="10"/>
        <v>261.25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60</v>
      </c>
      <c r="B155" s="175">
        <f>'Données projet'!D148</f>
        <v>9</v>
      </c>
      <c r="C155" s="191">
        <v>23.75</v>
      </c>
      <c r="D155" s="182">
        <f t="shared" si="10"/>
        <v>213.75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65</v>
      </c>
      <c r="B156" s="175">
        <f>'Données projet'!D149</f>
        <v>8</v>
      </c>
      <c r="C156" s="191">
        <v>23.75</v>
      </c>
      <c r="D156" s="182">
        <f t="shared" si="10"/>
        <v>190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70</v>
      </c>
      <c r="B157" s="175">
        <f>'Données projet'!D150</f>
        <v>8</v>
      </c>
      <c r="C157" s="191">
        <v>23.75</v>
      </c>
      <c r="D157" s="182">
        <f t="shared" si="10"/>
        <v>190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75</v>
      </c>
      <c r="B158" s="175">
        <f>'Données projet'!D151</f>
        <v>7</v>
      </c>
      <c r="C158" s="191">
        <v>23.75</v>
      </c>
      <c r="D158" s="182">
        <f t="shared" si="10"/>
        <v>166.25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80</v>
      </c>
      <c r="B159" s="175">
        <f>'Données projet'!D152</f>
        <v>219</v>
      </c>
      <c r="C159" s="191">
        <v>23.75</v>
      </c>
      <c r="D159" s="182">
        <f t="shared" si="10"/>
        <v>5201.25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25</v>
      </c>
      <c r="B178" s="181">
        <f>'Données projet'!D166</f>
        <v>5.7692307692307692</v>
      </c>
      <c r="C178" s="193">
        <v>13.75</v>
      </c>
      <c r="D178" s="179">
        <f>B178*C178</f>
        <v>79.32692307692308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30</v>
      </c>
      <c r="B179" s="181">
        <f>'Données projet'!D167</f>
        <v>5.1282051282051277</v>
      </c>
      <c r="C179" s="193">
        <v>13.75</v>
      </c>
      <c r="D179" s="179">
        <f t="shared" ref="D179:D197" si="11">B179*C179</f>
        <v>70.512820512820511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35</v>
      </c>
      <c r="B180" s="181">
        <f>'Données projet'!D168</f>
        <v>5.7692307692307692</v>
      </c>
      <c r="C180" s="193">
        <v>13.75</v>
      </c>
      <c r="D180" s="179">
        <f t="shared" si="11"/>
        <v>79.32692307692308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40</v>
      </c>
      <c r="B181" s="181">
        <f>'Données projet'!D169</f>
        <v>5.7692307692307692</v>
      </c>
      <c r="C181" s="193">
        <v>13.75</v>
      </c>
      <c r="D181" s="179">
        <f t="shared" si="11"/>
        <v>79.32692307692308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45</v>
      </c>
      <c r="B182" s="181">
        <f>'Données projet'!D170</f>
        <v>5.7692307692307692</v>
      </c>
      <c r="C182" s="193">
        <v>13.75</v>
      </c>
      <c r="D182" s="179">
        <f t="shared" si="11"/>
        <v>79.32692307692308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50</v>
      </c>
      <c r="B183" s="181">
        <f>'Données projet'!D171</f>
        <v>6.4102564102564097</v>
      </c>
      <c r="C183" s="193">
        <v>13.75</v>
      </c>
      <c r="D183" s="179">
        <f t="shared" si="11"/>
        <v>88.141025641025635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55</v>
      </c>
      <c r="B184" s="181">
        <f>'Données projet'!D172</f>
        <v>6.4102564102564097</v>
      </c>
      <c r="C184" s="193">
        <v>13.75</v>
      </c>
      <c r="D184" s="179">
        <f t="shared" si="11"/>
        <v>88.141025641025635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60</v>
      </c>
      <c r="B185" s="181">
        <f>'Données projet'!D173</f>
        <v>6.4102564102564097</v>
      </c>
      <c r="C185" s="193">
        <v>13.75</v>
      </c>
      <c r="D185" s="179">
        <f t="shared" si="11"/>
        <v>88.141025641025635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65</v>
      </c>
      <c r="B186" s="181">
        <f>'Données projet'!D174</f>
        <v>6.4102564102564097</v>
      </c>
      <c r="C186" s="193">
        <v>13.75</v>
      </c>
      <c r="D186" s="179">
        <f t="shared" si="11"/>
        <v>88.141025641025635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70</v>
      </c>
      <c r="B187" s="181">
        <f>'Données projet'!D175</f>
        <v>6.4102564102564097</v>
      </c>
      <c r="C187" s="193">
        <v>13.75</v>
      </c>
      <c r="D187" s="179">
        <f t="shared" si="11"/>
        <v>88.141025641025635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75</v>
      </c>
      <c r="B188" s="181">
        <f>'Données projet'!D176</f>
        <v>6.4102564102564097</v>
      </c>
      <c r="C188" s="193">
        <v>13.75</v>
      </c>
      <c r="D188" s="179">
        <f t="shared" si="11"/>
        <v>88.141025641025635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80</v>
      </c>
      <c r="B189" s="181">
        <f>'Données projet'!D177</f>
        <v>5.7692307692307692</v>
      </c>
      <c r="C189" s="193">
        <v>13.75</v>
      </c>
      <c r="D189" s="179">
        <f t="shared" si="11"/>
        <v>79.32692307692308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85</v>
      </c>
      <c r="B190" s="181">
        <f>'Données projet'!D178</f>
        <v>5.7692307692307692</v>
      </c>
      <c r="C190" s="193">
        <v>13.75</v>
      </c>
      <c r="D190" s="179">
        <f t="shared" si="11"/>
        <v>79.32692307692308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90</v>
      </c>
      <c r="B191" s="181">
        <f>'Données projet'!D179</f>
        <v>5.7692307692307692</v>
      </c>
      <c r="C191" s="193">
        <v>13.75</v>
      </c>
      <c r="D191" s="179">
        <f t="shared" si="11"/>
        <v>79.32692307692308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95</v>
      </c>
      <c r="B192" s="181">
        <f>'Données projet'!D180</f>
        <v>5.7692307692307692</v>
      </c>
      <c r="C192" s="193">
        <v>13.75</v>
      </c>
      <c r="D192" s="179">
        <f t="shared" si="11"/>
        <v>79.32692307692308</v>
      </c>
      <c r="E192" s="193">
        <v>60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100</v>
      </c>
      <c r="B193" s="181">
        <f>'Données projet'!D181</f>
        <v>5.7692307692307692</v>
      </c>
      <c r="C193" s="193">
        <v>13.75</v>
      </c>
      <c r="D193" s="179">
        <f t="shared" si="11"/>
        <v>79.32692307692308</v>
      </c>
      <c r="E193" s="193">
        <v>60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105</v>
      </c>
      <c r="B194" s="181">
        <f>'Données projet'!D182</f>
        <v>6.4102564102564097</v>
      </c>
      <c r="C194" s="193">
        <v>13.75</v>
      </c>
      <c r="D194" s="179">
        <f t="shared" si="11"/>
        <v>88.141025641025635</v>
      </c>
      <c r="E194" s="193">
        <v>60</v>
      </c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110</v>
      </c>
      <c r="B195" s="181">
        <f>'Données projet'!D183</f>
        <v>6.4102564102564097</v>
      </c>
      <c r="C195" s="193">
        <v>13.75</v>
      </c>
      <c r="D195" s="179">
        <f t="shared" si="11"/>
        <v>88.141025641025635</v>
      </c>
      <c r="E195" s="193">
        <v>60</v>
      </c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115</v>
      </c>
      <c r="B196" s="181">
        <f>'Données projet'!D184</f>
        <v>6.4102564102564097</v>
      </c>
      <c r="C196" s="193">
        <v>13.75</v>
      </c>
      <c r="D196" s="179">
        <f t="shared" si="11"/>
        <v>88.141025641025635</v>
      </c>
      <c r="E196" s="193">
        <v>60</v>
      </c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120</v>
      </c>
      <c r="B197" s="181">
        <f>'Données projet'!D185</f>
        <v>122.43589743589743</v>
      </c>
      <c r="C197" s="193">
        <v>55.625</v>
      </c>
      <c r="D197" s="179">
        <f t="shared" si="11"/>
        <v>6810.4967948717949</v>
      </c>
      <c r="E197" s="193">
        <v>60</v>
      </c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>Cèdre de l'Atlas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51</v>
      </c>
      <c r="B209" s="181">
        <f>'Données projet'!D192</f>
        <v>173.97000000000003</v>
      </c>
      <c r="C209" s="193">
        <v>17.774999999999999</v>
      </c>
      <c r="D209" s="179">
        <f>B209*C209</f>
        <v>3092.3167500000004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61</v>
      </c>
      <c r="B210" s="181">
        <f>'Données projet'!D193</f>
        <v>101.36000000000001</v>
      </c>
      <c r="C210" s="193">
        <v>30.374999999999996</v>
      </c>
      <c r="D210" s="179">
        <f t="shared" ref="D210:D228" si="12">B210*C210</f>
        <v>3078.81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73</v>
      </c>
      <c r="B211" s="181">
        <f>'Données projet'!D194</f>
        <v>103.23000000000002</v>
      </c>
      <c r="C211" s="193">
        <v>30.374999999999996</v>
      </c>
      <c r="D211" s="179">
        <f t="shared" si="12"/>
        <v>3135.6112500000004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85</v>
      </c>
      <c r="B212" s="181">
        <f>'Données projet'!D195</f>
        <v>95.720000000000027</v>
      </c>
      <c r="C212" s="193">
        <v>30.374999999999996</v>
      </c>
      <c r="D212" s="179">
        <f t="shared" si="12"/>
        <v>2907.4950000000003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97</v>
      </c>
      <c r="B213" s="181">
        <f>'Données projet'!D196</f>
        <v>90.589999999999975</v>
      </c>
      <c r="C213" s="193">
        <v>30.374999999999996</v>
      </c>
      <c r="D213" s="179">
        <f t="shared" si="12"/>
        <v>2751.671249999999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109</v>
      </c>
      <c r="B214" s="181">
        <f>'Données projet'!D197</f>
        <v>92.199999999999989</v>
      </c>
      <c r="C214" s="193">
        <v>30.374999999999996</v>
      </c>
      <c r="D214" s="179">
        <f t="shared" si="12"/>
        <v>2800.5749999999994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121</v>
      </c>
      <c r="B215" s="181">
        <f>'Données projet'!D198</f>
        <v>236.89000000000001</v>
      </c>
      <c r="C215" s="193">
        <v>37.53</v>
      </c>
      <c r="D215" s="179">
        <f t="shared" si="12"/>
        <v>8890.4817000000003</v>
      </c>
      <c r="E215" s="193">
        <v>60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131</v>
      </c>
      <c r="B216" s="181">
        <f>'Données projet'!D199</f>
        <v>298.36</v>
      </c>
      <c r="C216" s="193">
        <v>37.53</v>
      </c>
      <c r="D216" s="179">
        <f t="shared" si="12"/>
        <v>11197.450800000001</v>
      </c>
      <c r="E216" s="193">
        <v>60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7" ma:contentTypeDescription="Create a new document." ma:contentTypeScope="" ma:versionID="0f10b2df0a8ad8ab3d7ccc192cceedec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1966df0606072e9ad774843119c6d221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A80BDF-07D4-4F3D-B199-7871FBB453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2025-08-27T07:22:21Z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