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a4a3636af90c1be/Documents/Prestations/Reboisement/Fransylva Services - LBC/TOUTOU/"/>
    </mc:Choice>
  </mc:AlternateContent>
  <xr:revisionPtr revIDLastSave="133" documentId="13_ncr:1_{91C62E09-7A97-40C6-8A6D-8C8B5668C142}" xr6:coauthVersionLast="47" xr6:coauthVersionMax="47" xr10:uidLastSave="{7DCA8B62-1396-4F66-9801-235861C0256F}"/>
  <bookViews>
    <workbookView xWindow="2868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G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HH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EB161" i="2"/>
  <c r="FS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B162" i="2" l="1"/>
  <c r="DI161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D163" i="2" s="1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A164" i="2" l="1"/>
  <c r="FR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EB167" i="2"/>
  <c r="DG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DG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D171" i="2"/>
  <c r="EB172" i="2"/>
  <c r="HG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EB178" i="2"/>
  <c r="ED177" i="2"/>
  <c r="HH178" i="2"/>
  <c r="HG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B193" i="2" l="1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B194" i="2"/>
  <c r="ED193" i="2"/>
  <c r="EA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HI195" i="2" l="1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W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D201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AH62" i="2" a="1"/>
  <c r="AH62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92" i="2" a="1"/>
  <c r="AH92" i="2" s="1"/>
  <c r="AH163" i="2" a="1"/>
  <c r="AH163" i="2" s="1"/>
  <c r="CS38" i="2" a="1"/>
  <c r="CS38" i="2" s="1"/>
  <c r="CS105" i="2" a="1"/>
  <c r="CS105" i="2" s="1"/>
  <c r="CS116" i="2" a="1"/>
  <c r="CS116" i="2" s="1"/>
  <c r="CS161" i="2" a="1"/>
  <c r="CS161" i="2" s="1"/>
  <c r="CS66" i="2" a="1"/>
  <c r="CS66" i="2" s="1"/>
  <c r="CS114" i="2" a="1"/>
  <c r="CS114" i="2" s="1"/>
  <c r="CS120" i="2" a="1"/>
  <c r="CS120" i="2" s="1"/>
  <c r="CS72" i="2" a="1"/>
  <c r="CS72" i="2" s="1"/>
  <c r="CS56" i="2" a="1"/>
  <c r="CS56" i="2" s="1"/>
  <c r="CS77" i="2" a="1"/>
  <c r="CS77" i="2" s="1"/>
  <c r="BC7" i="2" a="1"/>
  <c r="BC7" i="2" s="1"/>
  <c r="BC185" i="2" a="1"/>
  <c r="BC185" i="2" s="1"/>
  <c r="BC143" i="2" a="1"/>
  <c r="BC143" i="2" s="1"/>
  <c r="BC117" i="2" a="1"/>
  <c r="BC117" i="2" s="1"/>
  <c r="BC31" i="2" a="1"/>
  <c r="BC31" i="2" s="1"/>
  <c r="BC181" i="2" a="1"/>
  <c r="BC181" i="2" s="1"/>
  <c r="BC84" i="2" a="1"/>
  <c r="BC84" i="2" s="1"/>
  <c r="BC65" i="2" a="1"/>
  <c r="BC65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ED203" i="2"/>
  <c r="CN203" i="2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32" i="2" l="1"/>
  <c r="AN36" i="2"/>
  <c r="AN176" i="2"/>
  <c r="AN182" i="2"/>
  <c r="AN149" i="2"/>
  <c r="AN124" i="2"/>
  <c r="AN78" i="2"/>
  <c r="AN57" i="2"/>
  <c r="AN144" i="2"/>
  <c r="AN16" i="2"/>
  <c r="AN184" i="2"/>
  <c r="AN104" i="2"/>
  <c r="AN116" i="2"/>
  <c r="AN180" i="2"/>
  <c r="AN119" i="2"/>
  <c r="AN146" i="2"/>
  <c r="AN158" i="2"/>
  <c r="AN156" i="2"/>
  <c r="AN102" i="2"/>
  <c r="AN55" i="2"/>
  <c r="AN58" i="2"/>
  <c r="AN37" i="2"/>
  <c r="AN97" i="2"/>
  <c r="AN18" i="2"/>
  <c r="AN186" i="2"/>
  <c r="AN61" i="2"/>
  <c r="AN112" i="2"/>
  <c r="AN143" i="2"/>
  <c r="AN191" i="2"/>
  <c r="AN109" i="2"/>
  <c r="AN100" i="2"/>
  <c r="AN94" i="2"/>
  <c r="AN74" i="2"/>
  <c r="AN190" i="2"/>
  <c r="AN40" i="2"/>
  <c r="AN21" i="2"/>
  <c r="AN170" i="2"/>
  <c r="AN45" i="2"/>
  <c r="AN28" i="2"/>
  <c r="AN111" i="2"/>
  <c r="AN56" i="2"/>
  <c r="AN155" i="2"/>
  <c r="AN200" i="2"/>
  <c r="AN66" i="2"/>
  <c r="AN188" i="2"/>
  <c r="AN161" i="2"/>
  <c r="AN48" i="2"/>
  <c r="AN92" i="2"/>
  <c r="AN4" i="2"/>
  <c r="AN39" i="2"/>
  <c r="AN148" i="2"/>
  <c r="AN147" i="2"/>
  <c r="AN72" i="2"/>
  <c r="AN165" i="2"/>
  <c r="AN76" i="2"/>
  <c r="AN166" i="2"/>
  <c r="AN183" i="2"/>
  <c r="AN121" i="2"/>
  <c r="AN101" i="2"/>
  <c r="AN113" i="2"/>
  <c r="AN95" i="2"/>
  <c r="AN195" i="2"/>
  <c r="AN103" i="2"/>
  <c r="AN47" i="2"/>
  <c r="AN159" i="2"/>
  <c r="AN89" i="2"/>
  <c r="AN115" i="2"/>
  <c r="AN33" i="2"/>
  <c r="AN69" i="2"/>
  <c r="AN163" i="2"/>
  <c r="AN50" i="2"/>
  <c r="AN68" i="2"/>
  <c r="AN10" i="2"/>
  <c r="AN24" i="2"/>
  <c r="AN30" i="2"/>
  <c r="AN86" i="2"/>
  <c r="AN60" i="2"/>
  <c r="AN22" i="2"/>
  <c r="AN20" i="2"/>
  <c r="AN5" i="2"/>
  <c r="AN35" i="2"/>
  <c r="AN9" i="2"/>
  <c r="AN145" i="2"/>
  <c r="AN25" i="2"/>
  <c r="AN7" i="2"/>
  <c r="AN12" i="2"/>
  <c r="AN49" i="2"/>
  <c r="AN135" i="2"/>
  <c r="AN46" i="2"/>
  <c r="AN196" i="2"/>
  <c r="AN19" i="2"/>
  <c r="AN125" i="2"/>
  <c r="AN23" i="2"/>
  <c r="AN13" i="2"/>
  <c r="AN179" i="2"/>
  <c r="AN96" i="2"/>
  <c r="AN53" i="2"/>
  <c r="AN98" i="2"/>
  <c r="AN62" i="2"/>
  <c r="AN52" i="2"/>
  <c r="AN67" i="2"/>
  <c r="AN87" i="2"/>
  <c r="AN29" i="2"/>
  <c r="AN44" i="2"/>
  <c r="AN54" i="2"/>
  <c r="AN79" i="2"/>
  <c r="AN6" i="2"/>
  <c r="AN177" i="2"/>
  <c r="AN194" i="2"/>
  <c r="AN174" i="2"/>
  <c r="AN120" i="2"/>
  <c r="AN108" i="2"/>
  <c r="AN14" i="2"/>
  <c r="AN193" i="2"/>
  <c r="AN64" i="2"/>
  <c r="AN59" i="2"/>
  <c r="AN178" i="2"/>
  <c r="AN138" i="2"/>
  <c r="AN187" i="2"/>
  <c r="AN122" i="2"/>
  <c r="AN41" i="2"/>
  <c r="AN34" i="2"/>
  <c r="AN132" i="2"/>
  <c r="AN80" i="2"/>
  <c r="AN71" i="2"/>
  <c r="AN51" i="2"/>
  <c r="AN126" i="2"/>
  <c r="AN136" i="2"/>
  <c r="AN164" i="2"/>
  <c r="AN198" i="2"/>
  <c r="AN129" i="2"/>
  <c r="AN91" i="2"/>
  <c r="AN75" i="2"/>
  <c r="AN128" i="2"/>
  <c r="AN88" i="2"/>
  <c r="AN84" i="2"/>
  <c r="AN106" i="2"/>
  <c r="AN127" i="2"/>
  <c r="AN82" i="2"/>
  <c r="AN131" i="2"/>
  <c r="AN201" i="2"/>
  <c r="AN17" i="2"/>
  <c r="AN73" i="2"/>
  <c r="AN43" i="2"/>
  <c r="AN199" i="2"/>
  <c r="AN134" i="2"/>
  <c r="AN90" i="2"/>
  <c r="AN11" i="2"/>
  <c r="AN99" i="2"/>
  <c r="AN3" i="2"/>
  <c r="C7" i="4" s="1"/>
  <c r="E7" i="4" s="1"/>
  <c r="F7" i="4" s="1"/>
  <c r="G7" i="4" s="1"/>
  <c r="L7" i="4" s="1"/>
  <c r="AN93" i="2"/>
  <c r="AN142" i="2"/>
  <c r="AN70" i="2"/>
  <c r="AN175" i="2"/>
  <c r="AN150" i="2"/>
  <c r="AN105" i="2"/>
  <c r="AN167" i="2"/>
  <c r="AN192" i="2"/>
  <c r="AN168" i="2"/>
  <c r="AN169" i="2"/>
  <c r="AN141" i="2"/>
  <c r="AN154" i="2"/>
  <c r="AN107" i="2"/>
  <c r="AN197" i="2"/>
  <c r="AN151" i="2"/>
  <c r="AN139" i="2"/>
  <c r="AN157" i="2"/>
  <c r="AN152" i="2"/>
  <c r="AN85" i="2"/>
  <c r="AN171" i="2"/>
  <c r="AN110" i="2"/>
  <c r="AN114" i="2"/>
  <c r="AN172" i="2"/>
  <c r="AN189" i="2"/>
  <c r="AN38" i="2"/>
  <c r="AN130" i="2"/>
  <c r="AN15" i="2"/>
  <c r="AN181" i="2"/>
  <c r="AN83" i="2"/>
  <c r="AN153" i="2"/>
  <c r="AN173" i="2"/>
  <c r="AN31" i="2"/>
  <c r="AN65" i="2"/>
  <c r="AN140" i="2"/>
  <c r="AN63" i="2"/>
  <c r="AN42" i="2"/>
  <c r="AN27" i="2"/>
  <c r="AN8" i="2"/>
  <c r="AN26" i="2"/>
  <c r="AN118" i="2"/>
  <c r="AN123" i="2"/>
  <c r="AN117" i="2"/>
  <c r="AN81" i="2"/>
  <c r="AN185" i="2"/>
  <c r="AN137" i="2"/>
  <c r="AN202" i="2"/>
  <c r="AN160" i="2"/>
  <c r="AN77" i="2"/>
  <c r="AN133" i="2"/>
  <c r="AN203" i="2"/>
  <c r="AN162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<sst xmlns="http://schemas.openxmlformats.org/spreadsheetml/2006/main" count="1171" uniqueCount="324">
  <si>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</si>
  <si>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</si>
  <si>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</si>
  <si>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</si>
  <si>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</si>
  <si>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</si>
  <si>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</si>
  <si>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</si>
  <si>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</si>
  <si>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</si>
  <si>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</si>
  <si>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</si>
  <si>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</si>
  <si>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</si>
  <si>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</si>
  <si>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</si>
  <si>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Epicéa de Sitka</t>
  </si>
  <si>
    <t>NB : La durée de révolution doit être identique à la dernière année indiquée dans la table de production renseignée en dessous</t>
  </si>
  <si>
    <t>Essence 2</t>
  </si>
  <si>
    <t>Thuya géant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</si>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</sst>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1.5169790578370435</c:v>
                </c:pt>
                <c:pt idx="2">
                  <c:v>1.8781501756367305</c:v>
                </c:pt>
                <c:pt idx="3">
                  <c:v>2.3256507836964637</c:v>
                </c:pt>
                <c:pt idx="4">
                  <c:v>2.8801928037711861</c:v>
                </c:pt>
                <c:pt idx="5">
                  <c:v>3.5674746285378856</c:v>
                </c:pt>
                <c:pt idx="6">
                  <c:v>4.419385523082803</c:v>
                </c:pt>
                <c:pt idx="7">
                  <c:v>5.475501800590159</c:v>
                </c:pt>
                <c:pt idx="8">
                  <c:v>6.784945650599842</c:v>
                </c:pt>
                <c:pt idx="9">
                  <c:v>8.4086947592856145</c:v>
                </c:pt>
                <c:pt idx="10">
                  <c:v>10.422452335472949</c:v>
                </c:pt>
                <c:pt idx="11">
                  <c:v>12.920213874061965</c:v>
                </c:pt>
                <c:pt idx="12">
                  <c:v>16.018700233156078</c:v>
                </c:pt>
                <c:pt idx="13">
                  <c:v>19.862867970024372</c:v>
                </c:pt>
                <c:pt idx="14">
                  <c:v>24.632759363258756</c:v>
                </c:pt>
                <c:pt idx="15">
                  <c:v>30.552018621247594</c:v>
                </c:pt>
                <c:pt idx="16">
                  <c:v>37.89848052526817</c:v>
                </c:pt>
                <c:pt idx="17">
                  <c:v>47.017337021109604</c:v>
                </c:pt>
                <c:pt idx="18">
                  <c:v>58.337510841395044</c:v>
                </c:pt>
                <c:pt idx="19">
                  <c:v>72.392019072005624</c:v>
                </c:pt>
                <c:pt idx="20">
                  <c:v>89.843301094640552</c:v>
                </c:pt>
                <c:pt idx="21">
                  <c:v>111.51472379224067</c:v>
                </c:pt>
                <c:pt idx="22">
                  <c:v>138.42977381649987</c:v>
                </c:pt>
                <c:pt idx="23">
                  <c:v>171.86081644124263</c:v>
                </c:pt>
                <c:pt idx="24">
                  <c:v>147.70725368638702</c:v>
                </c:pt>
                <c:pt idx="25">
                  <c:v>179.47104913917383</c:v>
                </c:pt>
                <c:pt idx="26">
                  <c:v>211.1027938308097</c:v>
                </c:pt>
                <c:pt idx="27">
                  <c:v>242.62509103866606</c:v>
                </c:pt>
                <c:pt idx="28">
                  <c:v>214.38589248354251</c:v>
                </c:pt>
                <c:pt idx="29">
                  <c:v>250.67926877807722</c:v>
                </c:pt>
                <c:pt idx="30">
                  <c:v>286.85336725699204</c:v>
                </c:pt>
                <c:pt idx="31">
                  <c:v>322.92534379451826</c:v>
                </c:pt>
                <c:pt idx="32">
                  <c:v>303.39817033602765</c:v>
                </c:pt>
                <c:pt idx="33">
                  <c:v>340.92722154371285</c:v>
                </c:pt>
                <c:pt idx="34">
                  <c:v>378.36539662842574</c:v>
                </c:pt>
                <c:pt idx="35">
                  <c:v>415.72294083711455</c:v>
                </c:pt>
                <c:pt idx="36">
                  <c:v>387.58740137132486</c:v>
                </c:pt>
                <c:pt idx="37">
                  <c:v>423.18552880120927</c:v>
                </c:pt>
                <c:pt idx="38">
                  <c:v>458.71921423081375</c:v>
                </c:pt>
                <c:pt idx="39">
                  <c:v>494.19414347908742</c:v>
                </c:pt>
                <c:pt idx="40">
                  <c:v>476.14120509445956</c:v>
                </c:pt>
                <c:pt idx="41">
                  <c:v>507.67509845566065</c:v>
                </c:pt>
                <c:pt idx="42">
                  <c:v>539.16760679331139</c:v>
                </c:pt>
                <c:pt idx="43">
                  <c:v>570.62148354470423</c:v>
                </c:pt>
                <c:pt idx="44">
                  <c:v>602.03915423253159</c:v>
                </c:pt>
                <c:pt idx="45">
                  <c:v>571.74179956676232</c:v>
                </c:pt>
                <c:pt idx="46">
                  <c:v>597.75996975235046</c:v>
                </c:pt>
                <c:pt idx="47">
                  <c:v>623.75460086683643</c:v>
                </c:pt>
                <c:pt idx="48">
                  <c:v>649.72681059203296</c:v>
                </c:pt>
                <c:pt idx="49">
                  <c:v>675.6776200826381</c:v>
                </c:pt>
                <c:pt idx="50">
                  <c:v>701.60796576320615</c:v>
                </c:pt>
                <c:pt idx="51">
                  <c:v>657.61281934757983</c:v>
                </c:pt>
                <c:pt idx="52">
                  <c:v>679.61770277833341</c:v>
                </c:pt>
                <c:pt idx="53">
                  <c:v>701.60796576320615</c:v>
                </c:pt>
                <c:pt idx="54">
                  <c:v>2.9494845662396269E-12</c:v>
                </c:pt>
                <c:pt idx="55">
                  <c:v>2.9494845662396269E-12</c:v>
                </c:pt>
                <c:pt idx="56">
                  <c:v>2.9494845662396269E-12</c:v>
                </c:pt>
                <c:pt idx="57">
                  <c:v>2.9494845662396269E-12</c:v>
                </c:pt>
                <c:pt idx="58">
                  <c:v>2.9494845662396269E-12</c:v>
                </c:pt>
                <c:pt idx="59">
                  <c:v>2.9494845662396269E-12</c:v>
                </c:pt>
                <c:pt idx="60">
                  <c:v>2.9494845662396269E-12</c:v>
                </c:pt>
                <c:pt idx="61">
                  <c:v>2.9494845662396269E-12</c:v>
                </c:pt>
                <c:pt idx="62">
                  <c:v>2.9494845662396269E-12</c:v>
                </c:pt>
                <c:pt idx="63">
                  <c:v>2.9494845662396269E-12</c:v>
                </c:pt>
                <c:pt idx="64">
                  <c:v>2.9494845662396269E-12</c:v>
                </c:pt>
                <c:pt idx="65">
                  <c:v>2.9494845662396269E-12</c:v>
                </c:pt>
                <c:pt idx="66">
                  <c:v>2.9494845662396269E-12</c:v>
                </c:pt>
                <c:pt idx="67">
                  <c:v>2.9494845662396269E-12</c:v>
                </c:pt>
                <c:pt idx="68">
                  <c:v>2.9494845662396269E-12</c:v>
                </c:pt>
                <c:pt idx="69">
                  <c:v>2.9494845662396269E-12</c:v>
                </c:pt>
                <c:pt idx="70">
                  <c:v>2.9494845662396269E-12</c:v>
                </c:pt>
                <c:pt idx="71">
                  <c:v>2.9494845662396269E-12</c:v>
                </c:pt>
                <c:pt idx="72">
                  <c:v>2.9494845662396269E-12</c:v>
                </c:pt>
                <c:pt idx="73">
                  <c:v>2.9494845662396269E-12</c:v>
                </c:pt>
                <c:pt idx="74">
                  <c:v>2.9494845662396269E-12</c:v>
                </c:pt>
                <c:pt idx="75">
                  <c:v>2.9494845662396269E-12</c:v>
                </c:pt>
                <c:pt idx="76">
                  <c:v>2.9494845662396269E-12</c:v>
                </c:pt>
                <c:pt idx="77">
                  <c:v>2.9494845662396269E-12</c:v>
                </c:pt>
                <c:pt idx="78">
                  <c:v>2.9494845662396269E-12</c:v>
                </c:pt>
                <c:pt idx="79">
                  <c:v>2.9494845662396269E-12</c:v>
                </c:pt>
                <c:pt idx="80">
                  <c:v>2.9494845662396269E-12</c:v>
                </c:pt>
                <c:pt idx="81">
                  <c:v>2.9494845662396269E-12</c:v>
                </c:pt>
                <c:pt idx="82">
                  <c:v>2.9494845662396269E-12</c:v>
                </c:pt>
                <c:pt idx="83">
                  <c:v>2.9494845662396269E-12</c:v>
                </c:pt>
                <c:pt idx="84">
                  <c:v>2.9494845662396269E-12</c:v>
                </c:pt>
                <c:pt idx="85">
                  <c:v>2.9494845662396269E-12</c:v>
                </c:pt>
                <c:pt idx="86">
                  <c:v>2.9494845662396269E-12</c:v>
                </c:pt>
                <c:pt idx="87">
                  <c:v>2.9494845662396269E-12</c:v>
                </c:pt>
                <c:pt idx="88">
                  <c:v>2.9494845662396269E-12</c:v>
                </c:pt>
                <c:pt idx="89">
                  <c:v>2.9494845662396269E-12</c:v>
                </c:pt>
                <c:pt idx="90">
                  <c:v>2.9494845662396269E-12</c:v>
                </c:pt>
                <c:pt idx="91">
                  <c:v>2.9494845662396269E-12</c:v>
                </c:pt>
                <c:pt idx="92">
                  <c:v>2.9494845662396269E-12</c:v>
                </c:pt>
                <c:pt idx="93">
                  <c:v>2.9494845662396269E-12</c:v>
                </c:pt>
                <c:pt idx="94">
                  <c:v>2.9494845662396269E-12</c:v>
                </c:pt>
                <c:pt idx="95">
                  <c:v>2.9494845662396269E-12</c:v>
                </c:pt>
                <c:pt idx="96">
                  <c:v>2.9494845662396269E-12</c:v>
                </c:pt>
                <c:pt idx="97">
                  <c:v>2.9494845662396269E-12</c:v>
                </c:pt>
                <c:pt idx="98">
                  <c:v>2.9494845662396269E-12</c:v>
                </c:pt>
                <c:pt idx="99">
                  <c:v>2.9494845662396269E-12</c:v>
                </c:pt>
                <c:pt idx="100">
                  <c:v>2.9494845662396269E-12</c:v>
                </c:pt>
                <c:pt idx="101">
                  <c:v>2.9494845662396269E-12</c:v>
                </c:pt>
                <c:pt idx="102">
                  <c:v>2.9494845662396269E-12</c:v>
                </c:pt>
                <c:pt idx="103">
                  <c:v>2.9494845662396269E-12</c:v>
                </c:pt>
                <c:pt idx="104">
                  <c:v>2.9494845662396269E-12</c:v>
                </c:pt>
                <c:pt idx="105">
                  <c:v>2.9494845662396269E-12</c:v>
                </c:pt>
                <c:pt idx="106">
                  <c:v>2.9494845662396269E-12</c:v>
                </c:pt>
                <c:pt idx="107">
                  <c:v>2.9494845662396269E-12</c:v>
                </c:pt>
                <c:pt idx="108">
                  <c:v>2.9494845662396269E-12</c:v>
                </c:pt>
                <c:pt idx="109">
                  <c:v>2.9494845662396269E-12</c:v>
                </c:pt>
                <c:pt idx="110">
                  <c:v>2.9494845662396269E-12</c:v>
                </c:pt>
                <c:pt idx="111">
                  <c:v>2.9494845662396269E-12</c:v>
                </c:pt>
                <c:pt idx="112">
                  <c:v>2.9494845662396269E-12</c:v>
                </c:pt>
                <c:pt idx="113">
                  <c:v>2.9494845662396269E-12</c:v>
                </c:pt>
                <c:pt idx="114">
                  <c:v>2.9494845662396269E-12</c:v>
                </c:pt>
                <c:pt idx="115">
                  <c:v>2.9494845662396269E-12</c:v>
                </c:pt>
                <c:pt idx="116">
                  <c:v>2.9494845662396269E-12</c:v>
                </c:pt>
                <c:pt idx="117">
                  <c:v>2.9494845662396269E-12</c:v>
                </c:pt>
                <c:pt idx="118">
                  <c:v>2.9494845662396269E-12</c:v>
                </c:pt>
                <c:pt idx="119">
                  <c:v>2.9494845662396269E-12</c:v>
                </c:pt>
                <c:pt idx="120">
                  <c:v>2.9494845662396269E-12</c:v>
                </c:pt>
                <c:pt idx="121">
                  <c:v>2.9494845662396269E-12</c:v>
                </c:pt>
                <c:pt idx="122">
                  <c:v>2.9494845662396269E-12</c:v>
                </c:pt>
                <c:pt idx="123">
                  <c:v>2.9494845662396269E-12</c:v>
                </c:pt>
                <c:pt idx="124">
                  <c:v>2.9494845662396269E-12</c:v>
                </c:pt>
                <c:pt idx="125">
                  <c:v>2.9494845662396269E-12</c:v>
                </c:pt>
                <c:pt idx="126">
                  <c:v>2.9494845662396269E-12</c:v>
                </c:pt>
                <c:pt idx="127">
                  <c:v>2.9494845662396269E-12</c:v>
                </c:pt>
                <c:pt idx="128">
                  <c:v>2.9494845662396269E-12</c:v>
                </c:pt>
                <c:pt idx="129">
                  <c:v>2.9494845662396269E-12</c:v>
                </c:pt>
                <c:pt idx="130">
                  <c:v>2.9494845662396269E-12</c:v>
                </c:pt>
                <c:pt idx="131">
                  <c:v>2.9494845662396269E-12</c:v>
                </c:pt>
                <c:pt idx="132">
                  <c:v>2.9494845662396269E-12</c:v>
                </c:pt>
                <c:pt idx="133">
                  <c:v>2.9494845662396269E-12</c:v>
                </c:pt>
                <c:pt idx="134">
                  <c:v>2.9494845662396269E-12</c:v>
                </c:pt>
                <c:pt idx="135">
                  <c:v>2.9494845662396269E-12</c:v>
                </c:pt>
                <c:pt idx="136">
                  <c:v>2.9494845662396269E-12</c:v>
                </c:pt>
                <c:pt idx="137">
                  <c:v>2.9494845662396269E-12</c:v>
                </c:pt>
                <c:pt idx="138">
                  <c:v>2.9494845662396269E-12</c:v>
                </c:pt>
                <c:pt idx="139">
                  <c:v>2.9494845662396269E-12</c:v>
                </c:pt>
                <c:pt idx="140">
                  <c:v>2.9494845662396269E-12</c:v>
                </c:pt>
                <c:pt idx="141">
                  <c:v>2.9494845662396269E-12</c:v>
                </c:pt>
                <c:pt idx="142">
                  <c:v>2.9494845662396269E-12</c:v>
                </c:pt>
                <c:pt idx="143">
                  <c:v>2.9494845662396269E-12</c:v>
                </c:pt>
                <c:pt idx="144">
                  <c:v>2.9494845662396269E-12</c:v>
                </c:pt>
                <c:pt idx="145">
                  <c:v>2.9494845662396269E-12</c:v>
                </c:pt>
                <c:pt idx="146">
                  <c:v>2.9494845662396269E-12</c:v>
                </c:pt>
                <c:pt idx="147">
                  <c:v>2.9494845662396269E-12</c:v>
                </c:pt>
                <c:pt idx="148">
                  <c:v>2.9494845662396269E-12</c:v>
                </c:pt>
                <c:pt idx="149">
                  <c:v>2.9494845662396269E-12</c:v>
                </c:pt>
                <c:pt idx="150">
                  <c:v>2.9494845662396269E-12</c:v>
                </c:pt>
                <c:pt idx="151">
                  <c:v>2.9494845662396269E-12</c:v>
                </c:pt>
                <c:pt idx="152">
                  <c:v>2.9494845662396269E-12</c:v>
                </c:pt>
                <c:pt idx="153">
                  <c:v>2.9494845662396269E-12</c:v>
                </c:pt>
                <c:pt idx="154">
                  <c:v>2.9494845662396269E-12</c:v>
                </c:pt>
                <c:pt idx="155">
                  <c:v>2.9494845662396269E-12</c:v>
                </c:pt>
                <c:pt idx="156">
                  <c:v>2.9494845662396269E-12</c:v>
                </c:pt>
                <c:pt idx="157">
                  <c:v>2.9494845662396269E-12</c:v>
                </c:pt>
                <c:pt idx="158">
                  <c:v>2.9494845662396269E-12</c:v>
                </c:pt>
                <c:pt idx="159">
                  <c:v>2.9494845662396269E-12</c:v>
                </c:pt>
                <c:pt idx="160">
                  <c:v>2.9494845662396269E-12</c:v>
                </c:pt>
                <c:pt idx="161">
                  <c:v>2.9494845662396269E-12</c:v>
                </c:pt>
                <c:pt idx="162">
                  <c:v>2.9494845662396269E-12</c:v>
                </c:pt>
                <c:pt idx="163">
                  <c:v>2.9494845662396269E-12</c:v>
                </c:pt>
                <c:pt idx="164">
                  <c:v>2.9494845662396269E-12</c:v>
                </c:pt>
                <c:pt idx="165">
                  <c:v>2.9494845662396269E-12</c:v>
                </c:pt>
                <c:pt idx="166">
                  <c:v>2.9494845662396269E-12</c:v>
                </c:pt>
                <c:pt idx="167">
                  <c:v>2.9494845662396269E-12</c:v>
                </c:pt>
                <c:pt idx="168">
                  <c:v>2.9494845662396269E-12</c:v>
                </c:pt>
                <c:pt idx="169">
                  <c:v>2.9494845662396269E-12</c:v>
                </c:pt>
                <c:pt idx="170">
                  <c:v>2.9494845662396269E-12</c:v>
                </c:pt>
                <c:pt idx="171">
                  <c:v>2.9494845662396269E-12</c:v>
                </c:pt>
                <c:pt idx="172">
                  <c:v>2.9494845662396269E-12</c:v>
                </c:pt>
                <c:pt idx="173">
                  <c:v>2.9494845662396269E-12</c:v>
                </c:pt>
                <c:pt idx="174">
                  <c:v>2.9494845662396269E-12</c:v>
                </c:pt>
                <c:pt idx="175">
                  <c:v>2.9494845662396269E-12</c:v>
                </c:pt>
                <c:pt idx="176">
                  <c:v>2.9494845662396269E-12</c:v>
                </c:pt>
                <c:pt idx="177">
                  <c:v>2.9494845662396269E-12</c:v>
                </c:pt>
                <c:pt idx="178">
                  <c:v>2.9494845662396269E-12</c:v>
                </c:pt>
                <c:pt idx="179">
                  <c:v>2.9494845662396269E-12</c:v>
                </c:pt>
                <c:pt idx="180">
                  <c:v>2.9494845662396269E-12</c:v>
                </c:pt>
                <c:pt idx="181">
                  <c:v>2.9494845662396269E-12</c:v>
                </c:pt>
                <c:pt idx="182">
                  <c:v>2.9494845662396269E-12</c:v>
                </c:pt>
                <c:pt idx="183">
                  <c:v>2.9494845662396269E-12</c:v>
                </c:pt>
                <c:pt idx="184">
                  <c:v>2.9494845662396269E-12</c:v>
                </c:pt>
                <c:pt idx="185">
                  <c:v>2.9494845662396269E-12</c:v>
                </c:pt>
                <c:pt idx="186">
                  <c:v>2.9494845662396269E-12</c:v>
                </c:pt>
                <c:pt idx="187">
                  <c:v>2.9494845662396269E-12</c:v>
                </c:pt>
                <c:pt idx="188">
                  <c:v>2.9494845662396269E-12</c:v>
                </c:pt>
                <c:pt idx="189">
                  <c:v>2.9494845662396269E-12</c:v>
                </c:pt>
                <c:pt idx="190">
                  <c:v>2.9494845662396269E-12</c:v>
                </c:pt>
                <c:pt idx="191">
                  <c:v>2.9494845662396269E-12</c:v>
                </c:pt>
                <c:pt idx="192">
                  <c:v>2.9494845662396269E-12</c:v>
                </c:pt>
                <c:pt idx="193">
                  <c:v>2.9494845662396269E-12</c:v>
                </c:pt>
                <c:pt idx="194">
                  <c:v>2.9494845662396269E-12</c:v>
                </c:pt>
                <c:pt idx="195">
                  <c:v>2.9494845662396269E-12</c:v>
                </c:pt>
                <c:pt idx="196">
                  <c:v>2.9494845662396269E-12</c:v>
                </c:pt>
                <c:pt idx="197">
                  <c:v>2.9494845662396269E-12</c:v>
                </c:pt>
                <c:pt idx="198">
                  <c:v>2.9494845662396269E-12</c:v>
                </c:pt>
                <c:pt idx="199">
                  <c:v>2.9494845662396269E-12</c:v>
                </c:pt>
                <c:pt idx="200">
                  <c:v>2.9494845662396269E-12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1.3430712925600974</c:v>
                </c:pt>
                <c:pt idx="2">
                  <c:v>1.6997243453359878</c:v>
                </c:pt>
                <c:pt idx="3">
                  <c:v>2.1514708743904118</c:v>
                </c:pt>
                <c:pt idx="4">
                  <c:v>2.7237623759262455</c:v>
                </c:pt>
                <c:pt idx="5">
                  <c:v>3.4488867461150288</c:v>
                </c:pt>
                <c:pt idx="6">
                  <c:v>4.3678106787623161</c:v>
                </c:pt>
                <c:pt idx="7">
                  <c:v>5.5325201097910304</c:v>
                </c:pt>
                <c:pt idx="8">
                  <c:v>7.0089937222887171</c:v>
                </c:pt>
                <c:pt idx="9">
                  <c:v>8.8809812202609901</c:v>
                </c:pt>
                <c:pt idx="10">
                  <c:v>11.25480476977503</c:v>
                </c:pt>
                <c:pt idx="11">
                  <c:v>14.265461421708331</c:v>
                </c:pt>
                <c:pt idx="12">
                  <c:v>18.084379946040205</c:v>
                </c:pt>
                <c:pt idx="13">
                  <c:v>22.929281749575782</c:v>
                </c:pt>
                <c:pt idx="14">
                  <c:v>29.07671805463626</c:v>
                </c:pt>
                <c:pt idx="15">
                  <c:v>36.878011466580524</c:v>
                </c:pt>
                <c:pt idx="16">
                  <c:v>46.77952860085535</c:v>
                </c:pt>
                <c:pt idx="17">
                  <c:v>59.348463229767866</c:v>
                </c:pt>
                <c:pt idx="18">
                  <c:v>75.305631293583517</c:v>
                </c:pt>
                <c:pt idx="19">
                  <c:v>95.567189018909744</c:v>
                </c:pt>
                <c:pt idx="20">
                  <c:v>121.2977074071041</c:v>
                </c:pt>
                <c:pt idx="21">
                  <c:v>136.96555601652338</c:v>
                </c:pt>
                <c:pt idx="22">
                  <c:v>156.972192531464</c:v>
                </c:pt>
                <c:pt idx="23">
                  <c:v>176.91825435063035</c:v>
                </c:pt>
                <c:pt idx="24">
                  <c:v>196.81153691219018</c:v>
                </c:pt>
                <c:pt idx="25">
                  <c:v>216.65812754778065</c:v>
                </c:pt>
                <c:pt idx="26">
                  <c:v>184.07858537244348</c:v>
                </c:pt>
                <c:pt idx="27">
                  <c:v>206.39215083761391</c:v>
                </c:pt>
                <c:pt idx="28">
                  <c:v>228.64995281860436</c:v>
                </c:pt>
                <c:pt idx="29">
                  <c:v>250.85818308232777</c:v>
                </c:pt>
                <c:pt idx="30">
                  <c:v>273.02184643540664</c:v>
                </c:pt>
                <c:pt idx="31">
                  <c:v>241.14783811393809</c:v>
                </c:pt>
                <c:pt idx="32">
                  <c:v>263.8498291992492</c:v>
                </c:pt>
                <c:pt idx="33">
                  <c:v>286.50776445158812</c:v>
                </c:pt>
                <c:pt idx="34">
                  <c:v>309.12561633988639</c:v>
                </c:pt>
                <c:pt idx="35">
                  <c:v>331.70672848745937</c:v>
                </c:pt>
                <c:pt idx="36">
                  <c:v>299.28895999218298</c:v>
                </c:pt>
                <c:pt idx="37">
                  <c:v>321.19623868414016</c:v>
                </c:pt>
                <c:pt idx="38">
                  <c:v>343.07047196522029</c:v>
                </c:pt>
                <c:pt idx="39">
                  <c:v>364.91406187601916</c:v>
                </c:pt>
                <c:pt idx="40">
                  <c:v>386.72909950918734</c:v>
                </c:pt>
                <c:pt idx="41">
                  <c:v>353.39396255760386</c:v>
                </c:pt>
                <c:pt idx="42">
                  <c:v>374.19312443367426</c:v>
                </c:pt>
                <c:pt idx="43">
                  <c:v>394.96710423111443</c:v>
                </c:pt>
                <c:pt idx="44">
                  <c:v>415.71741193017169</c:v>
                </c:pt>
                <c:pt idx="45">
                  <c:v>436.44539454971499</c:v>
                </c:pt>
                <c:pt idx="46">
                  <c:v>402.00078138175712</c:v>
                </c:pt>
                <c:pt idx="47">
                  <c:v>421.54400445252281</c:v>
                </c:pt>
                <c:pt idx="48">
                  <c:v>441.06772493632019</c:v>
                </c:pt>
                <c:pt idx="49">
                  <c:v>460.57292705474265</c:v>
                </c:pt>
                <c:pt idx="50">
                  <c:v>480.06050491424111</c:v>
                </c:pt>
                <c:pt idx="51">
                  <c:v>444.66215226871253</c:v>
                </c:pt>
                <c:pt idx="52">
                  <c:v>463.13807064070289</c:v>
                </c:pt>
                <c:pt idx="53">
                  <c:v>481.59827184865543</c:v>
                </c:pt>
                <c:pt idx="54">
                  <c:v>500.04344278670777</c:v>
                </c:pt>
                <c:pt idx="55">
                  <c:v>518.47421557137011</c:v>
                </c:pt>
                <c:pt idx="56">
                  <c:v>484.33182233185624</c:v>
                </c:pt>
                <c:pt idx="57">
                  <c:v>501.40917154119774</c:v>
                </c:pt>
                <c:pt idx="58">
                  <c:v>518.47421557137011</c:v>
                </c:pt>
                <c:pt idx="59">
                  <c:v>535.52741623657994</c:v>
                </c:pt>
                <c:pt idx="60">
                  <c:v>552.56920355763009</c:v>
                </c:pt>
                <c:pt idx="61">
                  <c:v>523.25028651447701</c:v>
                </c:pt>
                <c:pt idx="62">
                  <c:v>539.10712447306878</c:v>
                </c:pt>
                <c:pt idx="63">
                  <c:v>554.9541661732012</c:v>
                </c:pt>
                <c:pt idx="64">
                  <c:v>570.79173060488563</c:v>
                </c:pt>
                <c:pt idx="65">
                  <c:v>586.62011762259829</c:v>
                </c:pt>
                <c:pt idx="66">
                  <c:v>560.40470463156919</c:v>
                </c:pt>
                <c:pt idx="67">
                  <c:v>575.04756324406912</c:v>
                </c:pt>
                <c:pt idx="68">
                  <c:v>589.68264049428205</c:v>
                </c:pt>
                <c:pt idx="69">
                  <c:v>604.31015661574349</c:v>
                </c:pt>
                <c:pt idx="70">
                  <c:v>618.9303203165374</c:v>
                </c:pt>
                <c:pt idx="71">
                  <c:v>594.10570045401596</c:v>
                </c:pt>
                <c:pt idx="72">
                  <c:v>607.54081843482265</c:v>
                </c:pt>
                <c:pt idx="73">
                  <c:v>620.96976997628133</c:v>
                </c:pt>
                <c:pt idx="74">
                  <c:v>634.3927071620576</c:v>
                </c:pt>
                <c:pt idx="75">
                  <c:v>647.80977511835874</c:v>
                </c:pt>
                <c:pt idx="76">
                  <c:v>623.68882043396684</c:v>
                </c:pt>
                <c:pt idx="77">
                  <c:v>636.09139170402898</c:v>
                </c:pt>
                <c:pt idx="78">
                  <c:v>648.48896676711081</c:v>
                </c:pt>
                <c:pt idx="79">
                  <c:v>660.88165455899787</c:v>
                </c:pt>
                <c:pt idx="80">
                  <c:v>673.26955959871884</c:v>
                </c:pt>
                <c:pt idx="81">
                  <c:v>1.392570441580175E-12</c:v>
                </c:pt>
                <c:pt idx="82">
                  <c:v>1.392570441580175E-12</c:v>
                </c:pt>
                <c:pt idx="83">
                  <c:v>1.392570441580175E-12</c:v>
                </c:pt>
                <c:pt idx="84">
                  <c:v>1.392570441580175E-12</c:v>
                </c:pt>
                <c:pt idx="85">
                  <c:v>1.392570441580175E-12</c:v>
                </c:pt>
                <c:pt idx="86">
                  <c:v>1.392570441580175E-12</c:v>
                </c:pt>
                <c:pt idx="87">
                  <c:v>1.392570441580175E-12</c:v>
                </c:pt>
                <c:pt idx="88">
                  <c:v>1.392570441580175E-12</c:v>
                </c:pt>
                <c:pt idx="89">
                  <c:v>1.392570441580175E-12</c:v>
                </c:pt>
                <c:pt idx="90">
                  <c:v>1.392570441580175E-12</c:v>
                </c:pt>
                <c:pt idx="91">
                  <c:v>1.392570441580175E-12</c:v>
                </c:pt>
                <c:pt idx="92">
                  <c:v>1.392570441580175E-12</c:v>
                </c:pt>
                <c:pt idx="93">
                  <c:v>1.392570441580175E-12</c:v>
                </c:pt>
                <c:pt idx="94">
                  <c:v>1.392570441580175E-12</c:v>
                </c:pt>
                <c:pt idx="95">
                  <c:v>1.392570441580175E-12</c:v>
                </c:pt>
                <c:pt idx="96">
                  <c:v>1.392570441580175E-12</c:v>
                </c:pt>
                <c:pt idx="97">
                  <c:v>1.392570441580175E-12</c:v>
                </c:pt>
                <c:pt idx="98">
                  <c:v>1.392570441580175E-12</c:v>
                </c:pt>
                <c:pt idx="99">
                  <c:v>1.392570441580175E-12</c:v>
                </c:pt>
                <c:pt idx="100">
                  <c:v>1.392570441580175E-12</c:v>
                </c:pt>
                <c:pt idx="101">
                  <c:v>1.392570441580175E-12</c:v>
                </c:pt>
                <c:pt idx="102">
                  <c:v>1.392570441580175E-12</c:v>
                </c:pt>
                <c:pt idx="103">
                  <c:v>1.392570441580175E-12</c:v>
                </c:pt>
                <c:pt idx="104">
                  <c:v>1.392570441580175E-12</c:v>
                </c:pt>
                <c:pt idx="105">
                  <c:v>1.392570441580175E-12</c:v>
                </c:pt>
                <c:pt idx="106">
                  <c:v>1.392570441580175E-12</c:v>
                </c:pt>
                <c:pt idx="107">
                  <c:v>1.392570441580175E-12</c:v>
                </c:pt>
                <c:pt idx="108">
                  <c:v>1.392570441580175E-12</c:v>
                </c:pt>
                <c:pt idx="109">
                  <c:v>1.392570441580175E-12</c:v>
                </c:pt>
                <c:pt idx="110">
                  <c:v>1.392570441580175E-12</c:v>
                </c:pt>
                <c:pt idx="111">
                  <c:v>1.392570441580175E-12</c:v>
                </c:pt>
                <c:pt idx="112">
                  <c:v>1.392570441580175E-12</c:v>
                </c:pt>
                <c:pt idx="113">
                  <c:v>1.392570441580175E-12</c:v>
                </c:pt>
                <c:pt idx="114">
                  <c:v>1.392570441580175E-12</c:v>
                </c:pt>
                <c:pt idx="115">
                  <c:v>1.392570441580175E-12</c:v>
                </c:pt>
                <c:pt idx="116">
                  <c:v>1.392570441580175E-12</c:v>
                </c:pt>
                <c:pt idx="117">
                  <c:v>1.392570441580175E-12</c:v>
                </c:pt>
                <c:pt idx="118">
                  <c:v>1.392570441580175E-12</c:v>
                </c:pt>
                <c:pt idx="119">
                  <c:v>1.392570441580175E-12</c:v>
                </c:pt>
                <c:pt idx="120">
                  <c:v>1.392570441580175E-12</c:v>
                </c:pt>
                <c:pt idx="121">
                  <c:v>1.392570441580175E-12</c:v>
                </c:pt>
                <c:pt idx="122">
                  <c:v>1.392570441580175E-12</c:v>
                </c:pt>
                <c:pt idx="123">
                  <c:v>1.392570441580175E-12</c:v>
                </c:pt>
                <c:pt idx="124">
                  <c:v>1.392570441580175E-12</c:v>
                </c:pt>
                <c:pt idx="125">
                  <c:v>1.392570441580175E-12</c:v>
                </c:pt>
                <c:pt idx="126">
                  <c:v>1.392570441580175E-12</c:v>
                </c:pt>
                <c:pt idx="127">
                  <c:v>1.392570441580175E-12</c:v>
                </c:pt>
                <c:pt idx="128">
                  <c:v>1.392570441580175E-12</c:v>
                </c:pt>
                <c:pt idx="129">
                  <c:v>1.392570441580175E-12</c:v>
                </c:pt>
                <c:pt idx="130">
                  <c:v>1.392570441580175E-12</c:v>
                </c:pt>
                <c:pt idx="131">
                  <c:v>1.392570441580175E-12</c:v>
                </c:pt>
                <c:pt idx="132">
                  <c:v>1.392570441580175E-12</c:v>
                </c:pt>
                <c:pt idx="133">
                  <c:v>1.392570441580175E-12</c:v>
                </c:pt>
                <c:pt idx="134">
                  <c:v>1.392570441580175E-12</c:v>
                </c:pt>
                <c:pt idx="135">
                  <c:v>1.392570441580175E-12</c:v>
                </c:pt>
                <c:pt idx="136">
                  <c:v>1.392570441580175E-12</c:v>
                </c:pt>
                <c:pt idx="137">
                  <c:v>1.392570441580175E-12</c:v>
                </c:pt>
                <c:pt idx="138">
                  <c:v>1.392570441580175E-12</c:v>
                </c:pt>
                <c:pt idx="139">
                  <c:v>1.392570441580175E-12</c:v>
                </c:pt>
                <c:pt idx="140">
                  <c:v>1.392570441580175E-12</c:v>
                </c:pt>
                <c:pt idx="141">
                  <c:v>1.392570441580175E-12</c:v>
                </c:pt>
                <c:pt idx="142">
                  <c:v>1.392570441580175E-12</c:v>
                </c:pt>
                <c:pt idx="143">
                  <c:v>1.392570441580175E-12</c:v>
                </c:pt>
                <c:pt idx="144">
                  <c:v>1.392570441580175E-12</c:v>
                </c:pt>
                <c:pt idx="145">
                  <c:v>1.392570441580175E-12</c:v>
                </c:pt>
                <c:pt idx="146">
                  <c:v>1.392570441580175E-12</c:v>
                </c:pt>
                <c:pt idx="147">
                  <c:v>1.392570441580175E-12</c:v>
                </c:pt>
                <c:pt idx="148">
                  <c:v>1.392570441580175E-12</c:v>
                </c:pt>
                <c:pt idx="149">
                  <c:v>1.392570441580175E-12</c:v>
                </c:pt>
                <c:pt idx="150">
                  <c:v>1.392570441580175E-12</c:v>
                </c:pt>
                <c:pt idx="151">
                  <c:v>1.392570441580175E-12</c:v>
                </c:pt>
                <c:pt idx="152">
                  <c:v>1.392570441580175E-12</c:v>
                </c:pt>
                <c:pt idx="153">
                  <c:v>1.392570441580175E-12</c:v>
                </c:pt>
                <c:pt idx="154">
                  <c:v>1.392570441580175E-12</c:v>
                </c:pt>
                <c:pt idx="155">
                  <c:v>1.392570441580175E-12</c:v>
                </c:pt>
                <c:pt idx="156">
                  <c:v>1.392570441580175E-12</c:v>
                </c:pt>
                <c:pt idx="157">
                  <c:v>1.392570441580175E-12</c:v>
                </c:pt>
                <c:pt idx="158">
                  <c:v>1.392570441580175E-12</c:v>
                </c:pt>
                <c:pt idx="159">
                  <c:v>1.392570441580175E-12</c:v>
                </c:pt>
                <c:pt idx="160">
                  <c:v>1.392570441580175E-12</c:v>
                </c:pt>
                <c:pt idx="161">
                  <c:v>1.392570441580175E-12</c:v>
                </c:pt>
                <c:pt idx="162">
                  <c:v>1.392570441580175E-12</c:v>
                </c:pt>
                <c:pt idx="163">
                  <c:v>1.392570441580175E-12</c:v>
                </c:pt>
                <c:pt idx="164">
                  <c:v>1.392570441580175E-12</c:v>
                </c:pt>
                <c:pt idx="165">
                  <c:v>1.392570441580175E-12</c:v>
                </c:pt>
                <c:pt idx="166">
                  <c:v>1.392570441580175E-12</c:v>
                </c:pt>
                <c:pt idx="167">
                  <c:v>1.392570441580175E-12</c:v>
                </c:pt>
                <c:pt idx="168">
                  <c:v>1.392570441580175E-12</c:v>
                </c:pt>
                <c:pt idx="169">
                  <c:v>1.392570441580175E-12</c:v>
                </c:pt>
                <c:pt idx="170">
                  <c:v>1.392570441580175E-12</c:v>
                </c:pt>
                <c:pt idx="171">
                  <c:v>1.392570441580175E-12</c:v>
                </c:pt>
                <c:pt idx="172">
                  <c:v>1.392570441580175E-12</c:v>
                </c:pt>
                <c:pt idx="173">
                  <c:v>1.392570441580175E-12</c:v>
                </c:pt>
                <c:pt idx="174">
                  <c:v>1.392570441580175E-12</c:v>
                </c:pt>
                <c:pt idx="175">
                  <c:v>1.392570441580175E-12</c:v>
                </c:pt>
                <c:pt idx="176">
                  <c:v>1.392570441580175E-12</c:v>
                </c:pt>
                <c:pt idx="177">
                  <c:v>1.392570441580175E-12</c:v>
                </c:pt>
                <c:pt idx="178">
                  <c:v>1.392570441580175E-12</c:v>
                </c:pt>
                <c:pt idx="179">
                  <c:v>1.392570441580175E-12</c:v>
                </c:pt>
                <c:pt idx="180">
                  <c:v>1.392570441580175E-12</c:v>
                </c:pt>
                <c:pt idx="181">
                  <c:v>1.392570441580175E-12</c:v>
                </c:pt>
                <c:pt idx="182">
                  <c:v>1.392570441580175E-12</c:v>
                </c:pt>
                <c:pt idx="183">
                  <c:v>1.392570441580175E-12</c:v>
                </c:pt>
                <c:pt idx="184">
                  <c:v>1.392570441580175E-12</c:v>
                </c:pt>
                <c:pt idx="185">
                  <c:v>1.392570441580175E-12</c:v>
                </c:pt>
                <c:pt idx="186">
                  <c:v>1.392570441580175E-12</c:v>
                </c:pt>
                <c:pt idx="187">
                  <c:v>1.392570441580175E-12</c:v>
                </c:pt>
                <c:pt idx="188">
                  <c:v>1.392570441580175E-12</c:v>
                </c:pt>
                <c:pt idx="189">
                  <c:v>1.392570441580175E-12</c:v>
                </c:pt>
                <c:pt idx="190">
                  <c:v>1.392570441580175E-12</c:v>
                </c:pt>
                <c:pt idx="191">
                  <c:v>1.392570441580175E-12</c:v>
                </c:pt>
                <c:pt idx="192">
                  <c:v>1.392570441580175E-12</c:v>
                </c:pt>
                <c:pt idx="193">
                  <c:v>1.392570441580175E-12</c:v>
                </c:pt>
                <c:pt idx="194">
                  <c:v>1.392570441580175E-12</c:v>
                </c:pt>
                <c:pt idx="195">
                  <c:v>1.392570441580175E-12</c:v>
                </c:pt>
                <c:pt idx="196">
                  <c:v>1.392570441580175E-12</c:v>
                </c:pt>
                <c:pt idx="197">
                  <c:v>1.392570441580175E-12</c:v>
                </c:pt>
                <c:pt idx="198">
                  <c:v>1.392570441580175E-12</c:v>
                </c:pt>
                <c:pt idx="199">
                  <c:v>1.392570441580175E-12</c:v>
                </c:pt>
                <c:pt idx="200">
                  <c:v>1.392570441580175E-12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ColWidth="11.453125" defaultRowHeight="14.5" x14ac:dyDescent="0.35"/>
  <cols>
    <col min="1" max="1" width="6.54296875" customWidth="1"/>
    <col min="2" max="13" width="15.81640625" customWidth="1"/>
  </cols>
  <sheetData>
    <row r="12" spans="2:13" ht="15" customHeight="1" x14ac:dyDescent="0.35">
      <c r="B12" s="258" t="s">
        <v>0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5">
      <c r="B18" s="258" t="s">
        <v>1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5" sqref="C5"/>
    </sheetView>
  </sheetViews>
  <sheetFormatPr baseColWidth="10" defaultColWidth="11.453125" defaultRowHeight="14.5" x14ac:dyDescent="0.35"/>
  <cols>
    <col min="1" max="1" width="13.5429687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453125" style="23" customWidth="1"/>
    <col min="6" max="6" width="28.81640625" style="23" bestFit="1" customWidth="1"/>
    <col min="7" max="8" width="14.5429687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3" t="s">
        <v>2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4" t="s">
        <v>4</v>
      </c>
      <c r="C3" s="265"/>
      <c r="D3" s="265"/>
      <c r="E3" s="265"/>
      <c r="F3" s="266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9" t="s">
        <v>7</v>
      </c>
      <c r="B5" s="269"/>
      <c r="C5" s="24">
        <v>3.86</v>
      </c>
      <c r="D5" s="270" t="s">
        <v>8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8" t="s">
        <v>9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0.9</v>
      </c>
      <c r="D9" s="33">
        <f t="shared" ref="D9:D18" si="0">C9*$C$5</f>
        <v>3.4739999999999998</v>
      </c>
      <c r="E9" s="34">
        <v>53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19</v>
      </c>
      <c r="C11" s="32">
        <v>0.1</v>
      </c>
      <c r="D11" s="33">
        <f t="shared" si="0"/>
        <v>0.38600000000000001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21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22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23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24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25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26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27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28</v>
      </c>
      <c r="C19" s="37">
        <f>SUM(C9:C18)</f>
        <v>1</v>
      </c>
      <c r="D19" s="38">
        <f>SUM(D9:D18)</f>
        <v>3.86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7" t="s">
        <v>29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30</v>
      </c>
      <c r="B24" s="42" t="s">
        <v>31</v>
      </c>
      <c r="C24" s="43">
        <v>0</v>
      </c>
      <c r="D24" s="44" t="s">
        <v>32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33</v>
      </c>
      <c r="B25" s="42" t="s">
        <v>34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35</v>
      </c>
      <c r="B26" s="42" t="s">
        <v>36</v>
      </c>
      <c r="C26" s="43">
        <v>0.1</v>
      </c>
      <c r="D26" s="44" t="s">
        <v>37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38</v>
      </c>
      <c r="B27" s="42" t="s">
        <v>39</v>
      </c>
      <c r="C27" s="43">
        <v>0</v>
      </c>
      <c r="D27" s="44" t="s">
        <v>40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8" t="s">
        <v>41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Epicéa de Sitka</v>
      </c>
      <c r="D32" s="229" t="s">
        <v>42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43</v>
      </c>
      <c r="C34" s="259" t="s">
        <v>44</v>
      </c>
      <c r="D34" s="259"/>
      <c r="E34" s="260" t="s">
        <v>45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46</v>
      </c>
      <c r="B35" s="36" t="s">
        <v>47</v>
      </c>
      <c r="C35" s="48" t="s">
        <v>48</v>
      </c>
      <c r="D35" s="48" t="s">
        <v>49</v>
      </c>
      <c r="E35" s="36" t="s">
        <v>50</v>
      </c>
      <c r="F35" s="36" t="s">
        <v>51</v>
      </c>
      <c r="G35" s="36" t="s">
        <v>52</v>
      </c>
      <c r="H35" s="36" t="s">
        <v>53</v>
      </c>
      <c r="I35" s="48" t="s">
        <v>54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23</v>
      </c>
      <c r="B36" s="60">
        <v>165</v>
      </c>
      <c r="C36" s="60">
        <v>1</v>
      </c>
      <c r="D36" s="60">
        <v>55</v>
      </c>
      <c r="E36" s="51">
        <v>0</v>
      </c>
      <c r="F36" s="51">
        <v>0.5</v>
      </c>
      <c r="G36" s="51">
        <v>0.5</v>
      </c>
      <c r="H36" s="51">
        <v>0</v>
      </c>
      <c r="I36" s="49">
        <f>IFERROR(B36/A36,"")</f>
        <v>7.1739130434782608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27</v>
      </c>
      <c r="B37" s="60">
        <v>235</v>
      </c>
      <c r="C37" s="60">
        <v>2</v>
      </c>
      <c r="D37" s="60">
        <v>64</v>
      </c>
      <c r="E37" s="51">
        <v>0</v>
      </c>
      <c r="F37" s="51">
        <v>0.5</v>
      </c>
      <c r="G37" s="51">
        <v>0.5</v>
      </c>
      <c r="H37" s="51">
        <v>0</v>
      </c>
      <c r="I37" s="53">
        <f t="shared" ref="I37:I55" si="1">IF(A37&lt;&gt;0,(B37-(B36-D36))/(A37-A36),"")</f>
        <v>31.25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31</v>
      </c>
      <c r="B38" s="60">
        <v>315</v>
      </c>
      <c r="C38" s="60">
        <v>3</v>
      </c>
      <c r="D38" s="60">
        <v>57</v>
      </c>
      <c r="E38" s="51">
        <v>0.35</v>
      </c>
      <c r="F38" s="51">
        <v>0.15</v>
      </c>
      <c r="G38" s="51">
        <v>0.15</v>
      </c>
      <c r="H38" s="51">
        <v>0.35</v>
      </c>
      <c r="I38" s="53">
        <f t="shared" si="1"/>
        <v>36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35</v>
      </c>
      <c r="B39" s="60">
        <v>408</v>
      </c>
      <c r="C39" s="60">
        <v>4</v>
      </c>
      <c r="D39" s="60">
        <v>64</v>
      </c>
      <c r="E39" s="51">
        <v>0.35</v>
      </c>
      <c r="F39" s="51">
        <v>0.15</v>
      </c>
      <c r="G39" s="51">
        <v>0.15</v>
      </c>
      <c r="H39" s="51">
        <v>0.35</v>
      </c>
      <c r="I39" s="49">
        <f t="shared" si="1"/>
        <v>37.5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39</v>
      </c>
      <c r="B40" s="60">
        <v>487</v>
      </c>
      <c r="C40" s="60">
        <v>5</v>
      </c>
      <c r="D40" s="60">
        <v>50</v>
      </c>
      <c r="E40" s="51">
        <v>0.35</v>
      </c>
      <c r="F40" s="51">
        <v>0.15</v>
      </c>
      <c r="G40" s="51">
        <v>0.15</v>
      </c>
      <c r="H40" s="51">
        <v>0.35</v>
      </c>
      <c r="I40" s="49">
        <f t="shared" si="1"/>
        <v>35.75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44</v>
      </c>
      <c r="B41" s="60">
        <v>596</v>
      </c>
      <c r="C41" s="60">
        <v>6</v>
      </c>
      <c r="D41" s="60">
        <v>57</v>
      </c>
      <c r="E41" s="51">
        <v>0.35</v>
      </c>
      <c r="F41" s="51">
        <v>0.15</v>
      </c>
      <c r="G41" s="51">
        <v>0.15</v>
      </c>
      <c r="H41" s="51">
        <v>0.35</v>
      </c>
      <c r="I41" s="53">
        <f t="shared" si="1"/>
        <v>31.8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50</v>
      </c>
      <c r="B42" s="60">
        <v>697</v>
      </c>
      <c r="C42" s="60">
        <v>7</v>
      </c>
      <c r="D42" s="60">
        <v>67</v>
      </c>
      <c r="E42" s="51">
        <v>0.35</v>
      </c>
      <c r="F42" s="51">
        <v>0.15</v>
      </c>
      <c r="G42" s="51">
        <v>0.15</v>
      </c>
      <c r="H42" s="51">
        <v>0.35</v>
      </c>
      <c r="I42" s="53">
        <f t="shared" si="1"/>
        <v>26.333333333333332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53</v>
      </c>
      <c r="B43" s="60">
        <v>697</v>
      </c>
      <c r="C43" s="60">
        <v>8</v>
      </c>
      <c r="D43" s="60">
        <v>697</v>
      </c>
      <c r="E43" s="51">
        <v>0.35</v>
      </c>
      <c r="F43" s="51">
        <v>0.15</v>
      </c>
      <c r="G43" s="51">
        <v>0.15</v>
      </c>
      <c r="H43" s="51">
        <v>0.35</v>
      </c>
      <c r="I43" s="49">
        <f t="shared" si="1"/>
        <v>22.333333333333332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/>
      </c>
      <c r="D58" s="229" t="s">
        <v>42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43</v>
      </c>
      <c r="C60" s="259" t="s">
        <v>44</v>
      </c>
      <c r="D60" s="259"/>
      <c r="E60" s="260" t="s">
        <v>45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46</v>
      </c>
      <c r="B61" s="36" t="s">
        <v>47</v>
      </c>
      <c r="C61" s="48" t="s">
        <v>48</v>
      </c>
      <c r="D61" s="48" t="s">
        <v>49</v>
      </c>
      <c r="E61" s="36" t="s">
        <v>50</v>
      </c>
      <c r="F61" s="36" t="s">
        <v>51</v>
      </c>
      <c r="G61" s="36" t="s">
        <v>52</v>
      </c>
      <c r="H61" s="36" t="s">
        <v>53</v>
      </c>
      <c r="I61" s="48" t="s">
        <v>54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Thuya géant</v>
      </c>
      <c r="D84" s="229" t="s">
        <v>42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43</v>
      </c>
      <c r="C86" s="259" t="s">
        <v>44</v>
      </c>
      <c r="D86" s="259"/>
      <c r="E86" s="260" t="s">
        <v>45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46</v>
      </c>
      <c r="B87" s="36" t="s">
        <v>47</v>
      </c>
      <c r="C87" s="48" t="s">
        <v>48</v>
      </c>
      <c r="D87" s="48" t="s">
        <v>49</v>
      </c>
      <c r="E87" s="36" t="s">
        <v>50</v>
      </c>
      <c r="F87" s="36" t="s">
        <v>51</v>
      </c>
      <c r="G87" s="36" t="s">
        <v>52</v>
      </c>
      <c r="H87" s="36" t="s">
        <v>53</v>
      </c>
      <c r="I87" s="48" t="s">
        <v>54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20</v>
      </c>
      <c r="B88" s="60">
        <v>134</v>
      </c>
      <c r="C88" s="60">
        <v>1</v>
      </c>
      <c r="D88" s="60">
        <v>5</v>
      </c>
      <c r="E88" s="51">
        <v>0.25</v>
      </c>
      <c r="F88" s="51">
        <v>0.37</v>
      </c>
      <c r="G88" s="51">
        <v>0.38</v>
      </c>
      <c r="H88" s="87">
        <v>0</v>
      </c>
      <c r="I88" s="53">
        <f>IFERROR(B88/A88,"")</f>
        <v>6.7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25</v>
      </c>
      <c r="B89" s="60">
        <v>243</v>
      </c>
      <c r="C89" s="60">
        <v>2</v>
      </c>
      <c r="D89" s="60">
        <v>63</v>
      </c>
      <c r="E89" s="51">
        <v>0.25</v>
      </c>
      <c r="F89" s="51">
        <v>0.37</v>
      </c>
      <c r="G89" s="51">
        <v>0.38</v>
      </c>
      <c r="H89" s="87">
        <v>0</v>
      </c>
      <c r="I89" s="53">
        <f t="shared" ref="I89:I107" si="3">IF(A89&lt;&gt;0,(B89-(B88-D88))/(A89-A88),"")</f>
        <v>22.8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30</v>
      </c>
      <c r="B90" s="60">
        <v>308</v>
      </c>
      <c r="C90" s="60">
        <v>3</v>
      </c>
      <c r="D90" s="60">
        <v>63</v>
      </c>
      <c r="E90" s="87">
        <v>0.25</v>
      </c>
      <c r="F90" s="87">
        <v>0.37</v>
      </c>
      <c r="G90" s="87">
        <v>0.38</v>
      </c>
      <c r="H90" s="87">
        <v>0</v>
      </c>
      <c r="I90" s="53">
        <f t="shared" si="3"/>
        <v>25.6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35</v>
      </c>
      <c r="B91" s="60">
        <v>376</v>
      </c>
      <c r="C91" s="60">
        <v>4</v>
      </c>
      <c r="D91" s="60">
        <v>63</v>
      </c>
      <c r="E91" s="87">
        <v>0.25</v>
      </c>
      <c r="F91" s="87">
        <v>0.37</v>
      </c>
      <c r="G91" s="87">
        <v>0.38</v>
      </c>
      <c r="H91" s="87">
        <v>0</v>
      </c>
      <c r="I91" s="53">
        <f t="shared" si="3"/>
        <v>26.2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40</v>
      </c>
      <c r="B92" s="60">
        <v>440</v>
      </c>
      <c r="C92" s="60">
        <v>5</v>
      </c>
      <c r="D92" s="60">
        <v>63</v>
      </c>
      <c r="E92" s="87">
        <v>0.25</v>
      </c>
      <c r="F92" s="87">
        <v>0.37</v>
      </c>
      <c r="G92" s="87">
        <v>0.38</v>
      </c>
      <c r="H92" s="87">
        <v>0</v>
      </c>
      <c r="I92" s="53">
        <f t="shared" si="3"/>
        <v>25.4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45</v>
      </c>
      <c r="B93" s="60">
        <v>498</v>
      </c>
      <c r="C93" s="60">
        <v>6</v>
      </c>
      <c r="D93" s="60">
        <v>63</v>
      </c>
      <c r="E93" s="87">
        <v>0.6</v>
      </c>
      <c r="F93" s="87">
        <v>0.2</v>
      </c>
      <c r="G93" s="87">
        <v>0.2</v>
      </c>
      <c r="H93" s="87">
        <v>0</v>
      </c>
      <c r="I93" s="53">
        <f t="shared" si="3"/>
        <v>24.2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50</v>
      </c>
      <c r="B94" s="60">
        <v>549</v>
      </c>
      <c r="C94" s="60">
        <v>7</v>
      </c>
      <c r="D94" s="60">
        <v>63</v>
      </c>
      <c r="E94" s="87">
        <v>0.6</v>
      </c>
      <c r="F94" s="87">
        <v>0.2</v>
      </c>
      <c r="G94" s="87">
        <v>0.2</v>
      </c>
      <c r="H94" s="87">
        <v>0</v>
      </c>
      <c r="I94" s="53">
        <f t="shared" si="3"/>
        <v>22.8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55</v>
      </c>
      <c r="B95" s="60">
        <v>594</v>
      </c>
      <c r="C95" s="60">
        <v>8</v>
      </c>
      <c r="D95" s="60">
        <v>60</v>
      </c>
      <c r="E95" s="87">
        <v>0.6</v>
      </c>
      <c r="F95" s="87">
        <v>0.2</v>
      </c>
      <c r="G95" s="87">
        <v>0.2</v>
      </c>
      <c r="H95" s="87">
        <v>0</v>
      </c>
      <c r="I95" s="53">
        <f t="shared" si="3"/>
        <v>21.6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60</v>
      </c>
      <c r="B96" s="60">
        <v>634</v>
      </c>
      <c r="C96" s="60">
        <v>9</v>
      </c>
      <c r="D96" s="60">
        <v>53</v>
      </c>
      <c r="E96" s="87">
        <v>0.6</v>
      </c>
      <c r="F96" s="87">
        <v>0.2</v>
      </c>
      <c r="G96" s="87">
        <v>0.2</v>
      </c>
      <c r="H96" s="87">
        <v>0</v>
      </c>
      <c r="I96" s="53">
        <f t="shared" si="3"/>
        <v>20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65</v>
      </c>
      <c r="B97" s="60">
        <v>674</v>
      </c>
      <c r="C97" s="60">
        <v>10</v>
      </c>
      <c r="D97" s="60">
        <v>48</v>
      </c>
      <c r="E97" s="87">
        <v>0.6</v>
      </c>
      <c r="F97" s="87">
        <v>0.2</v>
      </c>
      <c r="G97" s="87">
        <v>0.2</v>
      </c>
      <c r="H97" s="87">
        <v>0</v>
      </c>
      <c r="I97" s="53">
        <f t="shared" si="3"/>
        <v>18.600000000000001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70</v>
      </c>
      <c r="B98" s="60">
        <v>712</v>
      </c>
      <c r="C98" s="60">
        <v>11</v>
      </c>
      <c r="D98" s="60">
        <v>45</v>
      </c>
      <c r="E98" s="87">
        <v>0.6</v>
      </c>
      <c r="F98" s="87">
        <v>0.2</v>
      </c>
      <c r="G98" s="87">
        <v>0.2</v>
      </c>
      <c r="H98" s="87">
        <v>0</v>
      </c>
      <c r="I98" s="53">
        <f t="shared" si="3"/>
        <v>17.2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75</v>
      </c>
      <c r="B99" s="60">
        <v>746</v>
      </c>
      <c r="C99" s="60">
        <v>12</v>
      </c>
      <c r="D99" s="60">
        <v>43</v>
      </c>
      <c r="E99" s="87">
        <v>0.6</v>
      </c>
      <c r="F99" s="87">
        <v>0.2</v>
      </c>
      <c r="G99" s="87">
        <v>0.2</v>
      </c>
      <c r="H99" s="87">
        <v>0</v>
      </c>
      <c r="I99" s="53">
        <f t="shared" si="3"/>
        <v>15.8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80</v>
      </c>
      <c r="B100" s="60">
        <v>776</v>
      </c>
      <c r="C100" s="60">
        <v>13</v>
      </c>
      <c r="D100" s="60">
        <v>776</v>
      </c>
      <c r="E100" s="65">
        <v>0.6</v>
      </c>
      <c r="F100" s="65">
        <v>0.2</v>
      </c>
      <c r="G100" s="65">
        <v>0.2</v>
      </c>
      <c r="H100" s="65">
        <v>0</v>
      </c>
      <c r="I100" s="53">
        <f t="shared" si="3"/>
        <v>14.6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21</v>
      </c>
      <c r="B110" s="52" t="str">
        <f>IF(B12="","",B12)</f>
        <v/>
      </c>
      <c r="D110" s="229" t="s">
        <v>42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43</v>
      </c>
      <c r="C112" s="259" t="s">
        <v>44</v>
      </c>
      <c r="D112" s="259"/>
      <c r="E112" s="260" t="s">
        <v>45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46</v>
      </c>
      <c r="B113" s="36" t="s">
        <v>47</v>
      </c>
      <c r="C113" s="48" t="s">
        <v>48</v>
      </c>
      <c r="D113" s="48" t="s">
        <v>49</v>
      </c>
      <c r="E113" s="36" t="s">
        <v>50</v>
      </c>
      <c r="F113" s="36" t="s">
        <v>51</v>
      </c>
      <c r="G113" s="36" t="s">
        <v>52</v>
      </c>
      <c r="H113" s="36" t="s">
        <v>53</v>
      </c>
      <c r="I113" s="48" t="s">
        <v>54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22</v>
      </c>
      <c r="B136" s="52" t="str">
        <f>IF(B13="","",B13)</f>
        <v/>
      </c>
      <c r="D136" s="229" t="s">
        <v>42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43</v>
      </c>
      <c r="C138" s="259" t="s">
        <v>44</v>
      </c>
      <c r="D138" s="259"/>
      <c r="E138" s="260" t="s">
        <v>45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46</v>
      </c>
      <c r="B139" s="36" t="s">
        <v>47</v>
      </c>
      <c r="C139" s="48" t="s">
        <v>48</v>
      </c>
      <c r="D139" s="48" t="s">
        <v>49</v>
      </c>
      <c r="E139" s="36" t="s">
        <v>50</v>
      </c>
      <c r="F139" s="36" t="s">
        <v>51</v>
      </c>
      <c r="G139" s="36" t="s">
        <v>52</v>
      </c>
      <c r="H139" s="36" t="s">
        <v>53</v>
      </c>
      <c r="I139" s="48" t="s">
        <v>54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23</v>
      </c>
      <c r="B162" s="52" t="str">
        <f>IF(B14="","",B14)</f>
        <v/>
      </c>
      <c r="D162" s="229" t="s">
        <v>42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43</v>
      </c>
      <c r="C164" s="259" t="s">
        <v>44</v>
      </c>
      <c r="D164" s="259"/>
      <c r="E164" s="260" t="s">
        <v>45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46</v>
      </c>
      <c r="B165" s="36" t="s">
        <v>47</v>
      </c>
      <c r="C165" s="48" t="s">
        <v>48</v>
      </c>
      <c r="D165" s="48" t="s">
        <v>49</v>
      </c>
      <c r="E165" s="36" t="s">
        <v>50</v>
      </c>
      <c r="F165" s="36" t="s">
        <v>51</v>
      </c>
      <c r="G165" s="36" t="s">
        <v>52</v>
      </c>
      <c r="H165" s="36" t="s">
        <v>53</v>
      </c>
      <c r="I165" s="48" t="s">
        <v>54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24</v>
      </c>
      <c r="B188" s="52" t="str">
        <f>IF(B15="","",B15)</f>
        <v/>
      </c>
      <c r="D188" s="229" t="s">
        <v>42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43</v>
      </c>
      <c r="C190" s="259" t="s">
        <v>44</v>
      </c>
      <c r="D190" s="259"/>
      <c r="E190" s="260" t="s">
        <v>45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46</v>
      </c>
      <c r="B191" s="36" t="s">
        <v>47</v>
      </c>
      <c r="C191" s="48" t="s">
        <v>48</v>
      </c>
      <c r="D191" s="48" t="s">
        <v>49</v>
      </c>
      <c r="E191" s="36" t="s">
        <v>50</v>
      </c>
      <c r="F191" s="36" t="s">
        <v>51</v>
      </c>
      <c r="G191" s="36" t="s">
        <v>52</v>
      </c>
      <c r="H191" s="36" t="s">
        <v>53</v>
      </c>
      <c r="I191" s="48" t="s">
        <v>54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25</v>
      </c>
      <c r="B214" s="52" t="str">
        <f>IF(B16="","",B16)</f>
        <v/>
      </c>
      <c r="D214" s="229" t="s">
        <v>42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43</v>
      </c>
      <c r="C216" s="259" t="s">
        <v>44</v>
      </c>
      <c r="D216" s="259"/>
      <c r="E216" s="260" t="s">
        <v>45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46</v>
      </c>
      <c r="B217" s="36" t="s">
        <v>47</v>
      </c>
      <c r="C217" s="48" t="s">
        <v>48</v>
      </c>
      <c r="D217" s="48" t="s">
        <v>49</v>
      </c>
      <c r="E217" s="36" t="s">
        <v>50</v>
      </c>
      <c r="F217" s="36" t="s">
        <v>51</v>
      </c>
      <c r="G217" s="36" t="s">
        <v>52</v>
      </c>
      <c r="H217" s="36" t="s">
        <v>53</v>
      </c>
      <c r="I217" s="48" t="s">
        <v>54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26</v>
      </c>
      <c r="B240" s="52" t="str">
        <f>IF(B17="","",B17)</f>
        <v/>
      </c>
      <c r="D240" s="229" t="s">
        <v>42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43</v>
      </c>
      <c r="C242" s="259" t="s">
        <v>44</v>
      </c>
      <c r="D242" s="259"/>
      <c r="E242" s="260" t="s">
        <v>45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46</v>
      </c>
      <c r="B243" s="36" t="s">
        <v>47</v>
      </c>
      <c r="C243" s="48" t="s">
        <v>48</v>
      </c>
      <c r="D243" s="48" t="s">
        <v>49</v>
      </c>
      <c r="E243" s="36" t="s">
        <v>50</v>
      </c>
      <c r="F243" s="36" t="s">
        <v>51</v>
      </c>
      <c r="G243" s="36" t="s">
        <v>52</v>
      </c>
      <c r="H243" s="36" t="s">
        <v>53</v>
      </c>
      <c r="I243" s="48" t="s">
        <v>54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27</v>
      </c>
      <c r="B266" s="52" t="str">
        <f>IF(B18="","",B18)</f>
        <v/>
      </c>
      <c r="D266" s="229" t="s">
        <v>42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43</v>
      </c>
      <c r="C268" s="259" t="s">
        <v>44</v>
      </c>
      <c r="D268" s="259"/>
      <c r="E268" s="260" t="s">
        <v>45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46</v>
      </c>
      <c r="B269" s="36" t="s">
        <v>47</v>
      </c>
      <c r="C269" s="48" t="s">
        <v>48</v>
      </c>
      <c r="D269" s="48" t="s">
        <v>49</v>
      </c>
      <c r="E269" s="36" t="s">
        <v>50</v>
      </c>
      <c r="F269" s="36" t="s">
        <v>51</v>
      </c>
      <c r="G269" s="36" t="s">
        <v>52</v>
      </c>
      <c r="H269" s="36" t="s">
        <v>53</v>
      </c>
      <c r="I269" s="48" t="s">
        <v>54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84" zoomScaleNormal="84" workbookViewId="0">
      <selection activeCell="B17" sqref="B17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453125" style="1" customWidth="1"/>
    <col min="6" max="6" width="14.453125" style="1" customWidth="1"/>
    <col min="7" max="7" width="73.4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3" t="s">
        <v>55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57</v>
      </c>
      <c r="C7" s="100" t="s">
        <v>58</v>
      </c>
      <c r="D7" s="215"/>
      <c r="E7" s="101"/>
      <c r="F7" s="26" t="s">
        <v>57</v>
      </c>
      <c r="G7" s="100" t="s">
        <v>59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60</v>
      </c>
      <c r="D8" s="23"/>
      <c r="E8" s="105">
        <v>4</v>
      </c>
      <c r="F8" s="61">
        <v>0</v>
      </c>
      <c r="G8" s="102" t="s">
        <v>61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62</v>
      </c>
      <c r="D9" s="23"/>
      <c r="E9" s="105">
        <v>5</v>
      </c>
      <c r="F9" s="61">
        <v>0</v>
      </c>
      <c r="G9" s="103" t="s">
        <v>63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64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65</v>
      </c>
      <c r="D13" s="216"/>
      <c r="E13" s="99"/>
      <c r="F13" s="107"/>
      <c r="G13" s="98" t="s">
        <v>66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67</v>
      </c>
      <c r="D14" s="216"/>
      <c r="E14" s="99"/>
      <c r="F14" s="107"/>
      <c r="G14" s="98" t="s">
        <v>68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57</v>
      </c>
      <c r="C15" s="4"/>
      <c r="D15" s="23"/>
      <c r="E15" s="4"/>
      <c r="F15" s="4"/>
      <c r="G15" s="2" t="s">
        <v>69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0.628</v>
      </c>
      <c r="C16" s="110" t="s">
        <v>70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0.372</v>
      </c>
      <c r="C17" s="110" t="s">
        <v>71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72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5429687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54296875" style="4" bestFit="1" customWidth="1"/>
    <col min="25" max="25" width="14.54296875" style="4" bestFit="1" customWidth="1"/>
    <col min="26" max="26" width="12.453125" style="4" bestFit="1" customWidth="1"/>
    <col min="27" max="27" width="9.5429687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453125" style="4" bestFit="1" customWidth="1"/>
    <col min="45" max="45" width="11.54296875" style="4" bestFit="1" customWidth="1"/>
    <col min="46" max="46" width="8.453125" style="4" bestFit="1" customWidth="1"/>
    <col min="47" max="47" width="9.453125" style="4" bestFit="1" customWidth="1"/>
    <col min="48" max="48" width="9.5429687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4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453125" style="4" bestFit="1" customWidth="1"/>
    <col min="66" max="66" width="11.54296875" style="4" bestFit="1" customWidth="1"/>
    <col min="67" max="67" width="8.453125" style="4" bestFit="1" customWidth="1"/>
    <col min="68" max="68" width="9.453125" style="4" bestFit="1" customWidth="1"/>
    <col min="69" max="69" width="9.5429687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453125" style="4" bestFit="1" customWidth="1"/>
    <col min="87" max="87" width="11.54296875" style="4" bestFit="1" customWidth="1"/>
    <col min="88" max="88" width="8.453125" style="4" bestFit="1" customWidth="1"/>
    <col min="89" max="89" width="9.453125" style="4" bestFit="1" customWidth="1"/>
    <col min="90" max="90" width="9.5429687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453125" style="4" bestFit="1" customWidth="1"/>
    <col min="108" max="108" width="11.54296875" style="4" bestFit="1" customWidth="1"/>
    <col min="109" max="109" width="8.453125" style="4" bestFit="1" customWidth="1"/>
    <col min="110" max="110" width="9.453125" style="4" bestFit="1" customWidth="1"/>
    <col min="111" max="111" width="9.5429687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4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453125" style="4" bestFit="1" customWidth="1"/>
    <col min="129" max="129" width="11.54296875" style="4" bestFit="1" customWidth="1"/>
    <col min="130" max="130" width="8.453125" style="4" bestFit="1" customWidth="1"/>
    <col min="131" max="131" width="9.453125" style="4" bestFit="1" customWidth="1"/>
    <col min="132" max="132" width="9.5429687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453125" style="4" bestFit="1" customWidth="1"/>
    <col min="150" max="150" width="11.54296875" style="4" bestFit="1" customWidth="1"/>
    <col min="151" max="151" width="8.453125" style="4" bestFit="1" customWidth="1"/>
    <col min="152" max="152" width="9.453125" style="4" bestFit="1" customWidth="1"/>
    <col min="153" max="153" width="9.5429687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453125" style="4" bestFit="1" customWidth="1"/>
    <col min="171" max="171" width="11.54296875" style="4" bestFit="1" customWidth="1"/>
    <col min="172" max="172" width="8.1796875" style="4" bestFit="1" customWidth="1"/>
    <col min="173" max="173" width="9.453125" style="4" bestFit="1" customWidth="1"/>
    <col min="174" max="174" width="9.5429687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4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5429687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4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453125" style="4" bestFit="1" customWidth="1"/>
    <col min="213" max="213" width="11.54296875" style="4" bestFit="1" customWidth="1"/>
    <col min="214" max="214" width="8.453125" style="4" bestFit="1" customWidth="1"/>
    <col min="215" max="215" width="9.453125" style="4" bestFit="1" customWidth="1"/>
    <col min="216" max="216" width="9.5429687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9" t="s">
        <v>73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Epicéa de Sitka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/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Thuya géant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5" thickBot="1" x14ac:dyDescent="0.4">
      <c r="A2" s="71" t="s">
        <v>74</v>
      </c>
      <c r="B2" s="72" t="s">
        <v>75</v>
      </c>
      <c r="C2" s="5" t="s">
        <v>76</v>
      </c>
      <c r="D2" s="5" t="s">
        <v>77</v>
      </c>
      <c r="E2" s="5" t="s">
        <v>78</v>
      </c>
      <c r="F2" s="5" t="s">
        <v>79</v>
      </c>
      <c r="G2" s="5" t="s">
        <v>80</v>
      </c>
      <c r="H2" s="66" t="s">
        <v>81</v>
      </c>
      <c r="I2" s="68" t="s">
        <v>78</v>
      </c>
      <c r="J2" s="69" t="s">
        <v>79</v>
      </c>
      <c r="K2" s="6" t="s">
        <v>82</v>
      </c>
      <c r="L2" s="6" t="s">
        <v>83</v>
      </c>
      <c r="M2" s="6" t="s">
        <v>83</v>
      </c>
      <c r="N2" s="6" t="s">
        <v>84</v>
      </c>
      <c r="O2" s="6" t="s">
        <v>85</v>
      </c>
      <c r="P2" s="6" t="s">
        <v>86</v>
      </c>
      <c r="Q2" s="6" t="s">
        <v>80</v>
      </c>
      <c r="R2" s="6" t="s">
        <v>87</v>
      </c>
      <c r="S2" s="6" t="s">
        <v>88</v>
      </c>
      <c r="T2" s="6" t="s">
        <v>89</v>
      </c>
      <c r="U2" s="7" t="s">
        <v>90</v>
      </c>
      <c r="V2" s="8" t="s">
        <v>91</v>
      </c>
      <c r="W2" s="7" t="s">
        <v>50</v>
      </c>
      <c r="X2" s="7" t="s">
        <v>51</v>
      </c>
      <c r="Y2" s="7" t="s">
        <v>92</v>
      </c>
      <c r="Z2" s="8" t="s">
        <v>93</v>
      </c>
      <c r="AA2" s="8" t="s">
        <v>94</v>
      </c>
      <c r="AB2" s="8" t="s">
        <v>95</v>
      </c>
      <c r="AC2" s="9" t="s">
        <v>96</v>
      </c>
      <c r="AD2" s="69" t="s">
        <v>78</v>
      </c>
      <c r="AE2" s="69" t="s">
        <v>79</v>
      </c>
      <c r="AF2" s="6" t="s">
        <v>82</v>
      </c>
      <c r="AG2" s="6" t="s">
        <v>83</v>
      </c>
      <c r="AH2" s="6" t="s">
        <v>83</v>
      </c>
      <c r="AI2" s="6" t="s">
        <v>84</v>
      </c>
      <c r="AJ2" s="6" t="s">
        <v>85</v>
      </c>
      <c r="AK2" s="6" t="s">
        <v>86</v>
      </c>
      <c r="AL2" s="6" t="s">
        <v>80</v>
      </c>
      <c r="AM2" s="6" t="s">
        <v>87</v>
      </c>
      <c r="AN2" s="6" t="s">
        <v>88</v>
      </c>
      <c r="AO2" s="6" t="s">
        <v>89</v>
      </c>
      <c r="AP2" s="7" t="s">
        <v>90</v>
      </c>
      <c r="AQ2" s="8" t="s">
        <v>91</v>
      </c>
      <c r="AR2" s="7" t="s">
        <v>50</v>
      </c>
      <c r="AS2" s="7" t="s">
        <v>51</v>
      </c>
      <c r="AT2" s="8" t="s">
        <v>97</v>
      </c>
      <c r="AU2" s="8" t="s">
        <v>93</v>
      </c>
      <c r="AV2" s="8" t="s">
        <v>94</v>
      </c>
      <c r="AW2" s="8" t="s">
        <v>95</v>
      </c>
      <c r="AX2" s="8" t="s">
        <v>96</v>
      </c>
      <c r="AY2" s="68" t="s">
        <v>78</v>
      </c>
      <c r="AZ2" s="69" t="s">
        <v>79</v>
      </c>
      <c r="BA2" s="6" t="s">
        <v>82</v>
      </c>
      <c r="BB2" s="6" t="s">
        <v>83</v>
      </c>
      <c r="BC2" s="6" t="s">
        <v>83</v>
      </c>
      <c r="BD2" s="6" t="s">
        <v>84</v>
      </c>
      <c r="BE2" s="6" t="s">
        <v>85</v>
      </c>
      <c r="BF2" s="6" t="s">
        <v>86</v>
      </c>
      <c r="BG2" s="6" t="s">
        <v>80</v>
      </c>
      <c r="BH2" s="6" t="s">
        <v>87</v>
      </c>
      <c r="BI2" s="6" t="s">
        <v>88</v>
      </c>
      <c r="BJ2" s="6" t="s">
        <v>89</v>
      </c>
      <c r="BK2" s="7" t="s">
        <v>90</v>
      </c>
      <c r="BL2" s="8" t="s">
        <v>91</v>
      </c>
      <c r="BM2" s="7" t="s">
        <v>50</v>
      </c>
      <c r="BN2" s="7" t="s">
        <v>51</v>
      </c>
      <c r="BO2" s="8" t="s">
        <v>97</v>
      </c>
      <c r="BP2" s="8" t="s">
        <v>93</v>
      </c>
      <c r="BQ2" s="8" t="s">
        <v>94</v>
      </c>
      <c r="BR2" s="8" t="s">
        <v>95</v>
      </c>
      <c r="BS2" s="9" t="s">
        <v>96</v>
      </c>
      <c r="BT2" s="68" t="s">
        <v>78</v>
      </c>
      <c r="BU2" s="69" t="s">
        <v>79</v>
      </c>
      <c r="BV2" s="6" t="s">
        <v>82</v>
      </c>
      <c r="BW2" s="6" t="s">
        <v>83</v>
      </c>
      <c r="BX2" s="6" t="s">
        <v>83</v>
      </c>
      <c r="BY2" s="6" t="s">
        <v>84</v>
      </c>
      <c r="BZ2" s="6" t="s">
        <v>85</v>
      </c>
      <c r="CA2" s="6" t="s">
        <v>86</v>
      </c>
      <c r="CB2" s="6" t="s">
        <v>80</v>
      </c>
      <c r="CC2" s="6" t="s">
        <v>87</v>
      </c>
      <c r="CD2" s="6" t="s">
        <v>88</v>
      </c>
      <c r="CE2" s="6" t="s">
        <v>89</v>
      </c>
      <c r="CF2" s="7" t="s">
        <v>90</v>
      </c>
      <c r="CG2" s="8" t="s">
        <v>91</v>
      </c>
      <c r="CH2" s="7" t="s">
        <v>50</v>
      </c>
      <c r="CI2" s="7" t="s">
        <v>51</v>
      </c>
      <c r="CJ2" s="8" t="s">
        <v>97</v>
      </c>
      <c r="CK2" s="8" t="s">
        <v>93</v>
      </c>
      <c r="CL2" s="8" t="s">
        <v>94</v>
      </c>
      <c r="CM2" s="8" t="s">
        <v>95</v>
      </c>
      <c r="CN2" s="9" t="s">
        <v>96</v>
      </c>
      <c r="CO2" s="68" t="s">
        <v>78</v>
      </c>
      <c r="CP2" s="69" t="s">
        <v>79</v>
      </c>
      <c r="CQ2" s="6" t="s">
        <v>82</v>
      </c>
      <c r="CR2" s="6" t="s">
        <v>83</v>
      </c>
      <c r="CS2" s="6" t="s">
        <v>83</v>
      </c>
      <c r="CT2" s="6" t="s">
        <v>84</v>
      </c>
      <c r="CU2" s="6" t="s">
        <v>85</v>
      </c>
      <c r="CV2" s="6" t="s">
        <v>86</v>
      </c>
      <c r="CW2" s="6" t="s">
        <v>80</v>
      </c>
      <c r="CX2" s="6" t="s">
        <v>87</v>
      </c>
      <c r="CY2" s="6" t="s">
        <v>88</v>
      </c>
      <c r="CZ2" s="6" t="s">
        <v>89</v>
      </c>
      <c r="DA2" s="7" t="s">
        <v>90</v>
      </c>
      <c r="DB2" s="8" t="s">
        <v>91</v>
      </c>
      <c r="DC2" s="7" t="s">
        <v>50</v>
      </c>
      <c r="DD2" s="7" t="s">
        <v>51</v>
      </c>
      <c r="DE2" s="8" t="s">
        <v>97</v>
      </c>
      <c r="DF2" s="8" t="s">
        <v>93</v>
      </c>
      <c r="DG2" s="8" t="s">
        <v>94</v>
      </c>
      <c r="DH2" s="8" t="s">
        <v>95</v>
      </c>
      <c r="DI2" s="9" t="s">
        <v>96</v>
      </c>
      <c r="DJ2" s="68" t="s">
        <v>78</v>
      </c>
      <c r="DK2" s="69" t="s">
        <v>79</v>
      </c>
      <c r="DL2" s="6" t="s">
        <v>82</v>
      </c>
      <c r="DM2" s="6" t="s">
        <v>83</v>
      </c>
      <c r="DN2" s="6" t="s">
        <v>83</v>
      </c>
      <c r="DO2" s="6" t="s">
        <v>84</v>
      </c>
      <c r="DP2" s="6" t="s">
        <v>85</v>
      </c>
      <c r="DQ2" s="6" t="s">
        <v>86</v>
      </c>
      <c r="DR2" s="6" t="s">
        <v>80</v>
      </c>
      <c r="DS2" s="6" t="s">
        <v>87</v>
      </c>
      <c r="DT2" s="6" t="s">
        <v>88</v>
      </c>
      <c r="DU2" s="6" t="s">
        <v>89</v>
      </c>
      <c r="DV2" s="7" t="s">
        <v>90</v>
      </c>
      <c r="DW2" s="8" t="s">
        <v>91</v>
      </c>
      <c r="DX2" s="7" t="s">
        <v>50</v>
      </c>
      <c r="DY2" s="7" t="s">
        <v>51</v>
      </c>
      <c r="DZ2" s="8" t="s">
        <v>97</v>
      </c>
      <c r="EA2" s="8" t="s">
        <v>93</v>
      </c>
      <c r="EB2" s="8" t="s">
        <v>94</v>
      </c>
      <c r="EC2" s="8" t="s">
        <v>95</v>
      </c>
      <c r="ED2" s="9" t="s">
        <v>96</v>
      </c>
      <c r="EE2" s="68" t="s">
        <v>78</v>
      </c>
      <c r="EF2" s="69" t="s">
        <v>79</v>
      </c>
      <c r="EG2" s="6" t="s">
        <v>82</v>
      </c>
      <c r="EH2" s="6" t="s">
        <v>83</v>
      </c>
      <c r="EI2" s="6" t="s">
        <v>83</v>
      </c>
      <c r="EJ2" s="6" t="s">
        <v>84</v>
      </c>
      <c r="EK2" s="6" t="s">
        <v>85</v>
      </c>
      <c r="EL2" s="6" t="s">
        <v>86</v>
      </c>
      <c r="EM2" s="6" t="s">
        <v>80</v>
      </c>
      <c r="EN2" s="6" t="s">
        <v>87</v>
      </c>
      <c r="EO2" s="6" t="s">
        <v>88</v>
      </c>
      <c r="EP2" s="6" t="s">
        <v>89</v>
      </c>
      <c r="EQ2" s="7" t="s">
        <v>90</v>
      </c>
      <c r="ER2" s="8" t="s">
        <v>91</v>
      </c>
      <c r="ES2" s="7" t="s">
        <v>50</v>
      </c>
      <c r="ET2" s="7" t="s">
        <v>51</v>
      </c>
      <c r="EU2" s="8" t="s">
        <v>97</v>
      </c>
      <c r="EV2" s="8" t="s">
        <v>93</v>
      </c>
      <c r="EW2" s="8" t="s">
        <v>94</v>
      </c>
      <c r="EX2" s="8" t="s">
        <v>95</v>
      </c>
      <c r="EY2" s="9" t="s">
        <v>96</v>
      </c>
      <c r="EZ2" s="68" t="s">
        <v>78</v>
      </c>
      <c r="FA2" s="69" t="s">
        <v>79</v>
      </c>
      <c r="FB2" s="6" t="s">
        <v>82</v>
      </c>
      <c r="FC2" s="6" t="s">
        <v>83</v>
      </c>
      <c r="FD2" s="6" t="s">
        <v>83</v>
      </c>
      <c r="FE2" s="6" t="s">
        <v>84</v>
      </c>
      <c r="FF2" s="6" t="s">
        <v>85</v>
      </c>
      <c r="FG2" s="6" t="s">
        <v>86</v>
      </c>
      <c r="FH2" s="6" t="s">
        <v>80</v>
      </c>
      <c r="FI2" s="6" t="s">
        <v>87</v>
      </c>
      <c r="FJ2" s="6" t="s">
        <v>88</v>
      </c>
      <c r="FK2" s="6" t="s">
        <v>89</v>
      </c>
      <c r="FL2" s="7" t="s">
        <v>90</v>
      </c>
      <c r="FM2" s="8" t="s">
        <v>91</v>
      </c>
      <c r="FN2" s="7" t="s">
        <v>50</v>
      </c>
      <c r="FO2" s="7" t="s">
        <v>51</v>
      </c>
      <c r="FP2" s="8" t="s">
        <v>98</v>
      </c>
      <c r="FQ2" s="8" t="s">
        <v>93</v>
      </c>
      <c r="FR2" s="8" t="s">
        <v>94</v>
      </c>
      <c r="FS2" s="8" t="s">
        <v>95</v>
      </c>
      <c r="FT2" s="9" t="s">
        <v>96</v>
      </c>
      <c r="FU2" s="68" t="s">
        <v>78</v>
      </c>
      <c r="FV2" s="69" t="s">
        <v>79</v>
      </c>
      <c r="FW2" s="6" t="s">
        <v>82</v>
      </c>
      <c r="FX2" s="6" t="s">
        <v>83</v>
      </c>
      <c r="FY2" s="6" t="s">
        <v>83</v>
      </c>
      <c r="FZ2" s="6" t="s">
        <v>84</v>
      </c>
      <c r="GA2" s="6" t="s">
        <v>85</v>
      </c>
      <c r="GB2" s="6" t="s">
        <v>86</v>
      </c>
      <c r="GC2" s="6" t="s">
        <v>80</v>
      </c>
      <c r="GD2" s="6" t="s">
        <v>87</v>
      </c>
      <c r="GE2" s="6" t="s">
        <v>88</v>
      </c>
      <c r="GF2" s="6" t="s">
        <v>89</v>
      </c>
      <c r="GG2" s="7" t="s">
        <v>90</v>
      </c>
      <c r="GH2" s="8" t="s">
        <v>91</v>
      </c>
      <c r="GI2" s="7" t="s">
        <v>50</v>
      </c>
      <c r="GJ2" s="7" t="s">
        <v>51</v>
      </c>
      <c r="GK2" s="8" t="s">
        <v>97</v>
      </c>
      <c r="GL2" s="8" t="s">
        <v>93</v>
      </c>
      <c r="GM2" s="8" t="s">
        <v>94</v>
      </c>
      <c r="GN2" s="8" t="s">
        <v>95</v>
      </c>
      <c r="GO2" s="8" t="s">
        <v>96</v>
      </c>
      <c r="GP2" s="68" t="s">
        <v>78</v>
      </c>
      <c r="GQ2" s="69" t="s">
        <v>79</v>
      </c>
      <c r="GR2" s="6" t="s">
        <v>82</v>
      </c>
      <c r="GS2" s="6" t="s">
        <v>83</v>
      </c>
      <c r="GT2" s="6" t="s">
        <v>83</v>
      </c>
      <c r="GU2" s="6" t="s">
        <v>84</v>
      </c>
      <c r="GV2" s="6" t="s">
        <v>85</v>
      </c>
      <c r="GW2" s="6" t="s">
        <v>86</v>
      </c>
      <c r="GX2" s="6" t="s">
        <v>80</v>
      </c>
      <c r="GY2" s="6" t="s">
        <v>87</v>
      </c>
      <c r="GZ2" s="6" t="s">
        <v>88</v>
      </c>
      <c r="HA2" s="6" t="s">
        <v>89</v>
      </c>
      <c r="HB2" s="7" t="s">
        <v>90</v>
      </c>
      <c r="HC2" s="8" t="s">
        <v>91</v>
      </c>
      <c r="HD2" s="7" t="s">
        <v>50</v>
      </c>
      <c r="HE2" s="7" t="s">
        <v>51</v>
      </c>
      <c r="HF2" s="8" t="s">
        <v>97</v>
      </c>
      <c r="HG2" s="8" t="s">
        <v>93</v>
      </c>
      <c r="HH2" s="8" t="s">
        <v>94</v>
      </c>
      <c r="HI2" s="8" t="s">
        <v>95</v>
      </c>
      <c r="HJ2" s="9" t="s">
        <v>96</v>
      </c>
    </row>
    <row r="3" spans="1:218" x14ac:dyDescent="0.35">
      <c r="A3" s="10">
        <v>0</v>
      </c>
      <c r="B3" s="73">
        <f>'Scénario référence'!$B$16*5+'Scénario référence'!$B$17*0+'Scénario référence'!$B$18*5</f>
        <v>3.14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11.513333333333334</v>
      </c>
      <c r="H3" s="67">
        <f>(B3+E3+F3)*44/12+(C3+D3)*0.475*44/12</f>
        <v>210.61333333333332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54.3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199.1</v>
      </c>
      <c r="S3" s="59">
        <f ca="1">AVERAGE(OFFSET($R$3,0,0,'Données projet'!$E$9+1,1))-AVERAGE(OFFSET($H$3,0,0,'Données projet'!$E$9+1,1))</f>
        <v>302.99089313578685</v>
      </c>
      <c r="T3" s="59">
        <f>IF('Données projet'!E9&gt;30,$R$33-$H$33,LOOKUP('Données projet'!$E$9,$A$3:$A$203,R3:R203)-LOOKUP('Données projet'!$E$9,$A$3:$A$203,$H$3:$H$203))</f>
        <v>335.51949678160906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54.3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54.3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199.1</v>
      </c>
      <c r="BI3" s="59">
        <f ca="1">AVERAGE(OFFSET($BH$3,0,0,'Données projet'!$E$11+1,1))-AVERAGE(OFFSET($H$3,0,0,'Données projet'!$E$11+1,1))</f>
        <v>377.91408971696819</v>
      </c>
      <c r="BJ3" s="59">
        <f>IF('Données projet'!E11&gt;30,$BH$33-$H$33,LOOKUP('Données projet'!$E$11,$A$3:$A$203,BH3:BH203)-LOOKUP('Données projet'!$E$11,$A$3:$A$203,$H$3:$H$203))</f>
        <v>321.68797596002366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54.3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54.3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54.3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54.3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54.3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54.3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54.3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3.14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11.513333333333334</v>
      </c>
      <c r="H4" s="67">
        <f t="shared" ref="H4:H67" si="1">(B4+E4+F4)*44/12+(C4+D4)*0.475*44/12</f>
        <v>210.61333333333332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54.572359900058345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7.1739130434782608</v>
      </c>
      <c r="N4" s="13">
        <f>IF('Données projet'!$A$36&gt;35,N3+M4-V3,IF(A4&lt;'Données projet'!$A$36,$K$205^A4,IF(A4='Données projet'!$A$36,'Données projet'!$B$36,N3+M4-V3)))</f>
        <v>1.2485684178796581</v>
      </c>
      <c r="O4" s="13">
        <f>N4*VLOOKUP('Données projet'!$B$9,Paramètres!$A$1:$I$89,3,0)*VLOOKUP('Données projet'!$B$9,Paramètres!$A$1:$I$89,5,0)</f>
        <v>0.58433001956768005</v>
      </c>
      <c r="P4" s="13">
        <f>EXP(-1.0587+0.8836*LN(O4)+0.284)</f>
        <v>0.28666274091291899</v>
      </c>
      <c r="Q4" s="20">
        <f t="shared" ref="Q4:Q34" si="2">(O4+P4)*0.475*44/12</f>
        <v>1.5169790578370435</v>
      </c>
      <c r="R4" s="59">
        <f t="shared" si="0"/>
        <v>202.83785424693986</v>
      </c>
      <c r="S4" s="59">
        <f ca="1">AVERAGE(OFFSET($R$3,0,0,'Données projet'!$E$9+1,1))-AVERAGE(OFFSET($H$3,0,0,'Données projet'!$E$9+1,1))</f>
        <v>302.99089313578685</v>
      </c>
      <c r="T4" s="59">
        <f>$T$3</f>
        <v>335.51949678160906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54.572359900058345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54.572359900058345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6.7</v>
      </c>
      <c r="BD4" s="12">
        <f>IF('Données projet'!$A$88&gt;35,BD3+BC4-BL3,IF(A4&lt;'Données projet'!$A$88,$BA$205^A4,IF(A4='Données projet'!$A$88,'Données projet'!$B$88,BD3+BC4-BL3)))</f>
        <v>1.277483324775911</v>
      </c>
      <c r="BE4" s="13">
        <f>BD4*VLOOKUP('Données projet'!$B$11,Paramètres!$A$1:$I$89,3,0)*VLOOKUP('Données projet'!$B$11,Paramètres!$A$1:$I$89,5,0)</f>
        <v>0.51482577988469214</v>
      </c>
      <c r="BF4" s="13">
        <f>EXP(-1.0587+0.8836*LN(BE4)+0.284)</f>
        <v>0.25631563211153618</v>
      </c>
      <c r="BG4" s="20">
        <f t="shared" ref="BG4:BG67" si="7">(BE4+BF4)*0.475*44/12</f>
        <v>1.3430712925600974</v>
      </c>
      <c r="BH4" s="59">
        <f t="shared" ref="BH4:BH67" si="8">BG4+(AY4+AZ4)*44/12</f>
        <v>202.66394648166292</v>
      </c>
      <c r="BI4" s="59">
        <f ca="1">AVERAGE(OFFSET($BH$3,0,0,'Données projet'!$E$11+1,1))-AVERAGE(OFFSET($H$3,0,0,'Données projet'!$E$11+1,1))</f>
        <v>377.91408971696819</v>
      </c>
      <c r="BJ4" s="59">
        <f>$BJ$3</f>
        <v>321.68797596002366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54.572359900058345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54.572359900058345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54.572359900058345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54.572359900058345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54.572359900058345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54.572359900058345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54.572359900058345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3.14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11.513333333333334</v>
      </c>
      <c r="H5" s="67">
        <f t="shared" si="1"/>
        <v>210.61333333333332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54.839994964756201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7.1739130434782608</v>
      </c>
      <c r="N5" s="13">
        <f>IF('Données projet'!$A$36&gt;35,N4+M5-V4,IF(A5&lt;'Données projet'!$A$36,$K$205^A5,IF(A5='Données projet'!$A$36,'Données projet'!$B$36,N4+M5-V4)))</f>
        <v>1.5589230941265126</v>
      </c>
      <c r="O5" s="13">
        <f>N5*VLOOKUP('Données projet'!$B$9,Paramètres!$A$1:$I$89,3,0)*VLOOKUP('Données projet'!$B$9,Paramètres!$A$1:$I$89,5,0)</f>
        <v>0.72957600805120781</v>
      </c>
      <c r="P5" s="13">
        <f t="shared" ref="P5:P68" si="33">EXP(-1.0587+0.8836*LN(O5)+0.284)</f>
        <v>0.34878772915648432</v>
      </c>
      <c r="Q5" s="20">
        <f t="shared" si="2"/>
        <v>1.8781501756367305</v>
      </c>
      <c r="R5" s="59">
        <f t="shared" si="0"/>
        <v>205.40257615752057</v>
      </c>
      <c r="S5" s="59">
        <f ca="1">AVERAGE(OFFSET($R$3,0,0,'Données projet'!$E$9+1,1))-AVERAGE(OFFSET($H$3,0,0,'Données projet'!$E$9+1,1))</f>
        <v>302.99089313578685</v>
      </c>
      <c r="T5" s="59">
        <f t="shared" ref="T5:T68" si="34">$T$3</f>
        <v>335.51949678160906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54.839994964756201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54.839994964756201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6.7</v>
      </c>
      <c r="BD5" s="12">
        <f>IF('Données projet'!$A$88&gt;35,BD4+BC5-BL4,IF(A5&lt;'Données projet'!$A$88,$BA$205^A5,IF(A5='Données projet'!$A$88,'Données projet'!$B$88,BD4+BC5-BL4)))</f>
        <v>1.6319636450805157</v>
      </c>
      <c r="BE5" s="13">
        <f>BD5*VLOOKUP('Données projet'!$B$11,Paramètres!$A$1:$I$89,3,0)*VLOOKUP('Données projet'!$B$11,Paramètres!$A$1:$I$89,5,0)</f>
        <v>0.65768134896744779</v>
      </c>
      <c r="BF5" s="13">
        <f t="shared" ref="BF5:BF68" si="37">EXP(-1.0587+0.8836*LN(BE5)+0.284)</f>
        <v>0.31823693543599024</v>
      </c>
      <c r="BG5" s="20">
        <f t="shared" si="7"/>
        <v>1.6997243453359878</v>
      </c>
      <c r="BH5" s="59">
        <f t="shared" si="8"/>
        <v>205.22415032721983</v>
      </c>
      <c r="BI5" s="59">
        <f ca="1">AVERAGE(OFFSET($BH$3,0,0,'Données projet'!$E$11+1,1))-AVERAGE(OFFSET($H$3,0,0,'Données projet'!$E$11+1,1))</f>
        <v>377.91408971696819</v>
      </c>
      <c r="BJ5" s="59">
        <f t="shared" ref="BJ5:BJ68" si="38">$BJ$3</f>
        <v>321.68797596002366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54.839994964756201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54.839994964756201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54.839994964756201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54.839994964756201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54.839994964756201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54.839994964756201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54.839994964756201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3.14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11.513333333333334</v>
      </c>
      <c r="H6" s="67">
        <f t="shared" si="1"/>
        <v>210.61333333333332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55.102987159423918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7.1739130434782608</v>
      </c>
      <c r="N6" s="13">
        <f>IF('Données projet'!$A$36&gt;35,N5+M6-V5,IF(A6&lt;'Données projet'!$A$36,$K$205^A6,IF(A6='Données projet'!$A$36,'Données projet'!$B$36,N5+M6-V5)))</f>
        <v>1.9464221412296012</v>
      </c>
      <c r="O6" s="13">
        <f>N6*VLOOKUP('Données projet'!$B$9,Paramètres!$A$1:$I$89,3,0)*VLOOKUP('Données projet'!$B$9,Paramètres!$A$1:$I$89,5,0)</f>
        <v>0.91092556209545339</v>
      </c>
      <c r="P6" s="13">
        <f t="shared" si="33"/>
        <v>0.42437632328050684</v>
      </c>
      <c r="Q6" s="20">
        <f t="shared" si="2"/>
        <v>2.3256507836964637</v>
      </c>
      <c r="R6" s="59">
        <f t="shared" si="0"/>
        <v>208.03660370158414</v>
      </c>
      <c r="S6" s="59">
        <f ca="1">AVERAGE(OFFSET($R$3,0,0,'Données projet'!$E$9+1,1))-AVERAGE(OFFSET($H$3,0,0,'Données projet'!$E$9+1,1))</f>
        <v>302.99089313578685</v>
      </c>
      <c r="T6" s="59">
        <f t="shared" si="34"/>
        <v>335.51949678160906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55.102987159423918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55.102987159423918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6.7</v>
      </c>
      <c r="BD6" s="12">
        <f>IF('Données projet'!$A$88&gt;35,BD5+BC6-BL5,IF(A6&lt;'Données projet'!$A$88,$BA$205^A6,IF(A6='Données projet'!$A$88,'Données projet'!$B$88,BD5+BC6-BL5)))</f>
        <v>2.0848063432308721</v>
      </c>
      <c r="BE6" s="13">
        <f>BD6*VLOOKUP('Données projet'!$B$11,Paramètres!$A$1:$I$89,3,0)*VLOOKUP('Données projet'!$B$11,Paramètres!$A$1:$I$89,5,0)</f>
        <v>0.84017695632204148</v>
      </c>
      <c r="BF6" s="13">
        <f t="shared" si="37"/>
        <v>0.39511732562460644</v>
      </c>
      <c r="BG6" s="20">
        <f t="shared" si="7"/>
        <v>2.1514708743904118</v>
      </c>
      <c r="BH6" s="59">
        <f t="shared" si="8"/>
        <v>207.86242379227809</v>
      </c>
      <c r="BI6" s="59">
        <f ca="1">AVERAGE(OFFSET($BH$3,0,0,'Données projet'!$E$11+1,1))-AVERAGE(OFFSET($H$3,0,0,'Données projet'!$E$11+1,1))</f>
        <v>377.91408971696819</v>
      </c>
      <c r="BJ6" s="59">
        <f t="shared" si="38"/>
        <v>321.68797596002366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55.102987159423918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55.102987159423918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55.102987159423918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55.102987159423918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55.102987159423918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55.102987159423918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55.102987159423918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3.14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11.513333333333334</v>
      </c>
      <c r="H7" s="67">
        <f t="shared" si="1"/>
        <v>210.61333333333332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55.361417027476605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7.1739130434782608</v>
      </c>
      <c r="N7" s="13">
        <f>IF('Données projet'!$A$36&gt;35,N6+M7-V6,IF(A7&lt;'Données projet'!$A$36,$K$205^A7,IF(A7='Données projet'!$A$36,'Données projet'!$B$36,N6+M7-V6)))</f>
        <v>2.4302412134009796</v>
      </c>
      <c r="O7" s="13">
        <f>N7*VLOOKUP('Données projet'!$B$9,Paramètres!$A$1:$I$89,3,0)*VLOOKUP('Données projet'!$B$9,Paramètres!$A$1:$I$89,5,0)</f>
        <v>1.1373528878716586</v>
      </c>
      <c r="P7" s="13">
        <f t="shared" si="33"/>
        <v>0.51634632960462079</v>
      </c>
      <c r="Q7" s="20">
        <f t="shared" si="2"/>
        <v>2.8801928037711861</v>
      </c>
      <c r="R7" s="59">
        <f t="shared" si="0"/>
        <v>210.76094412674098</v>
      </c>
      <c r="S7" s="59">
        <f ca="1">AVERAGE(OFFSET($R$3,0,0,'Données projet'!$E$9+1,1))-AVERAGE(OFFSET($H$3,0,0,'Données projet'!$E$9+1,1))</f>
        <v>302.99089313578685</v>
      </c>
      <c r="T7" s="59">
        <f t="shared" si="34"/>
        <v>335.51949678160906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55.361417027476605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55.361417027476605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6.7</v>
      </c>
      <c r="BD7" s="12">
        <f>IF('Données projet'!$A$88&gt;35,BD6+BC7-BL6,IF(A7&lt;'Données projet'!$A$88,$BA$205^A7,IF(A7='Données projet'!$A$88,'Données projet'!$B$88,BD6+BC7-BL6)))</f>
        <v>2.6633053388644834</v>
      </c>
      <c r="BE7" s="13">
        <f>BD7*VLOOKUP('Données projet'!$B$11,Paramètres!$A$1:$I$89,3,0)*VLOOKUP('Données projet'!$B$11,Paramètres!$A$1:$I$89,5,0)</f>
        <v>1.0733120515623868</v>
      </c>
      <c r="BF7" s="13">
        <f t="shared" si="37"/>
        <v>0.490570652318711</v>
      </c>
      <c r="BG7" s="20">
        <f t="shared" si="7"/>
        <v>2.7237623759262455</v>
      </c>
      <c r="BH7" s="59">
        <f t="shared" si="8"/>
        <v>210.60451369889603</v>
      </c>
      <c r="BI7" s="59">
        <f ca="1">AVERAGE(OFFSET($BH$3,0,0,'Données projet'!$E$11+1,1))-AVERAGE(OFFSET($H$3,0,0,'Données projet'!$E$11+1,1))</f>
        <v>377.91408971696819</v>
      </c>
      <c r="BJ7" s="59">
        <f t="shared" si="38"/>
        <v>321.68797596002366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55.361417027476605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55.361417027476605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55.361417027476605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55.361417027476605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55.361417027476605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55.361417027476605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55.361417027476605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3.14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11.513333333333334</v>
      </c>
      <c r="H8" s="67">
        <f t="shared" si="1"/>
        <v>210.61333333333332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55.615363715081223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7.1739130434782608</v>
      </c>
      <c r="N8" s="13">
        <f>IF('Données projet'!$A$36&gt;35,N7+M8-V7,IF(A8&lt;'Données projet'!$A$36,$K$205^A8,IF(A8='Données projet'!$A$36,'Données projet'!$B$36,N7+M8-V7)))</f>
        <v>3.0343224268820017</v>
      </c>
      <c r="O8" s="13">
        <f>N8*VLOOKUP('Données projet'!$B$9,Paramètres!$A$1:$I$89,3,0)*VLOOKUP('Données projet'!$B$9,Paramètres!$A$1:$I$89,5,0)</f>
        <v>1.4200628957807768</v>
      </c>
      <c r="P8" s="13">
        <f t="shared" si="33"/>
        <v>0.62824789572422923</v>
      </c>
      <c r="Q8" s="20">
        <f t="shared" si="2"/>
        <v>3.5674746285378856</v>
      </c>
      <c r="R8" s="59">
        <f t="shared" si="0"/>
        <v>213.60158602828017</v>
      </c>
      <c r="S8" s="59">
        <f ca="1">AVERAGE(OFFSET($R$3,0,0,'Données projet'!$E$9+1,1))-AVERAGE(OFFSET($H$3,0,0,'Données projet'!$E$9+1,1))</f>
        <v>302.99089313578685</v>
      </c>
      <c r="T8" s="59">
        <f t="shared" si="34"/>
        <v>335.51949678160906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55.615363715081223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55.615363715081223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6.7</v>
      </c>
      <c r="BD8" s="12">
        <f>IF('Données projet'!$A$88&gt;35,BD7+BC8-BL7,IF(A8&lt;'Données projet'!$A$88,$BA$205^A8,IF(A8='Données projet'!$A$88,'Données projet'!$B$88,BD7+BC8-BL7)))</f>
        <v>3.4023281591860344</v>
      </c>
      <c r="BE8" s="13">
        <f>BD8*VLOOKUP('Données projet'!$B$11,Paramètres!$A$1:$I$89,3,0)*VLOOKUP('Données projet'!$B$11,Paramètres!$A$1:$I$89,5,0)</f>
        <v>1.371138248151972</v>
      </c>
      <c r="BF8" s="13">
        <f t="shared" si="37"/>
        <v>0.60908380703369047</v>
      </c>
      <c r="BG8" s="20">
        <f t="shared" si="7"/>
        <v>3.4488867461150288</v>
      </c>
      <c r="BH8" s="59">
        <f t="shared" si="8"/>
        <v>213.48299814585729</v>
      </c>
      <c r="BI8" s="59">
        <f ca="1">AVERAGE(OFFSET($BH$3,0,0,'Données projet'!$E$11+1,1))-AVERAGE(OFFSET($H$3,0,0,'Données projet'!$E$11+1,1))</f>
        <v>377.91408971696819</v>
      </c>
      <c r="BJ8" s="59">
        <f t="shared" si="38"/>
        <v>321.68797596002366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55.615363715081223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55.615363715081223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55.615363715081223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55.615363715081223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55.615363715081223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55.615363715081223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55.615363715081223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3.14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11.513333333333334</v>
      </c>
      <c r="H9" s="67">
        <f t="shared" si="1"/>
        <v>210.61333333333332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55.864904995395634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7.1739130434782608</v>
      </c>
      <c r="N9" s="13">
        <f>IF('Données projet'!$A$36&gt;35,N8+M9-V8,IF(A9&lt;'Données projet'!$A$36,$K$205^A9,IF(A9='Données projet'!$A$36,'Données projet'!$B$36,N8+M9-V8)))</f>
        <v>3.7885591518688257</v>
      </c>
      <c r="O9" s="13">
        <f>N9*VLOOKUP('Données projet'!$B$9,Paramètres!$A$1:$I$89,3,0)*VLOOKUP('Données projet'!$B$9,Paramètres!$A$1:$I$89,5,0)</f>
        <v>1.7730456830746104</v>
      </c>
      <c r="P9" s="13">
        <f t="shared" si="33"/>
        <v>0.7644005502743676</v>
      </c>
      <c r="Q9" s="20">
        <f t="shared" si="2"/>
        <v>4.419385523082803</v>
      </c>
      <c r="R9" s="59">
        <f t="shared" si="0"/>
        <v>216.59070383953346</v>
      </c>
      <c r="S9" s="59">
        <f ca="1">AVERAGE(OFFSET($R$3,0,0,'Données projet'!$E$9+1,1))-AVERAGE(OFFSET($H$3,0,0,'Données projet'!$E$9+1,1))</f>
        <v>302.99089313578685</v>
      </c>
      <c r="T9" s="59">
        <f t="shared" si="34"/>
        <v>335.51949678160906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55.864904995395634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55.864904995395634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6.7</v>
      </c>
      <c r="BD9" s="12">
        <f>IF('Données projet'!$A$88&gt;35,BD8+BC9-BL8,IF(A9&lt;'Données projet'!$A$88,$BA$205^A9,IF(A9='Données projet'!$A$88,'Données projet'!$B$88,BD8+BC9-BL8)))</f>
        <v>4.3464174887756801</v>
      </c>
      <c r="BE9" s="13">
        <f>BD9*VLOOKUP('Données projet'!$B$11,Paramètres!$A$1:$I$89,3,0)*VLOOKUP('Données projet'!$B$11,Paramètres!$A$1:$I$89,5,0)</f>
        <v>1.7516062479765993</v>
      </c>
      <c r="BF9" s="13">
        <f t="shared" si="37"/>
        <v>0.75622763456635755</v>
      </c>
      <c r="BG9" s="20">
        <f t="shared" si="7"/>
        <v>4.3678106787623161</v>
      </c>
      <c r="BH9" s="59">
        <f t="shared" si="8"/>
        <v>216.53912899521296</v>
      </c>
      <c r="BI9" s="59">
        <f ca="1">AVERAGE(OFFSET($BH$3,0,0,'Données projet'!$E$11+1,1))-AVERAGE(OFFSET($H$3,0,0,'Données projet'!$E$11+1,1))</f>
        <v>377.91408971696819</v>
      </c>
      <c r="BJ9" s="59">
        <f t="shared" si="38"/>
        <v>321.68797596002366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55.864904995395634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55.864904995395634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55.864904995395634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55.864904995395634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55.864904995395634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55.864904995395634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55.864904995395634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3.14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11.513333333333334</v>
      </c>
      <c r="H10" s="67">
        <f t="shared" si="1"/>
        <v>210.61333333333332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56.110117292387308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7.1739130434782608</v>
      </c>
      <c r="N10" s="13">
        <f>IF('Données projet'!$A$36&gt;35,N9+M10-V9,IF(A10&lt;'Données projet'!$A$36,$K$205^A10,IF(A10='Données projet'!$A$36,'Données projet'!$B$36,N9+M10-V9)))</f>
        <v>4.7302753062923593</v>
      </c>
      <c r="O10" s="13">
        <f>N10*VLOOKUP('Données projet'!$B$9,Paramètres!$A$1:$I$89,3,0)*VLOOKUP('Données projet'!$B$9,Paramètres!$A$1:$I$89,5,0)</f>
        <v>2.2137688433448242</v>
      </c>
      <c r="P10" s="13">
        <f t="shared" si="33"/>
        <v>0.93005994168301886</v>
      </c>
      <c r="Q10" s="20">
        <f t="shared" si="2"/>
        <v>5.475501800590159</v>
      </c>
      <c r="R10" s="59">
        <f t="shared" si="0"/>
        <v>219.76815409489919</v>
      </c>
      <c r="S10" s="59">
        <f ca="1">AVERAGE(OFFSET($R$3,0,0,'Données projet'!$E$9+1,1))-AVERAGE(OFFSET($H$3,0,0,'Données projet'!$E$9+1,1))</f>
        <v>302.99089313578685</v>
      </c>
      <c r="T10" s="59">
        <f t="shared" si="34"/>
        <v>335.51949678160906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56.110117292387308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56.110117292387308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6.7</v>
      </c>
      <c r="BD10" s="12">
        <f>IF('Données projet'!$A$88&gt;35,BD9+BC10-BL9,IF(A10&lt;'Données projet'!$A$88,$BA$205^A10,IF(A10='Données projet'!$A$88,'Données projet'!$B$88,BD9+BC10-BL9)))</f>
        <v>5.5524758644253227</v>
      </c>
      <c r="BE10" s="13">
        <f>BD10*VLOOKUP('Données projet'!$B$11,Paramètres!$A$1:$I$89,3,0)*VLOOKUP('Données projet'!$B$11,Paramètres!$A$1:$I$89,5,0)</f>
        <v>2.2376477733634048</v>
      </c>
      <c r="BF10" s="13">
        <f t="shared" si="37"/>
        <v>0.93891879685154067</v>
      </c>
      <c r="BG10" s="20">
        <f t="shared" si="7"/>
        <v>5.5325201097910304</v>
      </c>
      <c r="BH10" s="59">
        <f t="shared" si="8"/>
        <v>219.82517240410004</v>
      </c>
      <c r="BI10" s="59">
        <f ca="1">AVERAGE(OFFSET($BH$3,0,0,'Données projet'!$E$11+1,1))-AVERAGE(OFFSET($H$3,0,0,'Données projet'!$E$11+1,1))</f>
        <v>377.91408971696819</v>
      </c>
      <c r="BJ10" s="59">
        <f t="shared" si="38"/>
        <v>321.68797596002366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56.110117292387308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56.110117292387308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56.110117292387308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56.110117292387308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56.110117292387308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56.110117292387308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56.110117292387308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3.14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11.513333333333334</v>
      </c>
      <c r="H11" s="67">
        <f t="shared" si="1"/>
        <v>210.61333333333332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56.351075704238752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7.1739130434782608</v>
      </c>
      <c r="N11" s="13">
        <f>IF('Données projet'!$A$36&gt;35,N10+M11-V10,IF(A11&lt;'Données projet'!$A$36,$K$205^A11,IF(A11='Données projet'!$A$36,'Données projet'!$B$36,N10+M11-V10)))</f>
        <v>5.9060723553126655</v>
      </c>
      <c r="O11" s="13">
        <f>N11*VLOOKUP('Données projet'!$B$9,Paramètres!$A$1:$I$89,3,0)*VLOOKUP('Données projet'!$B$9,Paramètres!$A$1:$I$89,5,0)</f>
        <v>2.7640418622863274</v>
      </c>
      <c r="P11" s="13">
        <f t="shared" si="33"/>
        <v>1.1316207122207593</v>
      </c>
      <c r="Q11" s="20">
        <f t="shared" si="2"/>
        <v>6.784945650599842</v>
      </c>
      <c r="R11" s="59">
        <f t="shared" si="0"/>
        <v>223.18333434391968</v>
      </c>
      <c r="S11" s="59">
        <f ca="1">AVERAGE(OFFSET($R$3,0,0,'Données projet'!$E$9+1,1))-AVERAGE(OFFSET($H$3,0,0,'Données projet'!$E$9+1,1))</f>
        <v>302.99089313578685</v>
      </c>
      <c r="T11" s="59">
        <f t="shared" si="34"/>
        <v>335.51949678160906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56.351075704238752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56.351075704238752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6.7</v>
      </c>
      <c r="BD11" s="12">
        <f>IF('Données projet'!$A$88&gt;35,BD10+BC11-BL10,IF(A11&lt;'Données projet'!$A$88,$BA$205^A11,IF(A11='Données projet'!$A$88,'Données projet'!$B$88,BD10+BC11-BL10)))</f>
        <v>7.0931953280240609</v>
      </c>
      <c r="BE11" s="13">
        <f>BD11*VLOOKUP('Données projet'!$B$11,Paramètres!$A$1:$I$89,3,0)*VLOOKUP('Données projet'!$B$11,Paramètres!$A$1:$I$89,5,0)</f>
        <v>2.8585577171936967</v>
      </c>
      <c r="BF11" s="13">
        <f t="shared" si="37"/>
        <v>1.1657448984744665</v>
      </c>
      <c r="BG11" s="20">
        <f t="shared" si="7"/>
        <v>7.0089937222887171</v>
      </c>
      <c r="BH11" s="59">
        <f t="shared" si="8"/>
        <v>223.40738241560857</v>
      </c>
      <c r="BI11" s="59">
        <f ca="1">AVERAGE(OFFSET($BH$3,0,0,'Données projet'!$E$11+1,1))-AVERAGE(OFFSET($H$3,0,0,'Données projet'!$E$11+1,1))</f>
        <v>377.91408971696819</v>
      </c>
      <c r="BJ11" s="59">
        <f t="shared" si="38"/>
        <v>321.68797596002366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56.351075704238752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56.351075704238752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56.351075704238752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56.351075704238752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56.351075704238752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56.351075704238752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56.351075704238752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3.14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11.513333333333334</v>
      </c>
      <c r="H12" s="67">
        <f t="shared" si="1"/>
        <v>210.61333333333332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56.587854026346875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7.1739130434782608</v>
      </c>
      <c r="N12" s="13">
        <f>IF('Données projet'!$A$36&gt;35,N11+M12-V11,IF(A12&lt;'Données projet'!$A$36,$K$205^A12,IF(A12='Données projet'!$A$36,'Données projet'!$B$36,N11+M12-V11)))</f>
        <v>7.3741354165555206</v>
      </c>
      <c r="O12" s="13">
        <f>N12*VLOOKUP('Données projet'!$B$9,Paramètres!$A$1:$I$89,3,0)*VLOOKUP('Données projet'!$B$9,Paramètres!$A$1:$I$89,5,0)</f>
        <v>3.4510953749479834</v>
      </c>
      <c r="P12" s="13">
        <f t="shared" si="33"/>
        <v>1.376863338517442</v>
      </c>
      <c r="Q12" s="20">
        <f t="shared" si="2"/>
        <v>8.4086947592856145</v>
      </c>
      <c r="R12" s="59">
        <f t="shared" si="0"/>
        <v>226.89749285589085</v>
      </c>
      <c r="S12" s="59">
        <f ca="1">AVERAGE(OFFSET($R$3,0,0,'Données projet'!$E$9+1,1))-AVERAGE(OFFSET($H$3,0,0,'Données projet'!$E$9+1,1))</f>
        <v>302.99089313578685</v>
      </c>
      <c r="T12" s="59">
        <f t="shared" si="34"/>
        <v>335.51949678160906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56.587854026346875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56.587854026346875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6.7</v>
      </c>
      <c r="BD12" s="12">
        <f>IF('Données projet'!$A$88&gt;35,BD11+BC12-BL11,IF(A12&lt;'Données projet'!$A$88,$BA$205^A12,IF(A12='Données projet'!$A$88,'Données projet'!$B$88,BD11+BC12-BL11)))</f>
        <v>9.0614387509291365</v>
      </c>
      <c r="BE12" s="13">
        <f>BD12*VLOOKUP('Données projet'!$B$11,Paramètres!$A$1:$I$89,3,0)*VLOOKUP('Données projet'!$B$11,Paramètres!$A$1:$I$89,5,0)</f>
        <v>3.651759816624442</v>
      </c>
      <c r="BF12" s="13">
        <f t="shared" si="37"/>
        <v>1.4473681567311512</v>
      </c>
      <c r="BG12" s="20">
        <f t="shared" si="7"/>
        <v>8.8809812202609901</v>
      </c>
      <c r="BH12" s="59">
        <f t="shared" si="8"/>
        <v>227.36977931686621</v>
      </c>
      <c r="BI12" s="59">
        <f ca="1">AVERAGE(OFFSET($BH$3,0,0,'Données projet'!$E$11+1,1))-AVERAGE(OFFSET($H$3,0,0,'Données projet'!$E$11+1,1))</f>
        <v>377.91408971696819</v>
      </c>
      <c r="BJ12" s="59">
        <f t="shared" si="38"/>
        <v>321.68797596002366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56.587854026346875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56.587854026346875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56.587854026346875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56.587854026346875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56.587854026346875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56.587854026346875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56.587854026346875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3.14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11.513333333333334</v>
      </c>
      <c r="H13" s="67">
        <f t="shared" si="1"/>
        <v>210.61333333333332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56.820524773923445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7.1739130434782608</v>
      </c>
      <c r="N13" s="13">
        <f>IF('Données projet'!$A$36&gt;35,N12+M13-V12,IF(A13&lt;'Données projet'!$A$36,$K$205^A13,IF(A13='Données projet'!$A$36,'Données projet'!$B$36,N12+M13-V12)))</f>
        <v>9.2071125902790811</v>
      </c>
      <c r="O13" s="13">
        <f>N13*VLOOKUP('Données projet'!$B$9,Paramètres!$A$1:$I$89,3,0)*VLOOKUP('Données projet'!$B$9,Paramètres!$A$1:$I$89,5,0)</f>
        <v>4.3089286922506105</v>
      </c>
      <c r="P13" s="13">
        <f t="shared" si="33"/>
        <v>1.6752544668726144</v>
      </c>
      <c r="Q13" s="20">
        <f t="shared" si="2"/>
        <v>10.422452335472949</v>
      </c>
      <c r="R13" s="59">
        <f t="shared" si="0"/>
        <v>230.98659872874779</v>
      </c>
      <c r="S13" s="59">
        <f ca="1">AVERAGE(OFFSET($R$3,0,0,'Données projet'!$E$9+1,1))-AVERAGE(OFFSET($H$3,0,0,'Données projet'!$E$9+1,1))</f>
        <v>302.99089313578685</v>
      </c>
      <c r="T13" s="59">
        <f t="shared" si="34"/>
        <v>335.51949678160906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56.820524773923445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56.820524773923445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6.7</v>
      </c>
      <c r="BD13" s="12">
        <f>IF('Données projet'!$A$88&gt;35,BD12+BC13-BL12,IF(A13&lt;'Données projet'!$A$88,$BA$205^A13,IF(A13='Données projet'!$A$88,'Données projet'!$B$88,BD12+BC13-BL12)))</f>
        <v>11.575836902790231</v>
      </c>
      <c r="BE13" s="13">
        <f>BD13*VLOOKUP('Données projet'!$B$11,Paramètres!$A$1:$I$89,3,0)*VLOOKUP('Données projet'!$B$11,Paramètres!$A$1:$I$89,5,0)</f>
        <v>4.6650622718244632</v>
      </c>
      <c r="BF13" s="13">
        <f t="shared" si="37"/>
        <v>1.7970265912042627</v>
      </c>
      <c r="BG13" s="20">
        <f t="shared" si="7"/>
        <v>11.25480476977503</v>
      </c>
      <c r="BH13" s="59">
        <f t="shared" si="8"/>
        <v>231.81895116304989</v>
      </c>
      <c r="BI13" s="59">
        <f ca="1">AVERAGE(OFFSET($BH$3,0,0,'Données projet'!$E$11+1,1))-AVERAGE(OFFSET($H$3,0,0,'Données projet'!$E$11+1,1))</f>
        <v>377.91408971696819</v>
      </c>
      <c r="BJ13" s="59">
        <f t="shared" si="38"/>
        <v>321.68797596002366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56.820524773923445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56.820524773923445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56.820524773923445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56.820524773923445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56.820524773923445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56.820524773923445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56.820524773923445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3.14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11.513333333333334</v>
      </c>
      <c r="H14" s="67">
        <f t="shared" si="1"/>
        <v>210.61333333333332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57.049159204203427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7.1739130434782608</v>
      </c>
      <c r="N14" s="13">
        <f>IF('Données projet'!$A$36&gt;35,N13+M14-V13,IF(A14&lt;'Données projet'!$A$36,$K$205^A14,IF(A14='Données projet'!$A$36,'Données projet'!$B$36,N13+M14-V13)))</f>
        <v>11.495710000084632</v>
      </c>
      <c r="O14" s="13">
        <f>N14*VLOOKUP('Données projet'!$B$9,Paramètres!$A$1:$I$89,3,0)*VLOOKUP('Données projet'!$B$9,Paramètres!$A$1:$I$89,5,0)</f>
        <v>5.3799922800396081</v>
      </c>
      <c r="P14" s="13">
        <f t="shared" si="33"/>
        <v>2.0383123366466882</v>
      </c>
      <c r="Q14" s="20">
        <f t="shared" si="2"/>
        <v>12.920213874061965</v>
      </c>
      <c r="R14" s="59">
        <f t="shared" si="0"/>
        <v>235.54490873391896</v>
      </c>
      <c r="S14" s="59">
        <f ca="1">AVERAGE(OFFSET($R$3,0,0,'Données projet'!$E$9+1,1))-AVERAGE(OFFSET($H$3,0,0,'Données projet'!$E$9+1,1))</f>
        <v>302.99089313578685</v>
      </c>
      <c r="T14" s="59">
        <f t="shared" si="34"/>
        <v>335.51949678160906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57.049159204203427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57.049159204203427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6.7</v>
      </c>
      <c r="BD14" s="12">
        <f>IF('Données projet'!$A$88&gt;35,BD13+BC14-BL13,IF(A14&lt;'Données projet'!$A$88,$BA$205^A14,IF(A14='Données projet'!$A$88,'Données projet'!$B$88,BD13+BC14-BL13)))</f>
        <v>14.787938613640149</v>
      </c>
      <c r="BE14" s="13">
        <f>BD14*VLOOKUP('Données projet'!$B$11,Paramètres!$A$1:$I$89,3,0)*VLOOKUP('Données projet'!$B$11,Paramètres!$A$1:$I$89,5,0)</f>
        <v>5.9595392612969809</v>
      </c>
      <c r="BF14" s="13">
        <f t="shared" si="37"/>
        <v>2.2311562918369887</v>
      </c>
      <c r="BG14" s="20">
        <f t="shared" si="7"/>
        <v>14.265461421708331</v>
      </c>
      <c r="BH14" s="59">
        <f t="shared" si="8"/>
        <v>236.89015628156531</v>
      </c>
      <c r="BI14" s="59">
        <f ca="1">AVERAGE(OFFSET($BH$3,0,0,'Données projet'!$E$11+1,1))-AVERAGE(OFFSET($H$3,0,0,'Données projet'!$E$11+1,1))</f>
        <v>377.91408971696819</v>
      </c>
      <c r="BJ14" s="59">
        <f t="shared" si="38"/>
        <v>321.68797596002366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57.049159204203427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57.049159204203427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57.049159204203427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57.049159204203427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57.049159204203427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57.049159204203427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57.049159204203427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3.14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11.513333333333334</v>
      </c>
      <c r="H15" s="67">
        <f t="shared" si="1"/>
        <v>210.61333333333332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57.273827338268063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7.1739130434782608</v>
      </c>
      <c r="N15" s="13">
        <f>IF('Données projet'!$A$36&gt;35,N14+M15-V14,IF(A15&lt;'Données projet'!$A$36,$K$205^A15,IF(A15='Données projet'!$A$36,'Données projet'!$B$36,N14+M15-V14)))</f>
        <v>14.353180447209034</v>
      </c>
      <c r="O15" s="13">
        <f>N15*VLOOKUP('Données projet'!$B$9,Paramètres!$A$1:$I$89,3,0)*VLOOKUP('Données projet'!$B$9,Paramètres!$A$1:$I$89,5,0)</f>
        <v>6.7172884492938278</v>
      </c>
      <c r="P15" s="13">
        <f t="shared" si="33"/>
        <v>2.4800513974943508</v>
      </c>
      <c r="Q15" s="20">
        <f t="shared" si="2"/>
        <v>16.018700233156078</v>
      </c>
      <c r="R15" s="59">
        <f t="shared" si="0"/>
        <v>240.68940047347229</v>
      </c>
      <c r="S15" s="59">
        <f ca="1">AVERAGE(OFFSET($R$3,0,0,'Données projet'!$E$9+1,1))-AVERAGE(OFFSET($H$3,0,0,'Données projet'!$E$9+1,1))</f>
        <v>302.99089313578685</v>
      </c>
      <c r="T15" s="59">
        <f t="shared" si="34"/>
        <v>335.51949678160906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57.273827338268063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57.273827338268063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6.7</v>
      </c>
      <c r="BD15" s="12">
        <f>IF('Données projet'!$A$88&gt;35,BD14+BC15-BL14,IF(A15&lt;'Données projet'!$A$88,$BA$205^A15,IF(A15='Données projet'!$A$88,'Données projet'!$B$88,BD14+BC15-BL14)))</f>
        <v>18.891344986735092</v>
      </c>
      <c r="BE15" s="13">
        <f>BD15*VLOOKUP('Données projet'!$B$11,Paramètres!$A$1:$I$89,3,0)*VLOOKUP('Données projet'!$B$11,Paramètres!$A$1:$I$89,5,0)</f>
        <v>7.6132120296542425</v>
      </c>
      <c r="BF15" s="13">
        <f t="shared" si="37"/>
        <v>2.7701640159190819</v>
      </c>
      <c r="BG15" s="20">
        <f t="shared" si="7"/>
        <v>18.084379946040205</v>
      </c>
      <c r="BH15" s="59">
        <f t="shared" si="8"/>
        <v>242.75508018635642</v>
      </c>
      <c r="BI15" s="59">
        <f ca="1">AVERAGE(OFFSET($BH$3,0,0,'Données projet'!$E$11+1,1))-AVERAGE(OFFSET($H$3,0,0,'Données projet'!$E$11+1,1))</f>
        <v>377.91408971696819</v>
      </c>
      <c r="BJ15" s="59">
        <f t="shared" si="38"/>
        <v>321.68797596002366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57.273827338268063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57.273827338268063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57.273827338268063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57.273827338268063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57.273827338268063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57.273827338268063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57.273827338268063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3.14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11.513333333333334</v>
      </c>
      <c r="H16" s="67">
        <f t="shared" si="1"/>
        <v>210.61333333333332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57.494597982489381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7.1739130434782608</v>
      </c>
      <c r="N16" s="13">
        <f>IF('Données projet'!$A$36&gt;35,N15+M16-V15,IF(A16&lt;'Données projet'!$A$36,$K$205^A16,IF(A16='Données projet'!$A$36,'Données projet'!$B$36,N15+M16-V15)))</f>
        <v>17.920927802513027</v>
      </c>
      <c r="O16" s="13">
        <f>N16*VLOOKUP('Données projet'!$B$9,Paramètres!$A$1:$I$89,3,0)*VLOOKUP('Données projet'!$B$9,Paramètres!$A$1:$I$89,5,0)</f>
        <v>8.3869942115760967</v>
      </c>
      <c r="P16" s="13">
        <f t="shared" si="33"/>
        <v>3.0175232831747367</v>
      </c>
      <c r="Q16" s="20">
        <f t="shared" si="2"/>
        <v>19.862867970024372</v>
      </c>
      <c r="R16" s="59">
        <f t="shared" si="0"/>
        <v>246.56528279470768</v>
      </c>
      <c r="S16" s="59">
        <f ca="1">AVERAGE(OFFSET($R$3,0,0,'Données projet'!$E$9+1,1))-AVERAGE(OFFSET($H$3,0,0,'Données projet'!$E$9+1,1))</f>
        <v>302.99089313578685</v>
      </c>
      <c r="T16" s="59">
        <f t="shared" si="34"/>
        <v>335.51949678160906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57.494597982489381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57.494597982489381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6.7</v>
      </c>
      <c r="BD16" s="12">
        <f>IF('Données projet'!$A$88&gt;35,BD15+BC16-BL15,IF(A16&lt;'Données projet'!$A$88,$BA$205^A16,IF(A16='Données projet'!$A$88,'Données projet'!$B$88,BD15+BC16-BL15)))</f>
        <v>24.133378203143081</v>
      </c>
      <c r="BE16" s="13">
        <f>BD16*VLOOKUP('Données projet'!$B$11,Paramètres!$A$1:$I$89,3,0)*VLOOKUP('Données projet'!$B$11,Paramètres!$A$1:$I$89,5,0)</f>
        <v>9.7257514158666609</v>
      </c>
      <c r="BF16" s="13">
        <f t="shared" si="37"/>
        <v>3.4393864307797215</v>
      </c>
      <c r="BG16" s="20">
        <f t="shared" si="7"/>
        <v>22.929281749575782</v>
      </c>
      <c r="BH16" s="59">
        <f t="shared" si="8"/>
        <v>249.63169657425908</v>
      </c>
      <c r="BI16" s="59">
        <f ca="1">AVERAGE(OFFSET($BH$3,0,0,'Données projet'!$E$11+1,1))-AVERAGE(OFFSET($H$3,0,0,'Données projet'!$E$11+1,1))</f>
        <v>377.91408971696819</v>
      </c>
      <c r="BJ16" s="59">
        <f t="shared" si="38"/>
        <v>321.68797596002366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57.494597982489381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57.494597982489381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57.494597982489381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57.494597982489381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57.494597982489381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57.494597982489381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57.494597982489381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3.14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11.513333333333334</v>
      </c>
      <c r="H17" s="67">
        <f t="shared" si="1"/>
        <v>210.61333333333332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57.711538749602667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7.1739130434782608</v>
      </c>
      <c r="N17" s="13">
        <f>IF('Données projet'!$A$36&gt;35,N16+M17-V16,IF(A17&lt;'Données projet'!$A$36,$K$205^A17,IF(A17='Données projet'!$A$36,'Données projet'!$B$36,N16+M17-V16)))</f>
        <v>22.375504473319271</v>
      </c>
      <c r="O17" s="13">
        <f>N17*VLOOKUP('Données projet'!$B$9,Paramètres!$A$1:$I$89,3,0)*VLOOKUP('Données projet'!$B$9,Paramètres!$A$1:$I$89,5,0)</f>
        <v>10.471736093513419</v>
      </c>
      <c r="P17" s="13">
        <f t="shared" si="33"/>
        <v>3.6714750241471097</v>
      </c>
      <c r="Q17" s="20">
        <f t="shared" si="2"/>
        <v>24.632759363258756</v>
      </c>
      <c r="R17" s="59">
        <f t="shared" si="0"/>
        <v>253.35284588957961</v>
      </c>
      <c r="S17" s="59">
        <f ca="1">AVERAGE(OFFSET($R$3,0,0,'Données projet'!$E$9+1,1))-AVERAGE(OFFSET($H$3,0,0,'Données projet'!$E$9+1,1))</f>
        <v>302.99089313578685</v>
      </c>
      <c r="T17" s="59">
        <f t="shared" si="34"/>
        <v>335.51949678160906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57.711538749602667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57.711538749602667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6.7</v>
      </c>
      <c r="BD17" s="12">
        <f>IF('Données projet'!$A$88&gt;35,BD16+BC17-BL16,IF(A17&lt;'Données projet'!$A$88,$BA$205^A17,IF(A17='Données projet'!$A$88,'Données projet'!$B$88,BD16+BC17-BL16)))</f>
        <v>30.829988225025726</v>
      </c>
      <c r="BE17" s="13">
        <f>BD17*VLOOKUP('Données projet'!$B$11,Paramètres!$A$1:$I$89,3,0)*VLOOKUP('Données projet'!$B$11,Paramètres!$A$1:$I$89,5,0)</f>
        <v>12.424485254685367</v>
      </c>
      <c r="BF17" s="13">
        <f t="shared" si="37"/>
        <v>4.2702810924742085</v>
      </c>
      <c r="BG17" s="20">
        <f t="shared" si="7"/>
        <v>29.07671805463626</v>
      </c>
      <c r="BH17" s="59">
        <f t="shared" si="8"/>
        <v>257.79680458095714</v>
      </c>
      <c r="BI17" s="59">
        <f ca="1">AVERAGE(OFFSET($BH$3,0,0,'Données projet'!$E$11+1,1))-AVERAGE(OFFSET($H$3,0,0,'Données projet'!$E$11+1,1))</f>
        <v>377.91408971696819</v>
      </c>
      <c r="BJ17" s="59">
        <f t="shared" si="38"/>
        <v>321.68797596002366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57.711538749602667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57.711538749602667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57.711538749602667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57.711538749602667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57.711538749602667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57.711538749602667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57.711538749602667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3.14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11.513333333333334</v>
      </c>
      <c r="H18" s="67">
        <f t="shared" si="1"/>
        <v>210.61333333333332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57.924716079413443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7.1739130434782608</v>
      </c>
      <c r="N18" s="13">
        <f>IF('Données projet'!$A$36&gt;35,N17+M18-V17,IF(A18&lt;'Données projet'!$A$36,$K$205^A18,IF(A18='Données projet'!$A$36,'Données projet'!$B$36,N17+M18-V17)))</f>
        <v>27.937348219511456</v>
      </c>
      <c r="O18" s="13">
        <f>N18*VLOOKUP('Données projet'!$B$9,Paramètres!$A$1:$I$89,3,0)*VLOOKUP('Données projet'!$B$9,Paramètres!$A$1:$I$89,5,0)</f>
        <v>13.074678966731362</v>
      </c>
      <c r="P18" s="13">
        <f t="shared" si="33"/>
        <v>4.4671499067122324</v>
      </c>
      <c r="Q18" s="20">
        <f t="shared" si="2"/>
        <v>30.552018621247594</v>
      </c>
      <c r="R18" s="59">
        <f t="shared" si="0"/>
        <v>261.27597757909689</v>
      </c>
      <c r="S18" s="59">
        <f ca="1">AVERAGE(OFFSET($R$3,0,0,'Données projet'!$E$9+1,1))-AVERAGE(OFFSET($H$3,0,0,'Données projet'!$E$9+1,1))</f>
        <v>302.99089313578685</v>
      </c>
      <c r="T18" s="59">
        <f t="shared" si="34"/>
        <v>335.51949678160906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57.924716079413443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57.924716079413443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6.7</v>
      </c>
      <c r="BD18" s="12">
        <f>IF('Données projet'!$A$88&gt;35,BD17+BC18-BL17,IF(A18&lt;'Données projet'!$A$88,$BA$205^A18,IF(A18='Données projet'!$A$88,'Données projet'!$B$88,BD17+BC18-BL17)))</f>
        <v>39.384795860508056</v>
      </c>
      <c r="BE18" s="13">
        <f>BD18*VLOOKUP('Données projet'!$B$11,Paramètres!$A$1:$I$89,3,0)*VLOOKUP('Données projet'!$B$11,Paramètres!$A$1:$I$89,5,0)</f>
        <v>15.872072731784746</v>
      </c>
      <c r="BF18" s="13">
        <f t="shared" si="37"/>
        <v>5.301905143763884</v>
      </c>
      <c r="BG18" s="20">
        <f t="shared" si="7"/>
        <v>36.878011466580524</v>
      </c>
      <c r="BH18" s="59">
        <f t="shared" si="8"/>
        <v>267.60197042442979</v>
      </c>
      <c r="BI18" s="59">
        <f ca="1">AVERAGE(OFFSET($BH$3,0,0,'Données projet'!$E$11+1,1))-AVERAGE(OFFSET($H$3,0,0,'Données projet'!$E$11+1,1))</f>
        <v>377.91408971696819</v>
      </c>
      <c r="BJ18" s="59">
        <f t="shared" si="38"/>
        <v>321.68797596002366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57.924716079413443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57.924716079413443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57.924716079413443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57.924716079413443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57.924716079413443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57.924716079413443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57.924716079413443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3.14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11.513333333333334</v>
      </c>
      <c r="H19" s="67">
        <f t="shared" si="1"/>
        <v>210.61333333333332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58.134195259145109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7.1739130434782608</v>
      </c>
      <c r="N19" s="13">
        <f>IF('Données projet'!$A$36&gt;35,N18+M19-V18,IF(A19&lt;'Données projet'!$A$36,$K$205^A19,IF(A19='Données projet'!$A$36,'Données projet'!$B$36,N18+M19-V18)))</f>
        <v>34.881690666188497</v>
      </c>
      <c r="O19" s="13">
        <f>N19*VLOOKUP('Données projet'!$B$9,Paramètres!$A$1:$I$89,3,0)*VLOOKUP('Données projet'!$B$9,Paramètres!$A$1:$I$89,5,0)</f>
        <v>16.324631231776216</v>
      </c>
      <c r="P19" s="13">
        <f t="shared" si="33"/>
        <v>5.4352618927796694</v>
      </c>
      <c r="Q19" s="20">
        <f t="shared" si="2"/>
        <v>37.89848052526817</v>
      </c>
      <c r="R19" s="59">
        <f t="shared" si="0"/>
        <v>270.61275203102247</v>
      </c>
      <c r="S19" s="59">
        <f ca="1">AVERAGE(OFFSET($R$3,0,0,'Données projet'!$E$9+1,1))-AVERAGE(OFFSET($H$3,0,0,'Données projet'!$E$9+1,1))</f>
        <v>302.99089313578685</v>
      </c>
      <c r="T19" s="59">
        <f t="shared" si="34"/>
        <v>335.51949678160906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58.134195259145109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58.134195259145109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6.7</v>
      </c>
      <c r="BD19" s="12">
        <f>IF('Données projet'!$A$88&gt;35,BD18+BC19-BL18,IF(A19&lt;'Données projet'!$A$88,$BA$205^A19,IF(A19='Données projet'!$A$88,'Données projet'!$B$88,BD18+BC19-BL18)))</f>
        <v>50.313419961502369</v>
      </c>
      <c r="BE19" s="13">
        <f>BD19*VLOOKUP('Données projet'!$B$11,Paramètres!$A$1:$I$89,3,0)*VLOOKUP('Données projet'!$B$11,Paramètres!$A$1:$I$89,5,0)</f>
        <v>20.276308244485456</v>
      </c>
      <c r="BF19" s="13">
        <f t="shared" si="37"/>
        <v>6.5827512392592471</v>
      </c>
      <c r="BG19" s="20">
        <f t="shared" si="7"/>
        <v>46.77952860085535</v>
      </c>
      <c r="BH19" s="59">
        <f t="shared" si="8"/>
        <v>279.49380010660963</v>
      </c>
      <c r="BI19" s="59">
        <f ca="1">AVERAGE(OFFSET($BH$3,0,0,'Données projet'!$E$11+1,1))-AVERAGE(OFFSET($H$3,0,0,'Données projet'!$E$11+1,1))</f>
        <v>377.91408971696819</v>
      </c>
      <c r="BJ19" s="59">
        <f t="shared" si="38"/>
        <v>321.68797596002366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58.134195259145109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58.134195259145109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58.134195259145109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58.134195259145109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58.134195259145109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58.134195259145109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58.134195259145109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3.14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11.513333333333334</v>
      </c>
      <c r="H20" s="67">
        <f t="shared" si="1"/>
        <v>210.61333333333332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58.340040443433722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7.1739130434782608</v>
      </c>
      <c r="N20" s="13">
        <f>IF('Données projet'!$A$36&gt;35,N19+M20-V19,IF(A20&lt;'Données projet'!$A$36,$K$205^A20,IF(A20='Données projet'!$A$36,'Données projet'!$B$36,N19+M20-V19)))</f>
        <v>43.552177328050611</v>
      </c>
      <c r="O20" s="13">
        <f>N20*VLOOKUP('Données projet'!$B$9,Paramètres!$A$1:$I$89,3,0)*VLOOKUP('Données projet'!$B$9,Paramètres!$A$1:$I$89,5,0)</f>
        <v>20.382418989527686</v>
      </c>
      <c r="P20" s="13">
        <f t="shared" si="33"/>
        <v>6.6131812139802273</v>
      </c>
      <c r="Q20" s="20">
        <f t="shared" si="2"/>
        <v>47.017337021109604</v>
      </c>
      <c r="R20" s="59">
        <f t="shared" si="0"/>
        <v>281.70859642481105</v>
      </c>
      <c r="S20" s="59">
        <f ca="1">AVERAGE(OFFSET($R$3,0,0,'Données projet'!$E$9+1,1))-AVERAGE(OFFSET($H$3,0,0,'Données projet'!$E$9+1,1))</f>
        <v>302.99089313578685</v>
      </c>
      <c r="T20" s="59">
        <f t="shared" si="34"/>
        <v>335.51949678160906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58.340040443433722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58.340040443433722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6.7</v>
      </c>
      <c r="BD20" s="12">
        <f>IF('Données projet'!$A$88&gt;35,BD19+BC20-BL19,IF(A20&lt;'Données projet'!$A$88,$BA$205^A20,IF(A20='Données projet'!$A$88,'Données projet'!$B$88,BD19+BC20-BL19)))</f>
        <v>64.274555013266735</v>
      </c>
      <c r="BE20" s="13">
        <f>BD20*VLOOKUP('Données projet'!$B$11,Paramètres!$A$1:$I$89,3,0)*VLOOKUP('Données projet'!$B$11,Paramètres!$A$1:$I$89,5,0)</f>
        <v>25.902645670346494</v>
      </c>
      <c r="BF20" s="13">
        <f t="shared" si="37"/>
        <v>8.1730269974628076</v>
      </c>
      <c r="BG20" s="20">
        <f t="shared" si="7"/>
        <v>59.348463229767866</v>
      </c>
      <c r="BH20" s="59">
        <f t="shared" si="8"/>
        <v>294.0397226334693</v>
      </c>
      <c r="BI20" s="59">
        <f ca="1">AVERAGE(OFFSET($BH$3,0,0,'Données projet'!$E$11+1,1))-AVERAGE(OFFSET($H$3,0,0,'Données projet'!$E$11+1,1))</f>
        <v>377.91408971696819</v>
      </c>
      <c r="BJ20" s="59">
        <f t="shared" si="38"/>
        <v>321.68797596002366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58.340040443433722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58.340040443433722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58.340040443433722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58.340040443433722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58.340040443433722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58.340040443433722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58.340040443433722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3.14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11.513333333333334</v>
      </c>
      <c r="H21" s="67">
        <f t="shared" si="1"/>
        <v>210.61333333333332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58.54231467397581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7.1739130434782608</v>
      </c>
      <c r="N21" s="13">
        <f>IF('Données projet'!$A$36&gt;35,N20+M21-V20,IF(A21&lt;'Données projet'!$A$36,$K$205^A21,IF(A21='Données projet'!$A$36,'Données projet'!$B$36,N20+M21-V20)))</f>
        <v>54.377873141698466</v>
      </c>
      <c r="O21" s="13">
        <f>N21*VLOOKUP('Données projet'!$B$9,Paramètres!$A$1:$I$89,3,0)*VLOOKUP('Données projet'!$B$9,Paramètres!$A$1:$I$89,5,0)</f>
        <v>25.448844630314881</v>
      </c>
      <c r="P21" s="13">
        <f t="shared" si="33"/>
        <v>8.0463769054143359</v>
      </c>
      <c r="Q21" s="20">
        <f t="shared" si="2"/>
        <v>58.337510841395044</v>
      </c>
      <c r="R21" s="59">
        <f t="shared" si="0"/>
        <v>294.99266464597304</v>
      </c>
      <c r="S21" s="59">
        <f ca="1">AVERAGE(OFFSET($R$3,0,0,'Données projet'!$E$9+1,1))-AVERAGE(OFFSET($H$3,0,0,'Données projet'!$E$9+1,1))</f>
        <v>302.99089313578685</v>
      </c>
      <c r="T21" s="59">
        <f t="shared" si="34"/>
        <v>335.51949678160906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58.54231467397581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58.54231467397581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6.7</v>
      </c>
      <c r="BD21" s="12">
        <f>IF('Données projet'!$A$88&gt;35,BD20+BC21-BL20,IF(A21&lt;'Données projet'!$A$88,$BA$205^A21,IF(A21='Données projet'!$A$88,'Données projet'!$B$88,BD20+BC21-BL20)))</f>
        <v>82.109672236840183</v>
      </c>
      <c r="BE21" s="13">
        <f>BD21*VLOOKUP('Données projet'!$B$11,Paramètres!$A$1:$I$89,3,0)*VLOOKUP('Données projet'!$B$11,Paramètres!$A$1:$I$89,5,0)</f>
        <v>33.090197911446595</v>
      </c>
      <c r="BF21" s="13">
        <f t="shared" si="37"/>
        <v>10.147485127931505</v>
      </c>
      <c r="BG21" s="20">
        <f t="shared" si="7"/>
        <v>75.305631293583517</v>
      </c>
      <c r="BH21" s="59">
        <f t="shared" si="8"/>
        <v>311.96078509816147</v>
      </c>
      <c r="BI21" s="59">
        <f ca="1">AVERAGE(OFFSET($BH$3,0,0,'Données projet'!$E$11+1,1))-AVERAGE(OFFSET($H$3,0,0,'Données projet'!$E$11+1,1))</f>
        <v>377.91408971696819</v>
      </c>
      <c r="BJ21" s="59">
        <f t="shared" si="38"/>
        <v>321.68797596002366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58.54231467397581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58.54231467397581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58.54231467397581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58.54231467397581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58.54231467397581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58.54231467397581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58.54231467397581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3.14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11.513333333333334</v>
      </c>
      <c r="H22" s="67">
        <f t="shared" si="1"/>
        <v>210.61333333333332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58.741079898835423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7.1739130434782608</v>
      </c>
      <c r="N22" s="13">
        <f>IF('Données projet'!$A$36&gt;35,N21+M22-V21,IF(A22&lt;'Données projet'!$A$36,$K$205^A22,IF(A22='Données projet'!$A$36,'Données projet'!$B$36,N21+M22-V21)))</f>
        <v>67.894495036191216</v>
      </c>
      <c r="O22" s="13">
        <f>N22*VLOOKUP('Données projet'!$B$9,Paramètres!$A$1:$I$89,3,0)*VLOOKUP('Données projet'!$B$9,Paramètres!$A$1:$I$89,5,0)</f>
        <v>31.774623676937491</v>
      </c>
      <c r="P22" s="13">
        <f t="shared" si="33"/>
        <v>9.7901719624915806</v>
      </c>
      <c r="Q22" s="20">
        <f t="shared" si="2"/>
        <v>72.392019072005624</v>
      </c>
      <c r="R22" s="59">
        <f t="shared" si="0"/>
        <v>310.99820092329105</v>
      </c>
      <c r="S22" s="59">
        <f ca="1">AVERAGE(OFFSET($R$3,0,0,'Données projet'!$E$9+1,1))-AVERAGE(OFFSET($H$3,0,0,'Données projet'!$E$9+1,1))</f>
        <v>302.99089313578685</v>
      </c>
      <c r="T22" s="59">
        <f t="shared" si="34"/>
        <v>335.51949678160906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58.741079898835423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58.741079898835423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6.7</v>
      </c>
      <c r="BD22" s="12">
        <f>IF('Données projet'!$A$88&gt;35,BD21+BC22-BL21,IF(A22&lt;'Données projet'!$A$88,$BA$205^A22,IF(A22='Données projet'!$A$88,'Données projet'!$B$88,BD21+BC22-BL21)))</f>
        <v>104.89373708537892</v>
      </c>
      <c r="BE22" s="13">
        <f>BD22*VLOOKUP('Données projet'!$B$11,Paramètres!$A$1:$I$89,3,0)*VLOOKUP('Données projet'!$B$11,Paramètres!$A$1:$I$89,5,0)</f>
        <v>42.272176045407704</v>
      </c>
      <c r="BF22" s="13">
        <f t="shared" si="37"/>
        <v>12.598937266884972</v>
      </c>
      <c r="BG22" s="20">
        <f t="shared" si="7"/>
        <v>95.567189018909744</v>
      </c>
      <c r="BH22" s="59">
        <f t="shared" si="8"/>
        <v>334.17337087019519</v>
      </c>
      <c r="BI22" s="59">
        <f ca="1">AVERAGE(OFFSET($BH$3,0,0,'Données projet'!$E$11+1,1))-AVERAGE(OFFSET($H$3,0,0,'Données projet'!$E$11+1,1))</f>
        <v>377.91408971696819</v>
      </c>
      <c r="BJ22" s="59">
        <f t="shared" si="38"/>
        <v>321.68797596002366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58.741079898835423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58.741079898835423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58.741079898835423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58.741079898835423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58.741079898835423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58.741079898835423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58.741079898835423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3.14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11.513333333333334</v>
      </c>
      <c r="H23" s="67">
        <f t="shared" si="1"/>
        <v>210.61333333333332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58.936396991416196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7.1739130434782608</v>
      </c>
      <c r="N23" s="13">
        <f>IF('Données projet'!$A$36&gt;35,N22+M23-V22,IF(A23&lt;'Données projet'!$A$36,$K$205^A23,IF(A23='Données projet'!$A$36,'Données projet'!$B$36,N22+M23-V22)))</f>
        <v>84.770922250075557</v>
      </c>
      <c r="O23" s="13">
        <f>N23*VLOOKUP('Données projet'!$B$9,Paramètres!$A$1:$I$89,3,0)*VLOOKUP('Données projet'!$B$9,Paramètres!$A$1:$I$89,5,0)</f>
        <v>39.672791613035358</v>
      </c>
      <c r="P23" s="13">
        <f t="shared" si="33"/>
        <v>11.911878871925735</v>
      </c>
      <c r="Q23" s="20">
        <f t="shared" si="2"/>
        <v>89.843301094640552</v>
      </c>
      <c r="R23" s="59">
        <f t="shared" si="0"/>
        <v>330.38786784094441</v>
      </c>
      <c r="S23" s="59">
        <f ca="1">AVERAGE(OFFSET($R$3,0,0,'Données projet'!$E$9+1,1))-AVERAGE(OFFSET($H$3,0,0,'Données projet'!$E$9+1,1))</f>
        <v>302.99089313578685</v>
      </c>
      <c r="T23" s="59">
        <f t="shared" si="34"/>
        <v>335.51949678160906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58.936396991416196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58.936396991416196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134</v>
      </c>
      <c r="BB23" s="12">
        <f>VLOOKUP(A23,'Données projet'!$A$87:$I$107,9,0)</f>
        <v>6.7</v>
      </c>
      <c r="BC23" s="12">
        <f t="array" ref="BC23">INDEX(BB:BB,MIN(IF(ISNUMBER(BB23:BB219),ROW(BB23:BB219),"")))</f>
        <v>6.7</v>
      </c>
      <c r="BD23" s="12">
        <f>IF('Données projet'!$A$88&gt;35,BD22+BC23-BL22,IF(A23&lt;'Données projet'!$A$88,$BA$205^A23,IF(A23='Données projet'!$A$88,'Données projet'!$B$88,BD22+BC23-BL22)))</f>
        <v>134</v>
      </c>
      <c r="BE23" s="13">
        <f>BD23*VLOOKUP('Données projet'!$B$11,Paramètres!$A$1:$I$89,3,0)*VLOOKUP('Données projet'!$B$11,Paramètres!$A$1:$I$89,5,0)</f>
        <v>54.002000000000002</v>
      </c>
      <c r="BF23" s="13">
        <f t="shared" si="37"/>
        <v>15.642616693074125</v>
      </c>
      <c r="BG23" s="20">
        <f t="shared" si="7"/>
        <v>121.2977074071041</v>
      </c>
      <c r="BH23" s="59">
        <f t="shared" si="8"/>
        <v>361.84227415340797</v>
      </c>
      <c r="BI23" s="59">
        <f ca="1">AVERAGE(OFFSET($BH$3,0,0,'Données projet'!$E$11+1,1))-AVERAGE(OFFSET($H$3,0,0,'Données projet'!$E$11+1,1))</f>
        <v>377.91408971696819</v>
      </c>
      <c r="BJ23" s="59">
        <f t="shared" si="38"/>
        <v>321.68797596002366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5</v>
      </c>
      <c r="BM23" s="16">
        <f>IF(ISNA(VLOOKUP(A23,'Données projet'!$A$87:$I$107,5,0)),0%,VLOOKUP(A23,'Données projet'!$A$87:$I$107,5,0)*VLOOKUP('Données projet'!$B$11,Paramètres!$A$1:$I$89,7,0))</f>
        <v>0.13750000000000001</v>
      </c>
      <c r="BN23" s="16">
        <f>IF(ISNA(VLOOKUP(A23,'Données projet'!$A$87:$I$107,6,0)),0%,VLOOKUP(A23,'Données projet'!$A$87:$I$107,6,0)*VLOOKUP('Données projet'!$B$11,Paramètres!$A$1:$I$89,7,0))</f>
        <v>0.20350000000000001</v>
      </c>
      <c r="BO23" s="16">
        <f>IF(ISNA(VLOOKUP(A23,'Données projet'!$A$87:$I$107,7,0)),0%,VLOOKUP(A23,'Données projet'!$A$87:$I$107,7,0))</f>
        <v>0.38</v>
      </c>
      <c r="BP23" s="21">
        <f>EXP(-LN(2)/35)*BP22+(1-EXP(-LN(2)/35))/(LN(2)/35)*BL23*BM23*VLOOKUP('Données projet'!$B$11,Paramètres!$A$1:$I$89,3,0)*0.475*44/12</f>
        <v>0.36754126443521762</v>
      </c>
      <c r="BQ23" s="21">
        <f>EXP(-LN(2)/25)*BQ22+(1-EXP(-LN(2)/25))/(LN(2)/25)*Calculateur!BL23*Calculateur!BN23*VLOOKUP('Données projet'!$B$11,Paramètres!$A$1:$I$89,3,0)*0.475*44/12</f>
        <v>0.54181928936074397</v>
      </c>
      <c r="BR23" s="21">
        <f>EXP(-LN(2)/2)*BR22+(1-EXP(-LN(2)/2))/(LN(2)/2)*BL23*BO23*VLOOKUP('Données projet'!$B$11,Paramètres!$A$1:$I$89,3,0)*0.475*44/12</f>
        <v>0.8669502702160149</v>
      </c>
      <c r="BS23" s="22">
        <f t="shared" si="9"/>
        <v>1.7763108240119765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58.936396991416196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58.936396991416196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58.936396991416196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58.936396991416196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58.936396991416196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58.936396991416196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58.936396991416196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3.14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11.513333333333334</v>
      </c>
      <c r="H24" s="67">
        <f t="shared" si="1"/>
        <v>210.61333333333332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59.1283257691043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7.1739130434782608</v>
      </c>
      <c r="N24" s="13">
        <f>IF('Données projet'!$A$36&gt;35,N23+M24-V23,IF(A24&lt;'Données projet'!$A$36,$K$205^A24,IF(A24='Données projet'!$A$36,'Données projet'!$B$36,N23+M24-V23)))</f>
        <v>105.84229627597635</v>
      </c>
      <c r="O24" s="13">
        <f>N24*VLOOKUP('Données projet'!$B$9,Paramètres!$A$1:$I$89,3,0)*VLOOKUP('Données projet'!$B$9,Paramètres!$A$1:$I$89,5,0)</f>
        <v>49.534194657156931</v>
      </c>
      <c r="P24" s="13">
        <f t="shared" si="33"/>
        <v>14.493397950828152</v>
      </c>
      <c r="Q24" s="20">
        <f t="shared" si="2"/>
        <v>111.51472379224067</v>
      </c>
      <c r="R24" s="59">
        <f t="shared" si="0"/>
        <v>353.98525161228974</v>
      </c>
      <c r="S24" s="59">
        <f ca="1">AVERAGE(OFFSET($R$3,0,0,'Données projet'!$E$9+1,1))-AVERAGE(OFFSET($H$3,0,0,'Données projet'!$E$9+1,1))</f>
        <v>302.99089313578685</v>
      </c>
      <c r="T24" s="59">
        <f t="shared" si="34"/>
        <v>335.51949678160906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59.1283257691043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59.1283257691043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22.8</v>
      </c>
      <c r="BD24" s="12">
        <f>IF('Données projet'!$A$88&gt;35,BD23+BC24-BL23,IF(A24&lt;'Données projet'!$A$88,$BA$205^A24,IF(A24='Données projet'!$A$88,'Données projet'!$B$88,BD23+BC24-BL23)))</f>
        <v>151.80000000000001</v>
      </c>
      <c r="BE24" s="13">
        <f>BD24*VLOOKUP('Données projet'!$B$11,Paramètres!$A$1:$I$89,3,0)*VLOOKUP('Données projet'!$B$11,Paramètres!$A$1:$I$89,5,0)</f>
        <v>61.175400000000003</v>
      </c>
      <c r="BF24" s="13">
        <f t="shared" si="37"/>
        <v>17.465110631496685</v>
      </c>
      <c r="BG24" s="20">
        <f t="shared" si="7"/>
        <v>136.96555601652338</v>
      </c>
      <c r="BH24" s="59">
        <f t="shared" si="8"/>
        <v>379.43608383657244</v>
      </c>
      <c r="BI24" s="59">
        <f ca="1">AVERAGE(OFFSET($BH$3,0,0,'Données projet'!$E$11+1,1))-AVERAGE(OFFSET($H$3,0,0,'Données projet'!$E$11+1,1))</f>
        <v>377.91408971696819</v>
      </c>
      <c r="BJ24" s="59">
        <f t="shared" si="38"/>
        <v>321.68797596002366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0.36033400441767854</v>
      </c>
      <c r="BQ24" s="21">
        <f>EXP(-LN(2)/25)*BQ23+(1-EXP(-LN(2)/25))/(LN(2)/25)*Calculateur!BL24*Calculateur!BN24*VLOOKUP('Données projet'!$B$11,Paramètres!$A$1:$I$89,3,0)*0.475*44/12</f>
        <v>0.52700321240013637</v>
      </c>
      <c r="BR24" s="21">
        <f>EXP(-LN(2)/2)*BR23+(1-EXP(-LN(2)/2))/(LN(2)/2)*BL24*BO24*VLOOKUP('Données projet'!$B$11,Paramètres!$A$1:$I$89,3,0)*0.475*44/12</f>
        <v>0.61302641502125399</v>
      </c>
      <c r="BS24" s="22">
        <f t="shared" si="9"/>
        <v>1.5003636318390687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59.1283257691043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59.1283257691043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59.1283257691043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59.1283257691043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59.1283257691043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59.1283257691043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59.1283257691043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3.14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11.513333333333334</v>
      </c>
      <c r="H25" s="67">
        <f t="shared" si="1"/>
        <v>210.61333333333332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59.316925011587976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7.1739130434782608</v>
      </c>
      <c r="N25" s="13">
        <f>IF('Données projet'!$A$36&gt;35,N24+M25-V24,IF(A25&lt;'Données projet'!$A$36,$K$205^A25,IF(A25='Données projet'!$A$36,'Données projet'!$B$36,N24+M25-V24)))</f>
        <v>132.15134840604583</v>
      </c>
      <c r="O25" s="13">
        <f>N25*VLOOKUP('Données projet'!$B$9,Paramètres!$A$1:$I$89,3,0)*VLOOKUP('Données projet'!$B$9,Paramètres!$A$1:$I$89,5,0)</f>
        <v>61.846831054029444</v>
      </c>
      <c r="P25" s="13">
        <f t="shared" si="33"/>
        <v>17.634378792764753</v>
      </c>
      <c r="Q25" s="20">
        <f t="shared" si="2"/>
        <v>138.42977381649987</v>
      </c>
      <c r="R25" s="59">
        <f t="shared" si="0"/>
        <v>382.81405441454467</v>
      </c>
      <c r="S25" s="59">
        <f ca="1">AVERAGE(OFFSET($R$3,0,0,'Données projet'!$E$9+1,1))-AVERAGE(OFFSET($H$3,0,0,'Données projet'!$E$9+1,1))</f>
        <v>302.99089313578685</v>
      </c>
      <c r="T25" s="59">
        <f t="shared" si="34"/>
        <v>335.51949678160906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59.316925011587976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59.316925011587976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22.8</v>
      </c>
      <c r="BD25" s="12">
        <f>IF('Données projet'!$A$88&gt;35,BD24+BC25-BL24,IF(A25&lt;'Données projet'!$A$88,$BA$205^A25,IF(A25='Données projet'!$A$88,'Données projet'!$B$88,BD24+BC25-BL24)))</f>
        <v>174.60000000000002</v>
      </c>
      <c r="BE25" s="13">
        <f>BD25*VLOOKUP('Données projet'!$B$11,Paramètres!$A$1:$I$89,3,0)*VLOOKUP('Données projet'!$B$11,Paramètres!$A$1:$I$89,5,0)</f>
        <v>70.363800000000012</v>
      </c>
      <c r="BF25" s="13">
        <f t="shared" si="37"/>
        <v>19.763774659213784</v>
      </c>
      <c r="BG25" s="20">
        <f t="shared" si="7"/>
        <v>156.972192531464</v>
      </c>
      <c r="BH25" s="59">
        <f t="shared" si="8"/>
        <v>401.3564731295088</v>
      </c>
      <c r="BI25" s="59">
        <f ca="1">AVERAGE(OFFSET($BH$3,0,0,'Données projet'!$E$11+1,1))-AVERAGE(OFFSET($H$3,0,0,'Données projet'!$E$11+1,1))</f>
        <v>377.91408971696819</v>
      </c>
      <c r="BJ25" s="59">
        <f t="shared" si="38"/>
        <v>321.68797596002366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0.35326807437308888</v>
      </c>
      <c r="BQ25" s="21">
        <f>EXP(-LN(2)/25)*BQ24+(1-EXP(-LN(2)/25))/(LN(2)/25)*Calculateur!BL25*Calculateur!BN25*VLOOKUP('Données projet'!$B$11,Paramètres!$A$1:$I$89,3,0)*0.475*44/12</f>
        <v>0.51259228184316019</v>
      </c>
      <c r="BR25" s="21">
        <f>EXP(-LN(2)/2)*BR24+(1-EXP(-LN(2)/2))/(LN(2)/2)*BL25*BO25*VLOOKUP('Données projet'!$B$11,Paramètres!$A$1:$I$89,3,0)*0.475*44/12</f>
        <v>0.43347513510800756</v>
      </c>
      <c r="BS25" s="22">
        <f t="shared" si="9"/>
        <v>1.2993354913242565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59.316925011587976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59.316925011587976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59.316925011587976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59.316925011587976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59.316925011587976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59.316925011587976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59.316925011587976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3.14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11.513333333333334</v>
      </c>
      <c r="H26" s="67">
        <f t="shared" si="1"/>
        <v>210.61333333333332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59.502252478859297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165</v>
      </c>
      <c r="L26" s="12">
        <f>VLOOKUP(A26,'Données projet'!$A$35:$I$55,9,0)</f>
        <v>7.1739130434782608</v>
      </c>
      <c r="M26" s="12">
        <f t="array" ref="M26">INDEX(L:L,MIN(IF(ISNUMBER(L26:L222),ROW(L26:L222),"")))</f>
        <v>7.1739130434782608</v>
      </c>
      <c r="N26" s="13">
        <f>IF('Données projet'!$A$36&gt;35,N25+M26-V25,IF(A26&lt;'Données projet'!$A$36,$K$205^A26,IF(A26='Données projet'!$A$36,'Données projet'!$B$36,N25+M26-V25)))</f>
        <v>165</v>
      </c>
      <c r="O26" s="13">
        <f>N26*VLOOKUP('Données projet'!$B$9,Paramètres!$A$1:$I$89,3,0)*VLOOKUP('Données projet'!$B$9,Paramètres!$A$1:$I$89,5,0)</f>
        <v>77.22</v>
      </c>
      <c r="P26" s="13">
        <f t="shared" si="33"/>
        <v>21.456066856215884</v>
      </c>
      <c r="Q26" s="20">
        <f t="shared" si="2"/>
        <v>171.86081644124263</v>
      </c>
      <c r="R26" s="59">
        <f t="shared" si="0"/>
        <v>418.14685330817116</v>
      </c>
      <c r="S26" s="59">
        <f ca="1">AVERAGE(OFFSET($R$3,0,0,'Données projet'!$E$9+1,1))-AVERAGE(OFFSET($H$3,0,0,'Données projet'!$E$9+1,1))</f>
        <v>302.99089313578685</v>
      </c>
      <c r="T26" s="59">
        <f t="shared" si="34"/>
        <v>335.51949678160906</v>
      </c>
      <c r="U26" s="15">
        <f>IF(ISNA(VLOOKUP(A26,'Données projet'!$A$35:$I$55,3,0)),0,VLOOKUP(A26,'Données projet'!$A$35:$I$55,3,0))</f>
        <v>1</v>
      </c>
      <c r="V26" s="15">
        <f>IF(ISNA(VLOOKUP(A26,'Données projet'!$A$35:$I$55,4,0)),0,VLOOKUP(A26,'Données projet'!$A$35:$I$55,4,0))</f>
        <v>55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0.27500000000000002</v>
      </c>
      <c r="Y26" s="16">
        <f>IF(ISNA(VLOOKUP(A26,'Données projet'!$A$35:$I$55,7,0)),0%,VLOOKUP(A26,'Données projet'!$A$35:$I$55,7,0))</f>
        <v>0.5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9.3531141493833747</v>
      </c>
      <c r="AB26" s="21">
        <f>EXP(-LN(2)/2)*AB25+(1-EXP(-LN(2)/2))/(LN(2)/2)*V26*Y26*VLOOKUP('Données projet'!$B$9,Paramètres!$A$1:$I$89,3,0)*0.475*44/12</f>
        <v>14.571829669165615</v>
      </c>
      <c r="AC26" s="22">
        <f t="shared" si="3"/>
        <v>23.924943818548989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59.502252478859297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59.502252478859297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22.8</v>
      </c>
      <c r="BD26" s="12">
        <f>IF('Données projet'!$A$88&gt;35,BD25+BC26-BL25,IF(A26&lt;'Données projet'!$A$88,$BA$205^A26,IF(A26='Données projet'!$A$88,'Données projet'!$B$88,BD25+BC26-BL25)))</f>
        <v>197.40000000000003</v>
      </c>
      <c r="BE26" s="13">
        <f>BD26*VLOOKUP('Données projet'!$B$11,Paramètres!$A$1:$I$89,3,0)*VLOOKUP('Données projet'!$B$11,Paramètres!$A$1:$I$89,5,0)</f>
        <v>79.552200000000013</v>
      </c>
      <c r="BF26" s="13">
        <f t="shared" si="37"/>
        <v>22.027658957299707</v>
      </c>
      <c r="BG26" s="20">
        <f t="shared" si="7"/>
        <v>176.91825435063035</v>
      </c>
      <c r="BH26" s="59">
        <f t="shared" si="8"/>
        <v>423.20429121755888</v>
      </c>
      <c r="BI26" s="59">
        <f ca="1">AVERAGE(OFFSET($BH$3,0,0,'Données projet'!$E$11+1,1))-AVERAGE(OFFSET($H$3,0,0,'Données projet'!$E$11+1,1))</f>
        <v>377.91408971696819</v>
      </c>
      <c r="BJ26" s="59">
        <f t="shared" si="38"/>
        <v>321.68797596002366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0.34634070290688185</v>
      </c>
      <c r="BQ26" s="21">
        <f>EXP(-LN(2)/25)*BQ25+(1-EXP(-LN(2)/25))/(LN(2)/25)*Calculateur!BL26*Calculateur!BN26*VLOOKUP('Données projet'!$B$11,Paramètres!$A$1:$I$89,3,0)*0.475*44/12</f>
        <v>0.49857541894010243</v>
      </c>
      <c r="BR26" s="21">
        <f>EXP(-LN(2)/2)*BR25+(1-EXP(-LN(2)/2))/(LN(2)/2)*BL26*BO26*VLOOKUP('Données projet'!$B$11,Paramètres!$A$1:$I$89,3,0)*0.475*44/12</f>
        <v>0.30651320751062705</v>
      </c>
      <c r="BS26" s="22">
        <f t="shared" si="9"/>
        <v>1.1514293293576112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59.502252478859297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59.502252478859297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59.502252478859297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59.502252478859297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59.502252478859297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59.502252478859297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59.502252478859297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3.14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11.513333333333334</v>
      </c>
      <c r="H27" s="67">
        <f t="shared" si="1"/>
        <v>210.61333333333332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59.684364928903612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31.25</v>
      </c>
      <c r="N27" s="13">
        <f>IF('Données projet'!$A$36&gt;35,N26+M27-V26,IF(A27&lt;'Données projet'!$A$36,$K$205^A27,IF(A27='Données projet'!$A$36,'Données projet'!$B$36,N26+M27-V26)))</f>
        <v>141.25</v>
      </c>
      <c r="O27" s="13">
        <f>N27*VLOOKUP('Données projet'!$B$9,Paramètres!$A$1:$I$89,3,0)*VLOOKUP('Données projet'!$B$9,Paramètres!$A$1:$I$89,5,0)</f>
        <v>66.105000000000004</v>
      </c>
      <c r="P27" s="13">
        <f t="shared" si="33"/>
        <v>18.702992547207845</v>
      </c>
      <c r="Q27" s="20">
        <f t="shared" si="2"/>
        <v>147.70725368638702</v>
      </c>
      <c r="R27" s="59">
        <f t="shared" si="0"/>
        <v>395.88325842570032</v>
      </c>
      <c r="S27" s="59">
        <f ca="1">AVERAGE(OFFSET($R$3,0,0,'Données projet'!$E$9+1,1))-AVERAGE(OFFSET($H$3,0,0,'Données projet'!$E$9+1,1))</f>
        <v>302.99089313578685</v>
      </c>
      <c r="T27" s="59">
        <f t="shared" si="34"/>
        <v>335.51949678160906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9.0973527511095895</v>
      </c>
      <c r="AB27" s="21">
        <f>EXP(-LN(2)/2)*AB26+(1-EXP(-LN(2)/2))/(LN(2)/2)*V27*Y27*VLOOKUP('Données projet'!$B$9,Paramètres!$A$1:$I$89,3,0)*0.475*44/12</f>
        <v>10.303839573362332</v>
      </c>
      <c r="AC27" s="22">
        <f t="shared" si="3"/>
        <v>19.401192324471921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59.684364928903612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59.684364928903612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22.8</v>
      </c>
      <c r="BD27" s="12">
        <f>IF('Données projet'!$A$88&gt;35,BD26+BC27-BL26,IF(A27&lt;'Données projet'!$A$88,$BA$205^A27,IF(A27='Données projet'!$A$88,'Données projet'!$B$88,BD26+BC27-BL26)))</f>
        <v>220.20000000000005</v>
      </c>
      <c r="BE27" s="13">
        <f>BD27*VLOOKUP('Données projet'!$B$11,Paramètres!$A$1:$I$89,3,0)*VLOOKUP('Données projet'!$B$11,Paramètres!$A$1:$I$89,5,0)</f>
        <v>88.740600000000029</v>
      </c>
      <c r="BF27" s="13">
        <f t="shared" si="37"/>
        <v>24.261239375420189</v>
      </c>
      <c r="BG27" s="20">
        <f t="shared" si="7"/>
        <v>196.81153691219018</v>
      </c>
      <c r="BH27" s="59">
        <f t="shared" si="8"/>
        <v>444.98754165150342</v>
      </c>
      <c r="BI27" s="59">
        <f ca="1">AVERAGE(OFFSET($BH$3,0,0,'Données projet'!$E$11+1,1))-AVERAGE(OFFSET($H$3,0,0,'Données projet'!$E$11+1,1))</f>
        <v>377.91408971696819</v>
      </c>
      <c r="BJ27" s="59">
        <f t="shared" si="38"/>
        <v>321.68797596002366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0.33954917296984777</v>
      </c>
      <c r="BQ27" s="21">
        <f>EXP(-LN(2)/25)*BQ26+(1-EXP(-LN(2)/25))/(LN(2)/25)*Calculateur!BL27*Calculateur!BN27*VLOOKUP('Données projet'!$B$11,Paramètres!$A$1:$I$89,3,0)*0.475*44/12</f>
        <v>0.48494184789024358</v>
      </c>
      <c r="BR27" s="21">
        <f>EXP(-LN(2)/2)*BR26+(1-EXP(-LN(2)/2))/(LN(2)/2)*BL27*BO27*VLOOKUP('Données projet'!$B$11,Paramètres!$A$1:$I$89,3,0)*0.475*44/12</f>
        <v>0.21673756755400381</v>
      </c>
      <c r="BS27" s="22">
        <f t="shared" si="9"/>
        <v>1.041228588414095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59.684364928903612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59.684364928903612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59.684364928903612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59.684364928903612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59.684364928903612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59.684364928903612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59.684364928903612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3.14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11.513333333333334</v>
      </c>
      <c r="H28" s="67">
        <f t="shared" si="1"/>
        <v>210.61333333333332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59.863318135082089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31.25</v>
      </c>
      <c r="N28" s="13">
        <f>IF('Données projet'!$A$36&gt;35,N27+M28-V27,IF(A28&lt;'Données projet'!$A$36,$K$205^A28,IF(A28='Données projet'!$A$36,'Données projet'!$B$36,N27+M28-V27)))</f>
        <v>172.5</v>
      </c>
      <c r="O28" s="13">
        <f>N28*VLOOKUP('Données projet'!$B$9,Paramètres!$A$1:$I$89,3,0)*VLOOKUP('Données projet'!$B$9,Paramètres!$A$1:$I$89,5,0)</f>
        <v>80.72999999999999</v>
      </c>
      <c r="P28" s="13">
        <f t="shared" si="33"/>
        <v>22.315578453114171</v>
      </c>
      <c r="Q28" s="20">
        <f t="shared" si="2"/>
        <v>179.47104913917383</v>
      </c>
      <c r="R28" s="59">
        <f t="shared" si="0"/>
        <v>429.52543785669707</v>
      </c>
      <c r="S28" s="59">
        <f ca="1">AVERAGE(OFFSET($R$3,0,0,'Données projet'!$E$9+1,1))-AVERAGE(OFFSET($H$3,0,0,'Données projet'!$E$9+1,1))</f>
        <v>302.99089313578685</v>
      </c>
      <c r="T28" s="59">
        <f t="shared" si="34"/>
        <v>335.51949678160906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8.848585161721509</v>
      </c>
      <c r="AB28" s="21">
        <f>EXP(-LN(2)/2)*AB27+(1-EXP(-LN(2)/2))/(LN(2)/2)*V28*Y28*VLOOKUP('Données projet'!$B$9,Paramètres!$A$1:$I$89,3,0)*0.475*44/12</f>
        <v>7.2859148345828082</v>
      </c>
      <c r="AC28" s="22">
        <f t="shared" si="3"/>
        <v>16.134499996304317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59.863318135082089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59.863318135082089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243</v>
      </c>
      <c r="BB28" s="12">
        <f>VLOOKUP(A28,'Données projet'!$A$87:$I$107,9,0)</f>
        <v>22.8</v>
      </c>
      <c r="BC28" s="12">
        <f t="array" ref="BC28">INDEX(BB:BB,MIN(IF(ISNUMBER(BB28:BB224),ROW(BB28:BB224),"")))</f>
        <v>22.8</v>
      </c>
      <c r="BD28" s="12">
        <f>IF('Données projet'!$A$88&gt;35,BD27+BC28-BL27,IF(A28&lt;'Données projet'!$A$88,$BA$205^A28,IF(A28='Données projet'!$A$88,'Données projet'!$B$88,BD27+BC28-BL27)))</f>
        <v>243.00000000000006</v>
      </c>
      <c r="BE28" s="13">
        <f>BD28*VLOOKUP('Données projet'!$B$11,Paramètres!$A$1:$I$89,3,0)*VLOOKUP('Données projet'!$B$11,Paramètres!$A$1:$I$89,5,0)</f>
        <v>97.929000000000016</v>
      </c>
      <c r="BF28" s="13">
        <f t="shared" si="37"/>
        <v>26.468011032218534</v>
      </c>
      <c r="BG28" s="20">
        <f t="shared" si="7"/>
        <v>216.65812754778065</v>
      </c>
      <c r="BH28" s="59">
        <f t="shared" si="8"/>
        <v>466.71251626530386</v>
      </c>
      <c r="BI28" s="59">
        <f ca="1">AVERAGE(OFFSET($BH$3,0,0,'Données projet'!$E$11+1,1))-AVERAGE(OFFSET($H$3,0,0,'Données projet'!$E$11+1,1))</f>
        <v>377.91408971696819</v>
      </c>
      <c r="BJ28" s="59">
        <f t="shared" si="38"/>
        <v>321.68797596002366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63</v>
      </c>
      <c r="BM28" s="16">
        <f>IF(ISNA(VLOOKUP(A28,'Données projet'!$A$87:$I$107,5,0)),0%,VLOOKUP(A28,'Données projet'!$A$87:$I$107,5,0)*VLOOKUP('Données projet'!$B$11,Paramètres!$A$1:$I$89,7,0))</f>
        <v>0.13750000000000001</v>
      </c>
      <c r="BN28" s="16">
        <f>IF(ISNA(VLOOKUP(A28,'Données projet'!$A$87:$I$107,6,0)),0%,VLOOKUP(A28,'Données projet'!$A$87:$I$107,6,0)*VLOOKUP('Données projet'!$B$11,Paramètres!$A$1:$I$89,7,0))</f>
        <v>0.20350000000000001</v>
      </c>
      <c r="BO28" s="16">
        <f>IF(ISNA(VLOOKUP(A28,'Données projet'!$A$87:$I$107,7,0)),0%,VLOOKUP(A28,'Données projet'!$A$87:$I$107,7,0))</f>
        <v>0.38</v>
      </c>
      <c r="BP28" s="21">
        <f>EXP(-LN(2)/35)*BP27+(1-EXP(-LN(2)/35))/(LN(2)/35)*BL28*BM28*VLOOKUP('Données projet'!$B$11,Paramètres!$A$1:$I$89,3,0)*0.475*44/12</f>
        <v>4.9639107526761963</v>
      </c>
      <c r="BQ28" s="21">
        <f>EXP(-LN(2)/25)*BQ27+(1-EXP(-LN(2)/25))/(LN(2)/25)*Calculateur!BL28*Calculateur!BN28*VLOOKUP('Données projet'!$B$11,Paramètres!$A$1:$I$89,3,0)*0.475*44/12</f>
        <v>7.2986041335030771</v>
      </c>
      <c r="BR28" s="21">
        <f>EXP(-LN(2)/2)*BR27+(1-EXP(-LN(2)/2))/(LN(2)/2)*BL28*BO28*VLOOKUP('Données projet'!$B$11,Paramètres!$A$1:$I$89,3,0)*0.475*44/12</f>
        <v>11.076830008477101</v>
      </c>
      <c r="BS28" s="22">
        <f t="shared" si="9"/>
        <v>23.339344894656374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59.863318135082089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59.863318135082089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59.863318135082089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59.863318135082089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59.863318135082089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59.863318135082089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59.863318135082089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3.14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11.513333333333334</v>
      </c>
      <c r="H29" s="67">
        <f t="shared" si="1"/>
        <v>210.61333333333332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60.039166903212816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31.25</v>
      </c>
      <c r="N29" s="13">
        <f>IF('Données projet'!$A$36&gt;35,N28+M29-V28,IF(A29&lt;'Données projet'!$A$36,$K$205^A29,IF(A29='Données projet'!$A$36,'Données projet'!$B$36,N28+M29-V28)))</f>
        <v>203.75</v>
      </c>
      <c r="O29" s="13">
        <f>N29*VLOOKUP('Données projet'!$B$9,Paramètres!$A$1:$I$89,3,0)*VLOOKUP('Données projet'!$B$9,Paramètres!$A$1:$I$89,5,0)</f>
        <v>95.35499999999999</v>
      </c>
      <c r="P29" s="13">
        <f t="shared" si="33"/>
        <v>25.852345740177842</v>
      </c>
      <c r="Q29" s="20">
        <f t="shared" si="2"/>
        <v>211.1027938308097</v>
      </c>
      <c r="R29" s="59">
        <f t="shared" si="0"/>
        <v>463.02418358703449</v>
      </c>
      <c r="S29" s="59">
        <f ca="1">AVERAGE(OFFSET($R$3,0,0,'Données projet'!$E$9+1,1))-AVERAGE(OFFSET($H$3,0,0,'Données projet'!$E$9+1,1))</f>
        <v>302.99089313578685</v>
      </c>
      <c r="T29" s="59">
        <f t="shared" si="34"/>
        <v>335.51949678160906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8.6066201351473648</v>
      </c>
      <c r="AB29" s="21">
        <f>EXP(-LN(2)/2)*AB28+(1-EXP(-LN(2)/2))/(LN(2)/2)*V29*Y29*VLOOKUP('Données projet'!$B$9,Paramètres!$A$1:$I$89,3,0)*0.475*44/12</f>
        <v>5.1519197866811668</v>
      </c>
      <c r="AC29" s="22">
        <f t="shared" si="3"/>
        <v>13.758539921828532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60.039166903212816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60.039166903212816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25.6</v>
      </c>
      <c r="BD29" s="12">
        <f>IF('Données projet'!$A$88&gt;35,BD28+BC29-BL28,IF(A29&lt;'Données projet'!$A$88,$BA$205^A29,IF(A29='Données projet'!$A$88,'Données projet'!$B$88,BD28+BC29-BL28)))</f>
        <v>205.60000000000008</v>
      </c>
      <c r="BE29" s="13">
        <f>BD29*VLOOKUP('Données projet'!$B$11,Paramètres!$A$1:$I$89,3,0)*VLOOKUP('Données projet'!$B$11,Paramètres!$A$1:$I$89,5,0)</f>
        <v>82.856800000000035</v>
      </c>
      <c r="BF29" s="13">
        <f t="shared" si="37"/>
        <v>22.834253802359868</v>
      </c>
      <c r="BG29" s="20">
        <f t="shared" si="7"/>
        <v>184.07858537244348</v>
      </c>
      <c r="BH29" s="59">
        <f t="shared" si="8"/>
        <v>435.99997512866827</v>
      </c>
      <c r="BI29" s="59">
        <f ca="1">AVERAGE(OFFSET($BH$3,0,0,'Données projet'!$E$11+1,1))-AVERAGE(OFFSET($H$3,0,0,'Données projet'!$E$11+1,1))</f>
        <v>377.91408971696819</v>
      </c>
      <c r="BJ29" s="59">
        <f t="shared" si="38"/>
        <v>321.68797596002366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4.8665714905028157</v>
      </c>
      <c r="BQ29" s="21">
        <f>EXP(-LN(2)/25)*BQ28+(1-EXP(-LN(2)/25))/(LN(2)/25)*Calculateur!BL29*Calculateur!BN29*VLOOKUP('Données projet'!$B$11,Paramètres!$A$1:$I$89,3,0)*0.475*44/12</f>
        <v>7.0990234196555253</v>
      </c>
      <c r="BR29" s="21">
        <f>EXP(-LN(2)/2)*BR28+(1-EXP(-LN(2)/2))/(LN(2)/2)*BL29*BO29*VLOOKUP('Données projet'!$B$11,Paramètres!$A$1:$I$89,3,0)*0.475*44/12</f>
        <v>7.8325016130448013</v>
      </c>
      <c r="BS29" s="22">
        <f t="shared" si="9"/>
        <v>19.798096523203142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60.039166903212816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60.039166903212816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60.039166903212816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60.039166903212816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60.039166903212816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60.039166903212816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60.039166903212816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3.14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11.513333333333334</v>
      </c>
      <c r="H30" s="67">
        <f t="shared" si="1"/>
        <v>210.61333333333332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60.21196508835542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>
        <f>VLOOKUP(A30,'Données projet'!$A$35:$I$55,2,0)</f>
        <v>235</v>
      </c>
      <c r="L30" s="12">
        <f>VLOOKUP(A30,'Données projet'!$A$35:$I$55,9,0)</f>
        <v>31.25</v>
      </c>
      <c r="M30" s="12">
        <f t="array" ref="M30">INDEX(L:L,MIN(IF(ISNUMBER(L30:L226),ROW(L30:L226),"")))</f>
        <v>31.25</v>
      </c>
      <c r="N30" s="13">
        <f>IF('Données projet'!$A$36&gt;35,N29+M30-V29,IF(A30&lt;'Données projet'!$A$36,$K$205^A30,IF(A30='Données projet'!$A$36,'Données projet'!$B$36,N29+M30-V29)))</f>
        <v>235</v>
      </c>
      <c r="O30" s="13">
        <f>N30*VLOOKUP('Données projet'!$B$9,Paramètres!$A$1:$I$89,3,0)*VLOOKUP('Données projet'!$B$9,Paramètres!$A$1:$I$89,5,0)</f>
        <v>109.97999999999999</v>
      </c>
      <c r="P30" s="13">
        <f t="shared" si="33"/>
        <v>29.326272366698234</v>
      </c>
      <c r="Q30" s="20">
        <f t="shared" si="2"/>
        <v>242.62509103866606</v>
      </c>
      <c r="R30" s="59">
        <f t="shared" si="0"/>
        <v>496.40229636263587</v>
      </c>
      <c r="S30" s="59">
        <f ca="1">AVERAGE(OFFSET($R$3,0,0,'Données projet'!$E$9+1,1))-AVERAGE(OFFSET($H$3,0,0,'Données projet'!$E$9+1,1))</f>
        <v>302.99089313578685</v>
      </c>
      <c r="T30" s="59">
        <f t="shared" si="34"/>
        <v>335.51949678160906</v>
      </c>
      <c r="U30" s="15">
        <f>IF(ISNA(VLOOKUP(A30,'Données projet'!$A$35:$I$55,3,0)),0,VLOOKUP(A30,'Données projet'!$A$35:$I$55,3,0))</f>
        <v>2</v>
      </c>
      <c r="V30" s="15">
        <f>IF(ISNA(VLOOKUP(A30,'Données projet'!$A$35:$I$55,4,0)),0,VLOOKUP(A30,'Données projet'!$A$35:$I$55,4,0))</f>
        <v>64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0.27500000000000002</v>
      </c>
      <c r="Y30" s="16">
        <f>IF(ISNA(VLOOKUP(A30,'Données projet'!$A$35:$I$55,7,0)),0%,VLOOKUP(A30,'Données projet'!$A$35:$I$55,7,0))</f>
        <v>0.5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19.254895392413566</v>
      </c>
      <c r="AB30" s="21">
        <f>EXP(-LN(2)/2)*AB29+(1-EXP(-LN(2)/2))/(LN(2)/2)*V30*Y30*VLOOKUP('Données projet'!$B$9,Paramètres!$A$1:$I$89,3,0)*0.475*44/12</f>
        <v>20.599268305047758</v>
      </c>
      <c r="AC30" s="22">
        <f t="shared" si="3"/>
        <v>39.854163697461324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60.21196508835542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60.21196508835542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25.6</v>
      </c>
      <c r="BD30" s="12">
        <f>IF('Données projet'!$A$88&gt;35,BD29+BC30-BL29,IF(A30&lt;'Données projet'!$A$88,$BA$205^A30,IF(A30='Données projet'!$A$88,'Données projet'!$B$88,BD29+BC30-BL29)))</f>
        <v>231.20000000000007</v>
      </c>
      <c r="BE30" s="13">
        <f>BD30*VLOOKUP('Données projet'!$B$11,Paramètres!$A$1:$I$89,3,0)*VLOOKUP('Données projet'!$B$11,Paramètres!$A$1:$I$89,5,0)</f>
        <v>93.173600000000036</v>
      </c>
      <c r="BF30" s="13">
        <f t="shared" si="37"/>
        <v>25.329070337385946</v>
      </c>
      <c r="BG30" s="20">
        <f t="shared" si="7"/>
        <v>206.39215083761391</v>
      </c>
      <c r="BH30" s="59">
        <f t="shared" si="8"/>
        <v>460.16935616158378</v>
      </c>
      <c r="BI30" s="59">
        <f ca="1">AVERAGE(OFFSET($BH$3,0,0,'Données projet'!$E$11+1,1))-AVERAGE(OFFSET($H$3,0,0,'Données projet'!$E$11+1,1))</f>
        <v>377.91408971696819</v>
      </c>
      <c r="BJ30" s="59">
        <f t="shared" si="38"/>
        <v>321.68797596002366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4.7711409918895678</v>
      </c>
      <c r="BQ30" s="21">
        <f>EXP(-LN(2)/25)*BQ29+(1-EXP(-LN(2)/25))/(LN(2)/25)*Calculateur!BL30*Calculateur!BN30*VLOOKUP('Données projet'!$B$11,Paramètres!$A$1:$I$89,3,0)*0.475*44/12</f>
        <v>6.9049002509236281</v>
      </c>
      <c r="BR30" s="21">
        <f>EXP(-LN(2)/2)*BR29+(1-EXP(-LN(2)/2))/(LN(2)/2)*BL30*BO30*VLOOKUP('Données projet'!$B$11,Paramètres!$A$1:$I$89,3,0)*0.475*44/12</f>
        <v>5.5384150042385514</v>
      </c>
      <c r="BS30" s="22">
        <f t="shared" si="9"/>
        <v>17.214456247051746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60.21196508835542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60.21196508835542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60.21196508835542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60.21196508835542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60.21196508835542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60.21196508835542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60.21196508835542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3.14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11.513333333333334</v>
      </c>
      <c r="H31" s="67">
        <f t="shared" si="1"/>
        <v>210.61333333333332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60.381765611304665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36</v>
      </c>
      <c r="N31" s="13">
        <f>IF('Données projet'!$A$36&gt;35,N30+M31-V30,IF(A31&lt;'Données projet'!$A$36,$K$205^A31,IF(A31='Données projet'!$A$36,'Données projet'!$B$36,N30+M31-V30)))</f>
        <v>207</v>
      </c>
      <c r="O31" s="13">
        <f>N31*VLOOKUP('Données projet'!$B$9,Paramètres!$A$1:$I$89,3,0)*VLOOKUP('Données projet'!$B$9,Paramètres!$A$1:$I$89,5,0)</f>
        <v>96.876000000000005</v>
      </c>
      <c r="P31" s="13">
        <f t="shared" si="33"/>
        <v>26.21637845945024</v>
      </c>
      <c r="Q31" s="20">
        <f t="shared" si="2"/>
        <v>214.38589248354251</v>
      </c>
      <c r="R31" s="59">
        <f t="shared" si="0"/>
        <v>470.00792194721521</v>
      </c>
      <c r="S31" s="59">
        <f ca="1">AVERAGE(OFFSET($R$3,0,0,'Données projet'!$E$9+1,1))-AVERAGE(OFFSET($H$3,0,0,'Données projet'!$E$9+1,1))</f>
        <v>302.99089313578685</v>
      </c>
      <c r="T31" s="59">
        <f t="shared" si="34"/>
        <v>335.51949678160906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18.728369265337076</v>
      </c>
      <c r="AB31" s="21">
        <f>EXP(-LN(2)/2)*AB30+(1-EXP(-LN(2)/2))/(LN(2)/2)*V31*Y31*VLOOKUP('Données projet'!$B$9,Paramètres!$A$1:$I$89,3,0)*0.475*44/12</f>
        <v>14.56588230598039</v>
      </c>
      <c r="AC31" s="22">
        <f t="shared" si="3"/>
        <v>33.294251571317467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60.381765611304665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60.381765611304665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25.6</v>
      </c>
      <c r="BD31" s="12">
        <f>IF('Données projet'!$A$88&gt;35,BD30+BC31-BL30,IF(A31&lt;'Données projet'!$A$88,$BA$205^A31,IF(A31='Données projet'!$A$88,'Données projet'!$B$88,BD30+BC31-BL30)))</f>
        <v>256.80000000000007</v>
      </c>
      <c r="BE31" s="13">
        <f>BD31*VLOOKUP('Données projet'!$B$11,Paramètres!$A$1:$I$89,3,0)*VLOOKUP('Données projet'!$B$11,Paramètres!$A$1:$I$89,5,0)</f>
        <v>103.49040000000002</v>
      </c>
      <c r="BF31" s="13">
        <f t="shared" si="37"/>
        <v>27.791869560921153</v>
      </c>
      <c r="BG31" s="20">
        <f t="shared" si="7"/>
        <v>228.64995281860436</v>
      </c>
      <c r="BH31" s="59">
        <f t="shared" si="8"/>
        <v>484.27198228227701</v>
      </c>
      <c r="BI31" s="59">
        <f ca="1">AVERAGE(OFFSET($BH$3,0,0,'Données projet'!$E$11+1,1))-AVERAGE(OFFSET($H$3,0,0,'Données projet'!$E$11+1,1))</f>
        <v>377.91408971696819</v>
      </c>
      <c r="BJ31" s="59">
        <f t="shared" si="38"/>
        <v>321.68797596002366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4.6775818271472689</v>
      </c>
      <c r="BQ31" s="21">
        <f>EXP(-LN(2)/25)*BQ30+(1-EXP(-LN(2)/25))/(LN(2)/25)*Calculateur!BL31*Calculateur!BN31*VLOOKUP('Données projet'!$B$11,Paramètres!$A$1:$I$89,3,0)*0.475*44/12</f>
        <v>6.7160853904491988</v>
      </c>
      <c r="BR31" s="21">
        <f>EXP(-LN(2)/2)*BR30+(1-EXP(-LN(2)/2))/(LN(2)/2)*BL31*BO31*VLOOKUP('Données projet'!$B$11,Paramètres!$A$1:$I$89,3,0)*0.475*44/12</f>
        <v>3.9162508065224011</v>
      </c>
      <c r="BS31" s="22">
        <f t="shared" si="9"/>
        <v>15.309918024118868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60.381765611304665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60.381765611304665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60.381765611304665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60.381765611304665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60.381765611304665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60.381765611304665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60.381765611304665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3.14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11.513333333333334</v>
      </c>
      <c r="H32" s="67">
        <f t="shared" si="1"/>
        <v>210.61333333333332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60.548620474797843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36</v>
      </c>
      <c r="N32" s="13">
        <f>IF('Données projet'!$A$36&gt;35,N31+M32-V31,IF(A32&lt;'Données projet'!$A$36,$K$205^A32,IF(A32='Données projet'!$A$36,'Données projet'!$B$36,N31+M32-V31)))</f>
        <v>243</v>
      </c>
      <c r="O32" s="13">
        <f>N32*VLOOKUP('Données projet'!$B$9,Paramètres!$A$1:$I$89,3,0)*VLOOKUP('Données projet'!$B$9,Paramètres!$A$1:$I$89,5,0)</f>
        <v>113.72399999999999</v>
      </c>
      <c r="P32" s="13">
        <f t="shared" si="33"/>
        <v>30.206680638130489</v>
      </c>
      <c r="Q32" s="20">
        <f t="shared" si="2"/>
        <v>250.67926877807722</v>
      </c>
      <c r="R32" s="59">
        <f t="shared" si="0"/>
        <v>508.13532163011371</v>
      </c>
      <c r="S32" s="59">
        <f ca="1">AVERAGE(OFFSET($R$3,0,0,'Données projet'!$E$9+1,1))-AVERAGE(OFFSET($H$3,0,0,'Données projet'!$E$9+1,1))</f>
        <v>302.99089313578685</v>
      </c>
      <c r="T32" s="59">
        <f t="shared" si="34"/>
        <v>335.51949678160906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18.216241022894298</v>
      </c>
      <c r="AB32" s="21">
        <f>EXP(-LN(2)/2)*AB31+(1-EXP(-LN(2)/2))/(LN(2)/2)*V32*Y32*VLOOKUP('Données projet'!$B$9,Paramètres!$A$1:$I$89,3,0)*0.475*44/12</f>
        <v>10.299634152523881</v>
      </c>
      <c r="AC32" s="22">
        <f t="shared" si="3"/>
        <v>28.515875175418181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60.548620474797843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60.548620474797843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25.6</v>
      </c>
      <c r="BD32" s="12">
        <f>IF('Données projet'!$A$88&gt;35,BD31+BC32-BL31,IF(A32&lt;'Données projet'!$A$88,$BA$205^A32,IF(A32='Données projet'!$A$88,'Données projet'!$B$88,BD31+BC32-BL31)))</f>
        <v>282.40000000000009</v>
      </c>
      <c r="BE32" s="13">
        <f>BD32*VLOOKUP('Données projet'!$B$11,Paramètres!$A$1:$I$89,3,0)*VLOOKUP('Données projet'!$B$11,Paramètres!$A$1:$I$89,5,0)</f>
        <v>113.80720000000004</v>
      </c>
      <c r="BF32" s="13">
        <f t="shared" si="37"/>
        <v>30.226206554446527</v>
      </c>
      <c r="BG32" s="20">
        <f t="shared" si="7"/>
        <v>250.85818308232777</v>
      </c>
      <c r="BH32" s="59">
        <f t="shared" si="8"/>
        <v>508.31423593436432</v>
      </c>
      <c r="BI32" s="59">
        <f ca="1">AVERAGE(OFFSET($BH$3,0,0,'Données projet'!$E$11+1,1))-AVERAGE(OFFSET($H$3,0,0,'Données projet'!$E$11+1,1))</f>
        <v>377.91408971696819</v>
      </c>
      <c r="BJ32" s="59">
        <f t="shared" si="38"/>
        <v>321.68797596002366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4.5858573005601109</v>
      </c>
      <c r="BQ32" s="21">
        <f>EXP(-LN(2)/25)*BQ31+(1-EXP(-LN(2)/25))/(LN(2)/25)*Calculateur!BL32*Calculateur!BN32*VLOOKUP('Données projet'!$B$11,Paramètres!$A$1:$I$89,3,0)*0.475*44/12</f>
        <v>6.5324336822637843</v>
      </c>
      <c r="BR32" s="21">
        <f>EXP(-LN(2)/2)*BR31+(1-EXP(-LN(2)/2))/(LN(2)/2)*BL32*BO32*VLOOKUP('Données projet'!$B$11,Paramètres!$A$1:$I$89,3,0)*0.475*44/12</f>
        <v>2.7692075021192761</v>
      </c>
      <c r="BS32" s="22">
        <f t="shared" si="9"/>
        <v>13.887498484943171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60.548620474797843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60.548620474797843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60.548620474797843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60.548620474797843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60.548620474797843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60.548620474797843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60.548620474797843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3.14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11.513333333333334</v>
      </c>
      <c r="H33" s="67">
        <f t="shared" si="1"/>
        <v>210.61333333333332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60.712580779441005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36</v>
      </c>
      <c r="N33" s="13">
        <f>IF('Données projet'!$A$36&gt;35,N32+M33-V32,IF(A33&lt;'Données projet'!$A$36,$K$205^A33,IF(A33='Données projet'!$A$36,'Données projet'!$B$36,N32+M33-V32)))</f>
        <v>279</v>
      </c>
      <c r="O33" s="13">
        <f>N33*VLOOKUP('Données projet'!$B$9,Paramètres!$A$1:$I$89,3,0)*VLOOKUP('Données projet'!$B$9,Paramètres!$A$1:$I$89,5,0)</f>
        <v>130.572</v>
      </c>
      <c r="P33" s="13">
        <f t="shared" si="33"/>
        <v>34.128497946598308</v>
      </c>
      <c r="Q33" s="20">
        <f t="shared" si="2"/>
        <v>286.85336725699204</v>
      </c>
      <c r="R33" s="59">
        <f t="shared" si="0"/>
        <v>546.13283011494241</v>
      </c>
      <c r="S33" s="59">
        <f ca="1">AVERAGE(OFFSET($R$3,0,0,'Données projet'!$E$9+1,1))-AVERAGE(OFFSET($H$3,0,0,'Données projet'!$E$9+1,1))</f>
        <v>302.99089313578685</v>
      </c>
      <c r="T33" s="59">
        <f t="shared" si="34"/>
        <v>335.51949678160906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17.718116954172771</v>
      </c>
      <c r="AB33" s="21">
        <f>EXP(-LN(2)/2)*AB32+(1-EXP(-LN(2)/2))/(LN(2)/2)*V33*Y33*VLOOKUP('Données projet'!$B$9,Paramètres!$A$1:$I$89,3,0)*0.475*44/12</f>
        <v>7.2829411529901957</v>
      </c>
      <c r="AC33" s="22">
        <f t="shared" si="3"/>
        <v>25.001058107162969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60.712580779441005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60.712580779441005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308</v>
      </c>
      <c r="BB33" s="12">
        <f>VLOOKUP(A33,'Données projet'!$A$87:$I$107,9,0)</f>
        <v>25.6</v>
      </c>
      <c r="BC33" s="12">
        <f t="array" ref="BC33">INDEX(BB:BB,MIN(IF(ISNUMBER(BB33:BB229),ROW(BB33:BB229),"")))</f>
        <v>25.6</v>
      </c>
      <c r="BD33" s="12">
        <f>IF('Données projet'!$A$88&gt;35,BD32+BC33-BL32,IF(A33&lt;'Données projet'!$A$88,$BA$205^A33,IF(A33='Données projet'!$A$88,'Données projet'!$B$88,BD32+BC33-BL32)))</f>
        <v>308.00000000000011</v>
      </c>
      <c r="BE33" s="13">
        <f>BD33*VLOOKUP('Données projet'!$B$11,Paramètres!$A$1:$I$89,3,0)*VLOOKUP('Données projet'!$B$11,Paramètres!$A$1:$I$89,5,0)</f>
        <v>124.12400000000005</v>
      </c>
      <c r="BF33" s="13">
        <f t="shared" si="37"/>
        <v>32.634954891142527</v>
      </c>
      <c r="BG33" s="20">
        <f t="shared" si="7"/>
        <v>273.02184643540664</v>
      </c>
      <c r="BH33" s="59">
        <f t="shared" si="8"/>
        <v>532.30130929335701</v>
      </c>
      <c r="BI33" s="59">
        <f ca="1">AVERAGE(OFFSET($BH$3,0,0,'Données projet'!$E$11+1,1))-AVERAGE(OFFSET($H$3,0,0,'Données projet'!$E$11+1,1))</f>
        <v>377.91408971696819</v>
      </c>
      <c r="BJ33" s="59">
        <f t="shared" si="38"/>
        <v>321.68797596002366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63</v>
      </c>
      <c r="BM33" s="16">
        <f>IF(ISNA(VLOOKUP(A33,'Données projet'!$A$87:$I$107,5,0)),0%,VLOOKUP(A33,'Données projet'!$A$87:$I$107,5,0)*VLOOKUP('Données projet'!$B$11,Paramètres!$A$1:$I$89,7,0))</f>
        <v>0.13750000000000001</v>
      </c>
      <c r="BN33" s="16">
        <f>IF(ISNA(VLOOKUP(A33,'Données projet'!$A$87:$I$107,6,0)),0%,VLOOKUP(A33,'Données projet'!$A$87:$I$107,6,0)*VLOOKUP('Données projet'!$B$11,Paramètres!$A$1:$I$89,7,0))</f>
        <v>0.20350000000000001</v>
      </c>
      <c r="BO33" s="16">
        <f>IF(ISNA(VLOOKUP(A33,'Données projet'!$A$87:$I$107,7,0)),0%,VLOOKUP(A33,'Données projet'!$A$87:$I$107,7,0))</f>
        <v>0.38</v>
      </c>
      <c r="BP33" s="21">
        <f>EXP(-LN(2)/35)*BP32+(1-EXP(-LN(2)/35))/(LN(2)/35)*BL33*BM33*VLOOKUP('Données projet'!$B$11,Paramètres!$A$1:$I$89,3,0)*0.475*44/12</f>
        <v>9.1269513678766323</v>
      </c>
      <c r="BQ33" s="21">
        <f>EXP(-LN(2)/25)*BQ32+(1-EXP(-LN(2)/25))/(LN(2)/25)*Calculateur!BL33*Calculateur!BN33*VLOOKUP('Données projet'!$B$11,Paramètres!$A$1:$I$89,3,0)*0.475*44/12</f>
        <v>13.1807269856419</v>
      </c>
      <c r="BR33" s="21">
        <f>EXP(-LN(2)/2)*BR32+(1-EXP(-LN(2)/2))/(LN(2)/2)*BL33*BO33*VLOOKUP('Données projet'!$B$11,Paramètres!$A$1:$I$89,3,0)*0.475*44/12</f>
        <v>12.881698807982989</v>
      </c>
      <c r="BS33" s="22">
        <f t="shared" si="9"/>
        <v>35.189377161501525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60.712580779441005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60.712580779441005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60.712580779441005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60.712580779441005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60.712580779441005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60.712580779441005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60.712580779441005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3.14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11.513333333333334</v>
      </c>
      <c r="H34" s="67">
        <f t="shared" si="1"/>
        <v>210.61333333333332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60.873696739358927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>
        <f>VLOOKUP(A34,'Données projet'!$A$35:$I$55,2,0)</f>
        <v>315</v>
      </c>
      <c r="L34" s="12">
        <f>VLOOKUP(A34,'Données projet'!$A$35:$I$55,9,0)</f>
        <v>36</v>
      </c>
      <c r="M34" s="12">
        <f t="array" ref="M34">INDEX(L:L,MIN(IF(ISNUMBER(L34:L230),ROW(L34:L230),"")))</f>
        <v>36</v>
      </c>
      <c r="N34" s="13">
        <f>IF('Données projet'!$A$36&gt;35,N33+M34-V33,IF(A34&lt;'Données projet'!$A$36,$K$205^A34,IF(A34='Données projet'!$A$36,'Données projet'!$B$36,N33+M34-V33)))</f>
        <v>315</v>
      </c>
      <c r="O34" s="13">
        <f>N34*VLOOKUP('Données projet'!$B$9,Paramètres!$A$1:$I$89,3,0)*VLOOKUP('Données projet'!$B$9,Paramètres!$A$1:$I$89,5,0)</f>
        <v>147.41999999999999</v>
      </c>
      <c r="P34" s="13">
        <f t="shared" si="33"/>
        <v>37.991680647570291</v>
      </c>
      <c r="Q34" s="20">
        <f t="shared" si="2"/>
        <v>322.92534379451826</v>
      </c>
      <c r="R34" s="59">
        <f t="shared" si="0"/>
        <v>582.7955651721677</v>
      </c>
      <c r="S34" s="59">
        <f ca="1">AVERAGE(OFFSET($R$3,0,0,'Données projet'!$E$9+1,1))-AVERAGE(OFFSET($H$3,0,0,'Données projet'!$E$9+1,1))</f>
        <v>302.99089313578685</v>
      </c>
      <c r="T34" s="59">
        <f t="shared" si="34"/>
        <v>335.51949678160906</v>
      </c>
      <c r="U34" s="15">
        <f>IF(ISNA(VLOOKUP(A34,'Données projet'!$A$35:$I$55,3,0)),0,VLOOKUP(A34,'Données projet'!$A$35:$I$55,3,0))</f>
        <v>3</v>
      </c>
      <c r="V34" s="15">
        <f>IF(ISNA(VLOOKUP(A34,'Données projet'!$A$35:$I$55,4,0)),0,VLOOKUP(A34,'Données projet'!$A$35:$I$55,4,0))</f>
        <v>57</v>
      </c>
      <c r="W34" s="16">
        <f>IF(ISNA(VLOOKUP(A34,'Données projet'!$A$35:$I$55,5,0)),0%,VLOOKUP(A34,'Données projet'!$A$35:$I$55,5,0)*VLOOKUP('Données projet'!$B$9,Paramètres!$A$1:$I$89,7,0))</f>
        <v>0.1925</v>
      </c>
      <c r="X34" s="16">
        <f>IF(ISNA(VLOOKUP(A34,'Données projet'!$A$35:$I$55,6,0)),0%,VLOOKUP(A34,'Données projet'!$A$35:$I$55,6,0)*VLOOKUP('Données projet'!$B$9,Paramètres!$A$1:$I$89,7,0))</f>
        <v>8.2500000000000004E-2</v>
      </c>
      <c r="Y34" s="16">
        <f>IF(ISNA(VLOOKUP(A34,'Données projet'!$A$35:$I$55,7,0)),0%,VLOOKUP(A34,'Données projet'!$A$35:$I$55,7,0))</f>
        <v>0.15</v>
      </c>
      <c r="Z34" s="21">
        <f>EXP(-LN(2)/35)*Z33+(1-EXP(-LN(2)/35))/(LN(2)/35)*V34*W34*VLOOKUP('Données projet'!$B$9,Paramètres!$A$1:$I$89,3,0)*0.475*44/12</f>
        <v>6.8120809320612459</v>
      </c>
      <c r="AA34" s="21">
        <f>EXP(-LN(2)/25)*AA33+(1-EXP(-LN(2)/25))/(LN(2)/25)*Calculateur!V34*Calculateur!X34*VLOOKUP('Données projet'!$B$9,Paramètres!$A$1:$I$89,3,0)*0.475*44/12</f>
        <v>20.141582331659382</v>
      </c>
      <c r="AB34" s="21">
        <f>EXP(-LN(2)/2)*AB33+(1-EXP(-LN(2)/2))/(LN(2)/2)*V34*Y34*VLOOKUP('Données projet'!$B$9,Paramètres!$A$1:$I$89,3,0)*0.475*44/12</f>
        <v>9.6803313915843408</v>
      </c>
      <c r="AC34" s="22">
        <f t="shared" si="3"/>
        <v>36.633994655304967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60.873696739358927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60.873696739358927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26.2</v>
      </c>
      <c r="BD34" s="12">
        <f>IF('Données projet'!$A$88&gt;35,BD33+BC34-BL33,IF(A34&lt;'Données projet'!$A$88,$BA$205^A34,IF(A34='Données projet'!$A$88,'Données projet'!$B$88,BD33+BC34-BL33)))</f>
        <v>271.2000000000001</v>
      </c>
      <c r="BE34" s="13">
        <f>BD34*VLOOKUP('Données projet'!$B$11,Paramètres!$A$1:$I$89,3,0)*VLOOKUP('Données projet'!$B$11,Paramètres!$A$1:$I$89,5,0)</f>
        <v>109.29360000000004</v>
      </c>
      <c r="BF34" s="13">
        <f t="shared" si="37"/>
        <v>29.16448886924675</v>
      </c>
      <c r="BG34" s="20">
        <f t="shared" si="7"/>
        <v>241.14783811393809</v>
      </c>
      <c r="BH34" s="59">
        <f t="shared" si="8"/>
        <v>501.01805949158756</v>
      </c>
      <c r="BI34" s="59">
        <f ca="1">AVERAGE(OFFSET($BH$3,0,0,'Données projet'!$E$11+1,1))-AVERAGE(OFFSET($H$3,0,0,'Données projet'!$E$11+1,1))</f>
        <v>377.91408971696819</v>
      </c>
      <c r="BJ34" s="59">
        <f t="shared" si="38"/>
        <v>321.68797596002366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8.9479774184432213</v>
      </c>
      <c r="BQ34" s="21">
        <f>EXP(-LN(2)/25)*BQ33+(1-EXP(-LN(2)/25))/(LN(2)/25)*Calculateur!BL34*Calculateur!BN34*VLOOKUP('Données projet'!$B$11,Paramètres!$A$1:$I$89,3,0)*0.475*44/12</f>
        <v>12.820299313075216</v>
      </c>
      <c r="BR34" s="21">
        <f>EXP(-LN(2)/2)*BR33+(1-EXP(-LN(2)/2))/(LN(2)/2)*BL34*BO34*VLOOKUP('Données projet'!$B$11,Paramètres!$A$1:$I$89,3,0)*0.475*44/12</f>
        <v>9.108736580327438</v>
      </c>
      <c r="BS34" s="22">
        <f t="shared" si="9"/>
        <v>30.877013311845875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60.873696739358927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60.873696739358927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60.873696739358927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60.873696739358927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60.873696739358927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60.873696739358927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60.873696739358927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3.14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11.513333333333334</v>
      </c>
      <c r="H35" s="67">
        <f t="shared" si="1"/>
        <v>210.61333333333332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61.032017697573608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37.5</v>
      </c>
      <c r="N35" s="13">
        <f>IF('Données projet'!$A$36&gt;35,N34+M35-V34,IF(A35&lt;'Données projet'!$A$36,$K$205^A35,IF(A35='Données projet'!$A$36,'Données projet'!$B$36,N34+M35-V34)))</f>
        <v>295.5</v>
      </c>
      <c r="O35" s="13">
        <f>N35*VLOOKUP('Données projet'!$B$9,Paramètres!$A$1:$I$89,3,0)*VLOOKUP('Données projet'!$B$9,Paramètres!$A$1:$I$89,5,0)</f>
        <v>138.29400000000001</v>
      </c>
      <c r="P35" s="13">
        <f t="shared" si="33"/>
        <v>35.905906413030237</v>
      </c>
      <c r="Q35" s="20">
        <f t="shared" ref="Q35:Q66" si="53">(O35+P35)*0.475*44/12</f>
        <v>303.39817033602765</v>
      </c>
      <c r="R35" s="59">
        <f t="shared" si="0"/>
        <v>563.84890189379757</v>
      </c>
      <c r="S35" s="59">
        <f ca="1">AVERAGE(OFFSET($R$3,0,0,'Données projet'!$E$9+1,1))-AVERAGE(OFFSET($H$3,0,0,'Données projet'!$E$9+1,1))</f>
        <v>302.99089313578685</v>
      </c>
      <c r="T35" s="59">
        <f t="shared" si="34"/>
        <v>335.51949678160906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6.6785001799426249</v>
      </c>
      <c r="AA35" s="21">
        <f>EXP(-LN(2)/25)*AA34+(1-EXP(-LN(2)/25))/(LN(2)/25)*Calculateur!V35*Calculateur!X35*VLOOKUP('Données projet'!$B$9,Paramètres!$A$1:$I$89,3,0)*0.475*44/12</f>
        <v>19.590809703600375</v>
      </c>
      <c r="AB35" s="21">
        <f>EXP(-LN(2)/2)*AB34+(1-EXP(-LN(2)/2))/(LN(2)/2)*V35*Y35*VLOOKUP('Données projet'!$B$9,Paramètres!$A$1:$I$89,3,0)*0.475*44/12</f>
        <v>6.8450279711222963</v>
      </c>
      <c r="AC35" s="22">
        <f t="shared" si="3"/>
        <v>33.114337854665294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61.032017697573608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61.032017697573608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26.2</v>
      </c>
      <c r="BD35" s="12">
        <f>IF('Données projet'!$A$88&gt;35,BD34+BC35-BL34,IF(A35&lt;'Données projet'!$A$88,$BA$205^A35,IF(A35='Données projet'!$A$88,'Données projet'!$B$88,BD34+BC35-BL34)))</f>
        <v>297.40000000000009</v>
      </c>
      <c r="BE35" s="13">
        <f>BD35*VLOOKUP('Données projet'!$B$11,Paramètres!$A$1:$I$89,3,0)*VLOOKUP('Données projet'!$B$11,Paramètres!$A$1:$I$89,5,0)</f>
        <v>119.85220000000004</v>
      </c>
      <c r="BF35" s="13">
        <f t="shared" si="37"/>
        <v>31.64052489909043</v>
      </c>
      <c r="BG35" s="20">
        <f t="shared" si="7"/>
        <v>263.8498291992492</v>
      </c>
      <c r="BH35" s="59">
        <f t="shared" si="8"/>
        <v>524.30056075701907</v>
      </c>
      <c r="BI35" s="59">
        <f ca="1">AVERAGE(OFFSET($BH$3,0,0,'Données projet'!$E$11+1,1))-AVERAGE(OFFSET($H$3,0,0,'Données projet'!$E$11+1,1))</f>
        <v>377.91408971696819</v>
      </c>
      <c r="BJ35" s="59">
        <f t="shared" si="38"/>
        <v>321.68797596002366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8.7725130389948696</v>
      </c>
      <c r="BQ35" s="21">
        <f>EXP(-LN(2)/25)*BQ34+(1-EXP(-LN(2)/25))/(LN(2)/25)*Calculateur!BL35*Calculateur!BN35*VLOOKUP('Données projet'!$B$11,Paramètres!$A$1:$I$89,3,0)*0.475*44/12</f>
        <v>12.469727554168934</v>
      </c>
      <c r="BR35" s="21">
        <f>EXP(-LN(2)/2)*BR34+(1-EXP(-LN(2)/2))/(LN(2)/2)*BL35*BO35*VLOOKUP('Données projet'!$B$11,Paramètres!$A$1:$I$89,3,0)*0.475*44/12</f>
        <v>6.4408494039914954</v>
      </c>
      <c r="BS35" s="22">
        <f t="shared" si="9"/>
        <v>27.683089997155299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61.032017697573608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61.032017697573608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61.032017697573608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61.032017697573608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61.032017697573608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61.032017697573608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61.032017697573608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3.14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11.513333333333334</v>
      </c>
      <c r="H36" s="67">
        <f t="shared" si="1"/>
        <v>210.61333333333332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61.187592141115893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37.5</v>
      </c>
      <c r="N36" s="13">
        <f>IF('Données projet'!$A$36&gt;35,N35+M36-V35,IF(A36&lt;'Données projet'!$A$36,$K$205^A36,IF(A36='Données projet'!$A$36,'Données projet'!$B$36,N35+M36-V35)))</f>
        <v>333</v>
      </c>
      <c r="O36" s="13">
        <f>N36*VLOOKUP('Données projet'!$B$9,Paramètres!$A$1:$I$89,3,0)*VLOOKUP('Données projet'!$B$9,Paramètres!$A$1:$I$89,5,0)</f>
        <v>155.84399999999999</v>
      </c>
      <c r="P36" s="13">
        <f t="shared" si="33"/>
        <v>39.903687010744221</v>
      </c>
      <c r="Q36" s="20">
        <f t="shared" si="53"/>
        <v>340.92722154371285</v>
      </c>
      <c r="R36" s="59">
        <f t="shared" si="0"/>
        <v>601.9483927278045</v>
      </c>
      <c r="S36" s="59">
        <f ca="1">AVERAGE(OFFSET($R$3,0,0,'Données projet'!$E$9+1,1))-AVERAGE(OFFSET($H$3,0,0,'Données projet'!$E$9+1,1))</f>
        <v>302.99089313578685</v>
      </c>
      <c r="T36" s="59">
        <f t="shared" si="34"/>
        <v>335.51949678160906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6.5475388648968371</v>
      </c>
      <c r="AA36" s="21">
        <f>EXP(-LN(2)/25)*AA35+(1-EXP(-LN(2)/25))/(LN(2)/25)*Calculateur!V36*Calculateur!X36*VLOOKUP('Données projet'!$B$9,Paramètres!$A$1:$I$89,3,0)*0.475*44/12</f>
        <v>19.055097982019515</v>
      </c>
      <c r="AB36" s="21">
        <f>EXP(-LN(2)/2)*AB35+(1-EXP(-LN(2)/2))/(LN(2)/2)*V36*Y36*VLOOKUP('Données projet'!$B$9,Paramètres!$A$1:$I$89,3,0)*0.475*44/12</f>
        <v>4.8401656957921713</v>
      </c>
      <c r="AC36" s="22">
        <f t="shared" si="3"/>
        <v>30.44280254270852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61.187592141115893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61.187592141115893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26.2</v>
      </c>
      <c r="BD36" s="12">
        <f>IF('Données projet'!$A$88&gt;35,BD35+BC36-BL35,IF(A36&lt;'Données projet'!$A$88,$BA$205^A36,IF(A36='Données projet'!$A$88,'Données projet'!$B$88,BD35+BC36-BL35)))</f>
        <v>323.60000000000008</v>
      </c>
      <c r="BE36" s="13">
        <f>BD36*VLOOKUP('Données projet'!$B$11,Paramètres!$A$1:$I$89,3,0)*VLOOKUP('Données projet'!$B$11,Paramètres!$A$1:$I$89,5,0)</f>
        <v>130.41080000000005</v>
      </c>
      <c r="BF36" s="13">
        <f t="shared" si="37"/>
        <v>34.091265713830481</v>
      </c>
      <c r="BG36" s="20">
        <f t="shared" si="7"/>
        <v>286.50776445158812</v>
      </c>
      <c r="BH36" s="59">
        <f t="shared" si="8"/>
        <v>547.52893563567977</v>
      </c>
      <c r="BI36" s="59">
        <f ca="1">AVERAGE(OFFSET($BH$3,0,0,'Données projet'!$E$11+1,1))-AVERAGE(OFFSET($H$3,0,0,'Données projet'!$E$11+1,1))</f>
        <v>377.91408971696819</v>
      </c>
      <c r="BJ36" s="59">
        <f t="shared" si="38"/>
        <v>321.68797596002366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8.6004894090047959</v>
      </c>
      <c r="BQ36" s="21">
        <f>EXP(-LN(2)/25)*BQ35+(1-EXP(-LN(2)/25))/(LN(2)/25)*Calculateur!BL36*Calculateur!BN36*VLOOKUP('Données projet'!$B$11,Paramètres!$A$1:$I$89,3,0)*0.475*44/12</f>
        <v>12.128742198445712</v>
      </c>
      <c r="BR36" s="21">
        <f>EXP(-LN(2)/2)*BR35+(1-EXP(-LN(2)/2))/(LN(2)/2)*BL36*BO36*VLOOKUP('Données projet'!$B$11,Paramètres!$A$1:$I$89,3,0)*0.475*44/12</f>
        <v>4.5543682901637199</v>
      </c>
      <c r="BS36" s="22">
        <f t="shared" si="9"/>
        <v>25.283599897614227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61.187592141115893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61.187592141115893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61.187592141115893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61.187592141115893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61.187592141115893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61.187592141115893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61.187592141115893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3.14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11.513333333333334</v>
      </c>
      <c r="H37" s="67">
        <f t="shared" si="1"/>
        <v>210.61333333333332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61.340467715875072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37.5</v>
      </c>
      <c r="N37" s="13">
        <f>IF('Données projet'!$A$36&gt;35,N36+M37-V36,IF(A37&lt;'Données projet'!$A$36,$K$205^A37,IF(A37='Données projet'!$A$36,'Données projet'!$B$36,N36+M37-V36)))</f>
        <v>370.5</v>
      </c>
      <c r="O37" s="13">
        <f>N37*VLOOKUP('Données projet'!$B$9,Paramètres!$A$1:$I$89,3,0)*VLOOKUP('Données projet'!$B$9,Paramètres!$A$1:$I$89,5,0)</f>
        <v>173.39400000000001</v>
      </c>
      <c r="P37" s="13">
        <f t="shared" si="33"/>
        <v>43.849289930196633</v>
      </c>
      <c r="Q37" s="20">
        <f t="shared" si="53"/>
        <v>378.36539662842574</v>
      </c>
      <c r="R37" s="59">
        <f t="shared" si="0"/>
        <v>639.94711158663426</v>
      </c>
      <c r="S37" s="59">
        <f ca="1">AVERAGE(OFFSET($R$3,0,0,'Données projet'!$E$9+1,1))-AVERAGE(OFFSET($H$3,0,0,'Données projet'!$E$9+1,1))</f>
        <v>302.99089313578685</v>
      </c>
      <c r="T37" s="59">
        <f t="shared" si="34"/>
        <v>335.51949678160906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6.419145621360582</v>
      </c>
      <c r="AA37" s="21">
        <f>EXP(-LN(2)/25)*AA36+(1-EXP(-LN(2)/25))/(LN(2)/25)*Calculateur!V37*Calculateur!X37*VLOOKUP('Données projet'!$B$9,Paramètres!$A$1:$I$89,3,0)*0.475*44/12</f>
        <v>18.534035325637138</v>
      </c>
      <c r="AB37" s="21">
        <f>EXP(-LN(2)/2)*AB36+(1-EXP(-LN(2)/2))/(LN(2)/2)*V37*Y37*VLOOKUP('Données projet'!$B$9,Paramètres!$A$1:$I$89,3,0)*0.475*44/12</f>
        <v>3.4225139855611486</v>
      </c>
      <c r="AC37" s="22">
        <f t="shared" si="3"/>
        <v>28.375694932558869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61.340467715875072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61.340467715875072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26.2</v>
      </c>
      <c r="BD37" s="12">
        <f>IF('Données projet'!$A$88&gt;35,BD36+BC37-BL36,IF(A37&lt;'Données projet'!$A$88,$BA$205^A37,IF(A37='Données projet'!$A$88,'Données projet'!$B$88,BD36+BC37-BL36)))</f>
        <v>349.80000000000007</v>
      </c>
      <c r="BE37" s="13">
        <f>BD37*VLOOKUP('Données projet'!$B$11,Paramètres!$A$1:$I$89,3,0)*VLOOKUP('Données projet'!$B$11,Paramètres!$A$1:$I$89,5,0)</f>
        <v>140.96940000000004</v>
      </c>
      <c r="BF37" s="13">
        <f t="shared" si="37"/>
        <v>36.518992156872528</v>
      </c>
      <c r="BG37" s="20">
        <f t="shared" si="7"/>
        <v>309.12561633988639</v>
      </c>
      <c r="BH37" s="59">
        <f t="shared" si="8"/>
        <v>570.70733129809491</v>
      </c>
      <c r="BI37" s="59">
        <f ca="1">AVERAGE(OFFSET($BH$3,0,0,'Données projet'!$E$11+1,1))-AVERAGE(OFFSET($H$3,0,0,'Données projet'!$E$11+1,1))</f>
        <v>377.91408971696819</v>
      </c>
      <c r="BJ37" s="59">
        <f t="shared" si="38"/>
        <v>321.68797596002366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8.4318390574747735</v>
      </c>
      <c r="BQ37" s="21">
        <f>EXP(-LN(2)/25)*BQ36+(1-EXP(-LN(2)/25))/(LN(2)/25)*Calculateur!BL37*Calculateur!BN37*VLOOKUP('Données projet'!$B$11,Paramètres!$A$1:$I$89,3,0)*0.475*44/12</f>
        <v>11.797081105206383</v>
      </c>
      <c r="BR37" s="21">
        <f>EXP(-LN(2)/2)*BR36+(1-EXP(-LN(2)/2))/(LN(2)/2)*BL37*BO37*VLOOKUP('Données projet'!$B$11,Paramètres!$A$1:$I$89,3,0)*0.475*44/12</f>
        <v>3.2204247019957482</v>
      </c>
      <c r="BS37" s="22">
        <f t="shared" si="9"/>
        <v>23.449344864676902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61.340467715875072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61.340467715875072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61.340467715875072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61.340467715875072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61.340467715875072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61.340467715875072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61.340467715875072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3.14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11.513333333333334</v>
      </c>
      <c r="H38" s="67">
        <f t="shared" si="1"/>
        <v>210.61333333333332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61.49069124119076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408</v>
      </c>
      <c r="L38" s="12">
        <f>VLOOKUP(A38,'Données projet'!$A$35:$I$55,9,0)</f>
        <v>37.5</v>
      </c>
      <c r="M38" s="12">
        <f t="array" ref="M38">INDEX(L:L,MIN(IF(ISNUMBER(L38:L234),ROW(L38:L234),"")))</f>
        <v>37.5</v>
      </c>
      <c r="N38" s="13">
        <f>IF('Données projet'!$A$36&gt;35,N37+M38-V37,IF(A38&lt;'Données projet'!$A$36,$K$205^A38,IF(A38='Données projet'!$A$36,'Données projet'!$B$36,N37+M38-V37)))</f>
        <v>408</v>
      </c>
      <c r="O38" s="13">
        <f>N38*VLOOKUP('Données projet'!$B$9,Paramètres!$A$1:$I$89,3,0)*VLOOKUP('Données projet'!$B$9,Paramètres!$A$1:$I$89,5,0)</f>
        <v>190.94399999999999</v>
      </c>
      <c r="P38" s="13">
        <f t="shared" si="33"/>
        <v>47.748597609826597</v>
      </c>
      <c r="Q38" s="20">
        <f t="shared" si="53"/>
        <v>415.72294083711455</v>
      </c>
      <c r="R38" s="59">
        <f t="shared" si="0"/>
        <v>677.8554753881474</v>
      </c>
      <c r="S38" s="59">
        <f ca="1">AVERAGE(OFFSET($R$3,0,0,'Données projet'!$E$9+1,1))-AVERAGE(OFFSET($H$3,0,0,'Données projet'!$E$9+1,1))</f>
        <v>302.99089313578685</v>
      </c>
      <c r="T38" s="59">
        <f t="shared" si="34"/>
        <v>335.51949678160906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64</v>
      </c>
      <c r="W38" s="16">
        <f>IF(ISNA(VLOOKUP(A38,'Données projet'!$A$35:$I$55,5,0)),0%,VLOOKUP(A38,'Données projet'!$A$35:$I$55,5,0)*VLOOKUP('Données projet'!$B$9,Paramètres!$A$1:$I$89,7,0))</f>
        <v>0.1925</v>
      </c>
      <c r="X38" s="16">
        <f>IF(ISNA(VLOOKUP(A38,'Données projet'!$A$35:$I$55,6,0)),0%,VLOOKUP(A38,'Données projet'!$A$35:$I$55,6,0)*VLOOKUP('Données projet'!$B$9,Paramètres!$A$1:$I$89,7,0))</f>
        <v>8.2500000000000004E-2</v>
      </c>
      <c r="Y38" s="16">
        <f>IF(ISNA(VLOOKUP(A38,'Données projet'!$A$35:$I$55,7,0)),0%,VLOOKUP(A38,'Données projet'!$A$35:$I$55,7,0))</f>
        <v>0.15</v>
      </c>
      <c r="Z38" s="21">
        <f>EXP(-LN(2)/35)*Z37+(1-EXP(-LN(2)/35))/(LN(2)/35)*V38*W38*VLOOKUP('Données projet'!$B$9,Paramètres!$A$1:$I$89,3,0)*0.475*44/12</f>
        <v>13.94192236561301</v>
      </c>
      <c r="AA38" s="21">
        <f>EXP(-LN(2)/25)*AA37+(1-EXP(-LN(2)/25))/(LN(2)/25)*Calculateur!V38*Calculateur!X38*VLOOKUP('Données projet'!$B$9,Paramètres!$A$1:$I$89,3,0)*0.475*44/12</f>
        <v>21.292308276234319</v>
      </c>
      <c r="AB38" s="21">
        <f>EXP(-LN(2)/2)*AB37+(1-EXP(-LN(2)/2))/(LN(2)/2)*V38*Y38*VLOOKUP('Données projet'!$B$9,Paramètres!$A$1:$I$89,3,0)*0.475*44/12</f>
        <v>7.50697611422299</v>
      </c>
      <c r="AC38" s="22">
        <f t="shared" si="3"/>
        <v>42.741206756070326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61.49069124119076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61.49069124119076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376</v>
      </c>
      <c r="BB38" s="12">
        <f>VLOOKUP(A38,'Données projet'!$A$87:$I$107,9,0)</f>
        <v>26.2</v>
      </c>
      <c r="BC38" s="12">
        <f t="array" ref="BC38">INDEX(BB:BB,MIN(IF(ISNUMBER(BB38:BB234),ROW(BB38:BB234),"")))</f>
        <v>26.2</v>
      </c>
      <c r="BD38" s="12">
        <f>IF('Données projet'!$A$88&gt;35,BD37+BC38-BL37,IF(A38&lt;'Données projet'!$A$88,$BA$205^A38,IF(A38='Données projet'!$A$88,'Données projet'!$B$88,BD37+BC38-BL37)))</f>
        <v>376.00000000000006</v>
      </c>
      <c r="BE38" s="13">
        <f>BD38*VLOOKUP('Données projet'!$B$11,Paramètres!$A$1:$I$89,3,0)*VLOOKUP('Données projet'!$B$11,Paramètres!$A$1:$I$89,5,0)</f>
        <v>151.52800000000002</v>
      </c>
      <c r="BF38" s="13">
        <f t="shared" si="37"/>
        <v>38.925624011938403</v>
      </c>
      <c r="BG38" s="20">
        <f t="shared" si="7"/>
        <v>331.70672848745937</v>
      </c>
      <c r="BH38" s="59">
        <f t="shared" si="8"/>
        <v>593.83926303849216</v>
      </c>
      <c r="BI38" s="59">
        <f ca="1">AVERAGE(OFFSET($BH$3,0,0,'Données projet'!$E$11+1,1))-AVERAGE(OFFSET($H$3,0,0,'Données projet'!$E$11+1,1))</f>
        <v>377.91408971696819</v>
      </c>
      <c r="BJ38" s="59">
        <f t="shared" si="38"/>
        <v>321.68797596002366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63</v>
      </c>
      <c r="BM38" s="16">
        <f>IF(ISNA(VLOOKUP(A38,'Données projet'!$A$87:$I$107,5,0)),0%,VLOOKUP(A38,'Données projet'!$A$87:$I$107,5,0)*VLOOKUP('Données projet'!$B$11,Paramètres!$A$1:$I$89,7,0))</f>
        <v>0.13750000000000001</v>
      </c>
      <c r="BN38" s="16">
        <f>IF(ISNA(VLOOKUP(A38,'Données projet'!$A$87:$I$107,6,0)),0%,VLOOKUP(A38,'Données projet'!$A$87:$I$107,6,0)*VLOOKUP('Données projet'!$B$11,Paramètres!$A$1:$I$89,7,0))</f>
        <v>0.20350000000000001</v>
      </c>
      <c r="BO38" s="16">
        <f>IF(ISNA(VLOOKUP(A38,'Données projet'!$A$87:$I$107,7,0)),0%,VLOOKUP(A38,'Données projet'!$A$87:$I$107,7,0))</f>
        <v>0.38</v>
      </c>
      <c r="BP38" s="21">
        <f>EXP(-LN(2)/35)*BP37+(1-EXP(-LN(2)/35))/(LN(2)/35)*BL38*BM38*VLOOKUP('Données projet'!$B$11,Paramètres!$A$1:$I$89,3,0)*0.475*44/12</f>
        <v>12.89751576835544</v>
      </c>
      <c r="BQ38" s="21">
        <f>EXP(-LN(2)/25)*BQ37+(1-EXP(-LN(2)/25))/(LN(2)/25)*Calculateur!BL38*Calculateur!BN38*VLOOKUP('Données projet'!$B$11,Paramètres!$A$1:$I$89,3,0)*0.475*44/12</f>
        <v>18.301412347948357</v>
      </c>
      <c r="BR38" s="21">
        <f>EXP(-LN(2)/2)*BR37+(1-EXP(-LN(2)/2))/(LN(2)/2)*BL38*BO38*VLOOKUP('Données projet'!$B$11,Paramètres!$A$1:$I$89,3,0)*0.475*44/12</f>
        <v>13.200757549803647</v>
      </c>
      <c r="BS38" s="22">
        <f t="shared" si="9"/>
        <v>44.399685666107445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61.49069124119076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61.49069124119076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61.49069124119076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61.49069124119076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61.49069124119076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61.49069124119076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61.49069124119076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3.14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11.513333333333334</v>
      </c>
      <c r="H39" s="67">
        <f t="shared" si="1"/>
        <v>210.61333333333332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61.638308724191717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35.75</v>
      </c>
      <c r="N39" s="13">
        <f>IF('Données projet'!$A$36&gt;35,N38+M39-V38,IF(A39&lt;'Données projet'!$A$36,$K$205^A39,IF(A39='Données projet'!$A$36,'Données projet'!$B$36,N38+M39-V38)))</f>
        <v>379.75</v>
      </c>
      <c r="O39" s="13">
        <f>N39*VLOOKUP('Données projet'!$B$9,Paramètres!$A$1:$I$89,3,0)*VLOOKUP('Données projet'!$B$9,Paramètres!$A$1:$I$89,5,0)</f>
        <v>177.72300000000001</v>
      </c>
      <c r="P39" s="13">
        <f t="shared" si="33"/>
        <v>44.815220883057329</v>
      </c>
      <c r="Q39" s="20">
        <f t="shared" si="53"/>
        <v>387.58740137132486</v>
      </c>
      <c r="R39" s="59">
        <f t="shared" si="0"/>
        <v>650.2612000266945</v>
      </c>
      <c r="S39" s="59">
        <f ca="1">AVERAGE(OFFSET($R$3,0,0,'Données projet'!$E$9+1,1))-AVERAGE(OFFSET($H$3,0,0,'Données projet'!$E$9+1,1))</f>
        <v>302.99089313578685</v>
      </c>
      <c r="T39" s="59">
        <f t="shared" si="34"/>
        <v>335.51949678160906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13.668529771756308</v>
      </c>
      <c r="AA39" s="21">
        <f>EXP(-LN(2)/25)*AA38+(1-EXP(-LN(2)/25))/(LN(2)/25)*Calculateur!V39*Calculateur!X39*VLOOKUP('Données projet'!$B$9,Paramètres!$A$1:$I$89,3,0)*0.475*44/12</f>
        <v>20.710068986706865</v>
      </c>
      <c r="AB39" s="21">
        <f>EXP(-LN(2)/2)*AB38+(1-EXP(-LN(2)/2))/(LN(2)/2)*V39*Y39*VLOOKUP('Données projet'!$B$9,Paramètres!$A$1:$I$89,3,0)*0.475*44/12</f>
        <v>5.3082337165725146</v>
      </c>
      <c r="AC39" s="22">
        <f t="shared" si="3"/>
        <v>39.686832475035686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61.638308724191717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61.638308724191717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25.4</v>
      </c>
      <c r="BD39" s="12">
        <f>IF('Données projet'!$A$88&gt;35,BD38+BC39-BL38,IF(A39&lt;'Données projet'!$A$88,$BA$205^A39,IF(A39='Données projet'!$A$88,'Données projet'!$B$88,BD38+BC39-BL38)))</f>
        <v>338.40000000000003</v>
      </c>
      <c r="BE39" s="13">
        <f>BD39*VLOOKUP('Données projet'!$B$11,Paramètres!$A$1:$I$89,3,0)*VLOOKUP('Données projet'!$B$11,Paramètres!$A$1:$I$89,5,0)</f>
        <v>136.37520000000001</v>
      </c>
      <c r="BF39" s="13">
        <f t="shared" si="37"/>
        <v>35.465351191684015</v>
      </c>
      <c r="BG39" s="20">
        <f t="shared" si="7"/>
        <v>299.28895999218298</v>
      </c>
      <c r="BH39" s="59">
        <f t="shared" si="8"/>
        <v>561.96275864755262</v>
      </c>
      <c r="BI39" s="59">
        <f ca="1">AVERAGE(OFFSET($BH$3,0,0,'Données projet'!$E$11+1,1))-AVERAGE(OFFSET($H$3,0,0,'Données projet'!$E$11+1,1))</f>
        <v>377.91408971696819</v>
      </c>
      <c r="BJ39" s="59">
        <f t="shared" si="38"/>
        <v>321.68797596002366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12.644603350845836</v>
      </c>
      <c r="BQ39" s="21">
        <f>EXP(-LN(2)/25)*BQ38+(1-EXP(-LN(2)/25))/(LN(2)/25)*Calculateur!BL39*Calculateur!BN39*VLOOKUP('Données projet'!$B$11,Paramètres!$A$1:$I$89,3,0)*0.475*44/12</f>
        <v>17.800959264864261</v>
      </c>
      <c r="BR39" s="21">
        <f>EXP(-LN(2)/2)*BR38+(1-EXP(-LN(2)/2))/(LN(2)/2)*BL39*BO39*VLOOKUP('Données projet'!$B$11,Paramètres!$A$1:$I$89,3,0)*0.475*44/12</f>
        <v>9.3343451802656734</v>
      </c>
      <c r="BS39" s="22">
        <f t="shared" si="9"/>
        <v>39.779907795975767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61.638308724191717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61.638308724191717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61.638308724191717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61.638308724191717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61.638308724191717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61.638308724191717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61.638308724191717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3.14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11.513333333333334</v>
      </c>
      <c r="H40" s="67">
        <f t="shared" si="1"/>
        <v>210.61333333333332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61.78336537388585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35.75</v>
      </c>
      <c r="N40" s="13">
        <f>IF('Données projet'!$A$36&gt;35,N39+M40-V39,IF(A40&lt;'Données projet'!$A$36,$K$205^A40,IF(A40='Données projet'!$A$36,'Données projet'!$B$36,N39+M40-V39)))</f>
        <v>415.5</v>
      </c>
      <c r="O40" s="13">
        <f>N40*VLOOKUP('Données projet'!$B$9,Paramètres!$A$1:$I$89,3,0)*VLOOKUP('Données projet'!$B$9,Paramètres!$A$1:$I$89,5,0)</f>
        <v>194.45399999999998</v>
      </c>
      <c r="P40" s="13">
        <f t="shared" si="33"/>
        <v>48.52333711074219</v>
      </c>
      <c r="Q40" s="20">
        <f t="shared" si="53"/>
        <v>423.18552880120927</v>
      </c>
      <c r="R40" s="59">
        <f t="shared" si="0"/>
        <v>686.39120183879072</v>
      </c>
      <c r="S40" s="59">
        <f ca="1">AVERAGE(OFFSET($R$3,0,0,'Données projet'!$E$9+1,1))-AVERAGE(OFFSET($H$3,0,0,'Données projet'!$E$9+1,1))</f>
        <v>302.99089313578685</v>
      </c>
      <c r="T40" s="59">
        <f t="shared" si="34"/>
        <v>335.51949678160906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13.400498239912119</v>
      </c>
      <c r="AA40" s="21">
        <f>EXP(-LN(2)/25)*AA39+(1-EXP(-LN(2)/25))/(LN(2)/25)*Calculateur!V40*Calculateur!X40*VLOOKUP('Données projet'!$B$9,Paramètres!$A$1:$I$89,3,0)*0.475*44/12</f>
        <v>20.143751061170171</v>
      </c>
      <c r="AB40" s="21">
        <f>EXP(-LN(2)/2)*AB39+(1-EXP(-LN(2)/2))/(LN(2)/2)*V40*Y40*VLOOKUP('Données projet'!$B$9,Paramètres!$A$1:$I$89,3,0)*0.475*44/12</f>
        <v>3.7534880571114955</v>
      </c>
      <c r="AC40" s="22">
        <f t="shared" si="3"/>
        <v>37.297737358193785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61.78336537388585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61.78336537388585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25.4</v>
      </c>
      <c r="BD40" s="12">
        <f>IF('Données projet'!$A$88&gt;35,BD39+BC40-BL39,IF(A40&lt;'Données projet'!$A$88,$BA$205^A40,IF(A40='Données projet'!$A$88,'Données projet'!$B$88,BD39+BC40-BL39)))</f>
        <v>363.8</v>
      </c>
      <c r="BE40" s="13">
        <f>BD40*VLOOKUP('Données projet'!$B$11,Paramètres!$A$1:$I$89,3,0)*VLOOKUP('Données projet'!$B$11,Paramètres!$A$1:$I$89,5,0)</f>
        <v>146.6114</v>
      </c>
      <c r="BF40" s="13">
        <f t="shared" si="37"/>
        <v>37.807493024386687</v>
      </c>
      <c r="BG40" s="20">
        <f t="shared" si="7"/>
        <v>321.19623868414016</v>
      </c>
      <c r="BH40" s="59">
        <f t="shared" si="8"/>
        <v>584.4019117217216</v>
      </c>
      <c r="BI40" s="59">
        <f ca="1">AVERAGE(OFFSET($BH$3,0,0,'Données projet'!$E$11+1,1))-AVERAGE(OFFSET($H$3,0,0,'Données projet'!$E$11+1,1))</f>
        <v>377.91408971696819</v>
      </c>
      <c r="BJ40" s="59">
        <f t="shared" si="38"/>
        <v>321.68797596002366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12.396650391582252</v>
      </c>
      <c r="BQ40" s="21">
        <f>EXP(-LN(2)/25)*BQ39+(1-EXP(-LN(2)/25))/(LN(2)/25)*Calculateur!BL40*Calculateur!BN40*VLOOKUP('Données projet'!$B$11,Paramètres!$A$1:$I$89,3,0)*0.475*44/12</f>
        <v>17.314191097654785</v>
      </c>
      <c r="BR40" s="21">
        <f>EXP(-LN(2)/2)*BR39+(1-EXP(-LN(2)/2))/(LN(2)/2)*BL40*BO40*VLOOKUP('Données projet'!$B$11,Paramètres!$A$1:$I$89,3,0)*0.475*44/12</f>
        <v>6.6003787749018246</v>
      </c>
      <c r="BS40" s="22">
        <f t="shared" si="9"/>
        <v>36.311220264138861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61.78336537388585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61.78336537388585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61.78336537388585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61.78336537388585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61.78336537388585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61.78336537388585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61.78336537388585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3.14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11.513333333333334</v>
      </c>
      <c r="H41" s="67">
        <f t="shared" si="1"/>
        <v>210.61333333333332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61.925905615005881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35.75</v>
      </c>
      <c r="N41" s="13">
        <f>IF('Données projet'!$A$36&gt;35,N40+M41-V40,IF(A41&lt;'Données projet'!$A$36,$K$205^A41,IF(A41='Données projet'!$A$36,'Données projet'!$B$36,N40+M41-V40)))</f>
        <v>451.25</v>
      </c>
      <c r="O41" s="13">
        <f>N41*VLOOKUP('Données projet'!$B$9,Paramètres!$A$1:$I$89,3,0)*VLOOKUP('Données projet'!$B$9,Paramètres!$A$1:$I$89,5,0)</f>
        <v>211.185</v>
      </c>
      <c r="P41" s="13">
        <f t="shared" si="33"/>
        <v>52.194453146878672</v>
      </c>
      <c r="Q41" s="20">
        <f t="shared" si="53"/>
        <v>458.71921423081375</v>
      </c>
      <c r="R41" s="59">
        <f t="shared" si="0"/>
        <v>722.44753481916871</v>
      </c>
      <c r="S41" s="59">
        <f ca="1">AVERAGE(OFFSET($R$3,0,0,'Données projet'!$E$9+1,1))-AVERAGE(OFFSET($H$3,0,0,'Données projet'!$E$9+1,1))</f>
        <v>302.99089313578685</v>
      </c>
      <c r="T41" s="59">
        <f t="shared" si="34"/>
        <v>335.51949678160906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13.137722642924302</v>
      </c>
      <c r="AA41" s="21">
        <f>EXP(-LN(2)/25)*AA40+(1-EXP(-LN(2)/25))/(LN(2)/25)*Calculateur!V41*Calculateur!X41*VLOOKUP('Données projet'!$B$9,Paramètres!$A$1:$I$89,3,0)*0.475*44/12</f>
        <v>19.592919129088642</v>
      </c>
      <c r="AB41" s="21">
        <f>EXP(-LN(2)/2)*AB40+(1-EXP(-LN(2)/2))/(LN(2)/2)*V41*Y41*VLOOKUP('Données projet'!$B$9,Paramètres!$A$1:$I$89,3,0)*0.475*44/12</f>
        <v>2.6541168582862578</v>
      </c>
      <c r="AC41" s="22">
        <f t="shared" si="3"/>
        <v>35.384758630299203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61.925905615005881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61.925905615005881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25.4</v>
      </c>
      <c r="BD41" s="12">
        <f>IF('Données projet'!$A$88&gt;35,BD40+BC41-BL40,IF(A41&lt;'Données projet'!$A$88,$BA$205^A41,IF(A41='Données projet'!$A$88,'Données projet'!$B$88,BD40+BC41-BL40)))</f>
        <v>389.2</v>
      </c>
      <c r="BE41" s="13">
        <f>BD41*VLOOKUP('Données projet'!$B$11,Paramètres!$A$1:$I$89,3,0)*VLOOKUP('Données projet'!$B$11,Paramètres!$A$1:$I$89,5,0)</f>
        <v>156.8476</v>
      </c>
      <c r="BF41" s="13">
        <f t="shared" si="37"/>
        <v>40.13066141543748</v>
      </c>
      <c r="BG41" s="20">
        <f t="shared" si="7"/>
        <v>343.07047196522029</v>
      </c>
      <c r="BH41" s="59">
        <f t="shared" si="8"/>
        <v>606.79879255357525</v>
      </c>
      <c r="BI41" s="59">
        <f ca="1">AVERAGE(OFFSET($BH$3,0,0,'Données projet'!$E$11+1,1))-AVERAGE(OFFSET($H$3,0,0,'Données projet'!$E$11+1,1))</f>
        <v>377.91408971696819</v>
      </c>
      <c r="BJ41" s="59">
        <f t="shared" si="38"/>
        <v>321.68797596002366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12.153559638613455</v>
      </c>
      <c r="BQ41" s="21">
        <f>EXP(-LN(2)/25)*BQ40+(1-EXP(-LN(2)/25))/(LN(2)/25)*Calculateur!BL41*Calculateur!BN41*VLOOKUP('Données projet'!$B$11,Paramètres!$A$1:$I$89,3,0)*0.475*44/12</f>
        <v>16.840733631575677</v>
      </c>
      <c r="BR41" s="21">
        <f>EXP(-LN(2)/2)*BR40+(1-EXP(-LN(2)/2))/(LN(2)/2)*BL41*BO41*VLOOKUP('Données projet'!$B$11,Paramètres!$A$1:$I$89,3,0)*0.475*44/12</f>
        <v>4.6671725901328376</v>
      </c>
      <c r="BS41" s="22">
        <f t="shared" si="9"/>
        <v>33.661465860321968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61.925905615005881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61.925905615005881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61.925905615005881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61.925905615005881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61.925905615005881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61.925905615005881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61.925905615005881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3.14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11.513333333333334</v>
      </c>
      <c r="H42" s="67">
        <f t="shared" si="1"/>
        <v>210.61333333333332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62.065973101614716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>
        <f>VLOOKUP(A42,'Données projet'!$A$35:$I$55,2,0)</f>
        <v>487</v>
      </c>
      <c r="L42" s="12">
        <f>VLOOKUP(A42,'Données projet'!$A$35:$I$55,9,0)</f>
        <v>35.75</v>
      </c>
      <c r="M42" s="12">
        <f t="array" ref="M42">INDEX(L:L,MIN(IF(ISNUMBER(L42:L238),ROW(L42:L238),"")))</f>
        <v>35.75</v>
      </c>
      <c r="N42" s="13">
        <f>IF('Données projet'!$A$36&gt;35,N41+M42-V41,IF(A42&lt;'Données projet'!$A$36,$K$205^A42,IF(A42='Données projet'!$A$36,'Données projet'!$B$36,N41+M42-V41)))</f>
        <v>487</v>
      </c>
      <c r="O42" s="13">
        <f>N42*VLOOKUP('Données projet'!$B$9,Paramètres!$A$1:$I$89,3,0)*VLOOKUP('Données projet'!$B$9,Paramètres!$A$1:$I$89,5,0)</f>
        <v>227.916</v>
      </c>
      <c r="P42" s="13">
        <f t="shared" si="33"/>
        <v>55.831833576509503</v>
      </c>
      <c r="Q42" s="20">
        <f t="shared" si="53"/>
        <v>494.19414347908742</v>
      </c>
      <c r="R42" s="59">
        <f t="shared" si="0"/>
        <v>758.43604485167475</v>
      </c>
      <c r="S42" s="59">
        <f ca="1">AVERAGE(OFFSET($R$3,0,0,'Données projet'!$E$9+1,1))-AVERAGE(OFFSET($H$3,0,0,'Données projet'!$E$9+1,1))</f>
        <v>302.99089313578685</v>
      </c>
      <c r="T42" s="59">
        <f t="shared" si="34"/>
        <v>335.51949678160906</v>
      </c>
      <c r="U42" s="15">
        <f>IF(ISNA(VLOOKUP(A42,'Données projet'!$A$35:$I$55,3,0)),0,VLOOKUP(A42,'Données projet'!$A$35:$I$55,3,0))</f>
        <v>5</v>
      </c>
      <c r="V42" s="15">
        <f>IF(ISNA(VLOOKUP(A42,'Données projet'!$A$35:$I$55,4,0)),0,VLOOKUP(A42,'Données projet'!$A$35:$I$55,4,0))</f>
        <v>50</v>
      </c>
      <c r="W42" s="16">
        <f>IF(ISNA(VLOOKUP(A42,'Données projet'!$A$35:$I$55,5,0)),0%,VLOOKUP(A42,'Données projet'!$A$35:$I$55,5,0)*VLOOKUP('Données projet'!$B$9,Paramètres!$A$1:$I$89,7,0))</f>
        <v>0.1925</v>
      </c>
      <c r="X42" s="16">
        <f>IF(ISNA(VLOOKUP(A42,'Données projet'!$A$35:$I$55,6,0)),0%,VLOOKUP(A42,'Données projet'!$A$35:$I$55,6,0)*VLOOKUP('Données projet'!$B$9,Paramètres!$A$1:$I$89,7,0))</f>
        <v>8.2500000000000004E-2</v>
      </c>
      <c r="Y42" s="16">
        <f>IF(ISNA(VLOOKUP(A42,'Données projet'!$A$35:$I$55,7,0)),0%,VLOOKUP(A42,'Données projet'!$A$35:$I$55,7,0))</f>
        <v>0.15</v>
      </c>
      <c r="Z42" s="21">
        <f>EXP(-LN(2)/35)*Z41+(1-EXP(-LN(2)/35))/(LN(2)/35)*V42*W42*VLOOKUP('Données projet'!$B$9,Paramètres!$A$1:$I$89,3,0)*0.475*44/12</f>
        <v>18.855609504643539</v>
      </c>
      <c r="AA42" s="21">
        <f>EXP(-LN(2)/25)*AA41+(1-EXP(-LN(2)/25))/(LN(2)/25)*Calculateur!V42*Calculateur!X42*VLOOKUP('Données projet'!$B$9,Paramètres!$A$1:$I$89,3,0)*0.475*44/12</f>
        <v>21.607999038625067</v>
      </c>
      <c r="AB42" s="21">
        <f>EXP(-LN(2)/2)*AB41+(1-EXP(-LN(2)/2))/(LN(2)/2)*V42*Y42*VLOOKUP('Données projet'!$B$9,Paramètres!$A$1:$I$89,3,0)*0.475*44/12</f>
        <v>5.8508793928736429</v>
      </c>
      <c r="AC42" s="22">
        <f t="shared" si="3"/>
        <v>46.31448793614225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62.065973101614716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62.065973101614716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25.4</v>
      </c>
      <c r="BD42" s="12">
        <f>IF('Données projet'!$A$88&gt;35,BD41+BC42-BL41,IF(A42&lt;'Données projet'!$A$88,$BA$205^A42,IF(A42='Données projet'!$A$88,'Données projet'!$B$88,BD41+BC42-BL41)))</f>
        <v>414.59999999999997</v>
      </c>
      <c r="BE42" s="13">
        <f>BD42*VLOOKUP('Données projet'!$B$11,Paramètres!$A$1:$I$89,3,0)*VLOOKUP('Données projet'!$B$11,Paramètres!$A$1:$I$89,5,0)</f>
        <v>167.0838</v>
      </c>
      <c r="BF42" s="13">
        <f t="shared" si="37"/>
        <v>42.436235526900973</v>
      </c>
      <c r="BG42" s="20">
        <f t="shared" si="7"/>
        <v>364.91406187601916</v>
      </c>
      <c r="BH42" s="59">
        <f t="shared" si="8"/>
        <v>629.15596324860644</v>
      </c>
      <c r="BI42" s="59">
        <f ca="1">AVERAGE(OFFSET($BH$3,0,0,'Données projet'!$E$11+1,1))-AVERAGE(OFFSET($H$3,0,0,'Données projet'!$E$11+1,1))</f>
        <v>377.91408971696819</v>
      </c>
      <c r="BJ42" s="59">
        <f t="shared" si="38"/>
        <v>321.68797596002366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11.915235747039658</v>
      </c>
      <c r="BQ42" s="21">
        <f>EXP(-LN(2)/25)*BQ41+(1-EXP(-LN(2)/25))/(LN(2)/25)*Calculateur!BL42*Calculateur!BN42*VLOOKUP('Données projet'!$B$11,Paramètres!$A$1:$I$89,3,0)*0.475*44/12</f>
        <v>16.380222884804549</v>
      </c>
      <c r="BR42" s="21">
        <f>EXP(-LN(2)/2)*BR41+(1-EXP(-LN(2)/2))/(LN(2)/2)*BL42*BO42*VLOOKUP('Données projet'!$B$11,Paramètres!$A$1:$I$89,3,0)*0.475*44/12</f>
        <v>3.3001893874509127</v>
      </c>
      <c r="BS42" s="22">
        <f t="shared" si="9"/>
        <v>31.595648019295119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62.065973101614716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62.065973101614716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62.065973101614716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62.065973101614716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62.065973101614716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62.065973101614716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62.065973101614716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3.14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11.513333333333334</v>
      </c>
      <c r="H43" s="67">
        <f t="shared" si="1"/>
        <v>210.61333333333332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62.203610730474871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31.8</v>
      </c>
      <c r="N43" s="13">
        <f>IF('Données projet'!$A$36&gt;35,N42+M43-V42,IF(A43&lt;'Données projet'!$A$36,$K$205^A43,IF(A43='Données projet'!$A$36,'Données projet'!$B$36,N42+M43-V42)))</f>
        <v>468.79999999999995</v>
      </c>
      <c r="O43" s="13">
        <f>N43*VLOOKUP('Données projet'!$B$9,Paramètres!$A$1:$I$89,3,0)*VLOOKUP('Données projet'!$B$9,Paramètres!$A$1:$I$89,5,0)</f>
        <v>219.39839999999998</v>
      </c>
      <c r="P43" s="13">
        <f t="shared" si="33"/>
        <v>53.984110102082042</v>
      </c>
      <c r="Q43" s="20">
        <f t="shared" si="53"/>
        <v>476.14120509445956</v>
      </c>
      <c r="R43" s="59">
        <f t="shared" si="0"/>
        <v>740.88777777286737</v>
      </c>
      <c r="S43" s="59">
        <f ca="1">AVERAGE(OFFSET($R$3,0,0,'Données projet'!$E$9+1,1))-AVERAGE(OFFSET($H$3,0,0,'Données projet'!$E$9+1,1))</f>
        <v>302.99089313578685</v>
      </c>
      <c r="T43" s="59">
        <f t="shared" si="34"/>
        <v>335.51949678160906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18.48586250304367</v>
      </c>
      <c r="AA43" s="21">
        <f>EXP(-LN(2)/25)*AA42+(1-EXP(-LN(2)/25))/(LN(2)/25)*Calculateur!V43*Calculateur!X43*VLOOKUP('Données projet'!$B$9,Paramètres!$A$1:$I$89,3,0)*0.475*44/12</f>
        <v>21.017127168598581</v>
      </c>
      <c r="AB43" s="21">
        <f>EXP(-LN(2)/2)*AB42+(1-EXP(-LN(2)/2))/(LN(2)/2)*V43*Y43*VLOOKUP('Données projet'!$B$9,Paramètres!$A$1:$I$89,3,0)*0.475*44/12</f>
        <v>4.1371964946055835</v>
      </c>
      <c r="AC43" s="22">
        <f t="shared" si="3"/>
        <v>43.640186166247837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62.203610730474871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62.203610730474871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440</v>
      </c>
      <c r="BB43" s="12">
        <f>VLOOKUP(A43,'Données projet'!$A$87:$I$107,9,0)</f>
        <v>25.4</v>
      </c>
      <c r="BC43" s="12">
        <f t="array" ref="BC43">INDEX(BB:BB,MIN(IF(ISNUMBER(BB43:BB239),ROW(BB43:BB239),"")))</f>
        <v>25.4</v>
      </c>
      <c r="BD43" s="12">
        <f>IF('Données projet'!$A$88&gt;35,BD42+BC43-BL42,IF(A43&lt;'Données projet'!$A$88,$BA$205^A43,IF(A43='Données projet'!$A$88,'Données projet'!$B$88,BD42+BC43-BL42)))</f>
        <v>439.99999999999994</v>
      </c>
      <c r="BE43" s="13">
        <f>BD43*VLOOKUP('Données projet'!$B$11,Paramètres!$A$1:$I$89,3,0)*VLOOKUP('Données projet'!$B$11,Paramètres!$A$1:$I$89,5,0)</f>
        <v>177.31999999999996</v>
      </c>
      <c r="BF43" s="13">
        <f t="shared" si="37"/>
        <v>44.725415986136291</v>
      </c>
      <c r="BG43" s="20">
        <f t="shared" si="7"/>
        <v>386.72909950918734</v>
      </c>
      <c r="BH43" s="59">
        <f t="shared" si="8"/>
        <v>651.47567218759514</v>
      </c>
      <c r="BI43" s="59">
        <f ca="1">AVERAGE(OFFSET($BH$3,0,0,'Données projet'!$E$11+1,1))-AVERAGE(OFFSET($H$3,0,0,'Données projet'!$E$11+1,1))</f>
        <v>377.91408971696819</v>
      </c>
      <c r="BJ43" s="59">
        <f t="shared" si="38"/>
        <v>321.68797596002366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63</v>
      </c>
      <c r="BM43" s="16">
        <f>IF(ISNA(VLOOKUP(A43,'Données projet'!$A$87:$I$107,5,0)),0%,VLOOKUP(A43,'Données projet'!$A$87:$I$107,5,0)*VLOOKUP('Données projet'!$B$11,Paramètres!$A$1:$I$89,7,0))</f>
        <v>0.13750000000000001</v>
      </c>
      <c r="BN43" s="16">
        <f>IF(ISNA(VLOOKUP(A43,'Données projet'!$A$87:$I$107,6,0)),0%,VLOOKUP(A43,'Données projet'!$A$87:$I$107,6,0)*VLOOKUP('Données projet'!$B$11,Paramètres!$A$1:$I$89,7,0))</f>
        <v>0.20350000000000001</v>
      </c>
      <c r="BO43" s="16">
        <f>IF(ISNA(VLOOKUP(A43,'Données projet'!$A$87:$I$107,7,0)),0%,VLOOKUP(A43,'Données projet'!$A$87:$I$107,7,0))</f>
        <v>0.38</v>
      </c>
      <c r="BP43" s="21">
        <f>EXP(-LN(2)/35)*BP42+(1-EXP(-LN(2)/35))/(LN(2)/35)*BL43*BM43*VLOOKUP('Données projet'!$B$11,Paramètres!$A$1:$I$89,3,0)*0.475*44/12</f>
        <v>16.312605173500145</v>
      </c>
      <c r="BQ43" s="21">
        <f>EXP(-LN(2)/25)*BQ42+(1-EXP(-LN(2)/25))/(LN(2)/25)*Calculateur!BL43*Calculateur!BN43*VLOOKUP('Données projet'!$B$11,Paramètres!$A$1:$I$89,3,0)*0.475*44/12</f>
        <v>22.759227874566459</v>
      </c>
      <c r="BR43" s="21">
        <f>EXP(-LN(2)/2)*BR42+(1-EXP(-LN(2)/2))/(LN(2)/2)*BL43*BO43*VLOOKUP('Données projet'!$B$11,Paramètres!$A$1:$I$89,3,0)*0.475*44/12</f>
        <v>13.257159699788208</v>
      </c>
      <c r="BS43" s="22">
        <f t="shared" si="9"/>
        <v>52.328992747854812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62.203610730474871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62.203610730474871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62.203610730474871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62.203610730474871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62.203610730474871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62.203610730474871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62.203610730474871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3.14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11.513333333333334</v>
      </c>
      <c r="H44" s="67">
        <f t="shared" si="1"/>
        <v>210.61333333333332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62.338860654185943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31.8</v>
      </c>
      <c r="N44" s="13">
        <f>IF('Données projet'!$A$36&gt;35,N43+M44-V43,IF(A44&lt;'Données projet'!$A$36,$K$205^A44,IF(A44='Données projet'!$A$36,'Données projet'!$B$36,N43+M44-V43)))</f>
        <v>500.59999999999997</v>
      </c>
      <c r="O44" s="13">
        <f>N44*VLOOKUP('Données projet'!$B$9,Paramètres!$A$1:$I$89,3,0)*VLOOKUP('Données projet'!$B$9,Paramètres!$A$1:$I$89,5,0)</f>
        <v>234.28079999999997</v>
      </c>
      <c r="P44" s="13">
        <f t="shared" si="33"/>
        <v>57.207294807077886</v>
      </c>
      <c r="Q44" s="20">
        <f t="shared" si="53"/>
        <v>507.67509845566065</v>
      </c>
      <c r="R44" s="59">
        <f t="shared" si="0"/>
        <v>772.91758752100907</v>
      </c>
      <c r="S44" s="59">
        <f ca="1">AVERAGE(OFFSET($R$3,0,0,'Données projet'!$E$9+1,1))-AVERAGE(OFFSET($H$3,0,0,'Données projet'!$E$9+1,1))</f>
        <v>302.99089313578685</v>
      </c>
      <c r="T44" s="59">
        <f t="shared" si="34"/>
        <v>335.51949678160906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18.123366014621769</v>
      </c>
      <c r="AA44" s="21">
        <f>EXP(-LN(2)/25)*AA43+(1-EXP(-LN(2)/25))/(LN(2)/25)*Calculateur!V44*Calculateur!X44*VLOOKUP('Données projet'!$B$9,Paramètres!$A$1:$I$89,3,0)*0.475*44/12</f>
        <v>20.442412720930569</v>
      </c>
      <c r="AB44" s="21">
        <f>EXP(-LN(2)/2)*AB43+(1-EXP(-LN(2)/2))/(LN(2)/2)*V44*Y44*VLOOKUP('Données projet'!$B$9,Paramètres!$A$1:$I$89,3,0)*0.475*44/12</f>
        <v>2.9254396964368219</v>
      </c>
      <c r="AC44" s="22">
        <f t="shared" si="3"/>
        <v>41.491218431989168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62.338860654185943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62.338860654185943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24.2</v>
      </c>
      <c r="BD44" s="12">
        <f>IF('Données projet'!$A$88&gt;35,BD43+BC44-BL43,IF(A44&lt;'Données projet'!$A$88,$BA$205^A44,IF(A44='Données projet'!$A$88,'Données projet'!$B$88,BD43+BC44-BL43)))</f>
        <v>401.19999999999993</v>
      </c>
      <c r="BE44" s="13">
        <f>BD44*VLOOKUP('Données projet'!$B$11,Paramètres!$A$1:$I$89,3,0)*VLOOKUP('Données projet'!$B$11,Paramètres!$A$1:$I$89,5,0)</f>
        <v>161.68359999999996</v>
      </c>
      <c r="BF44" s="13">
        <f t="shared" si="37"/>
        <v>41.222024434987915</v>
      </c>
      <c r="BG44" s="20">
        <f t="shared" si="7"/>
        <v>353.39396255760386</v>
      </c>
      <c r="BH44" s="59">
        <f t="shared" si="8"/>
        <v>618.63645162295234</v>
      </c>
      <c r="BI44" s="59">
        <f ca="1">AVERAGE(OFFSET($BH$3,0,0,'Données projet'!$E$11+1,1))-AVERAGE(OFFSET($H$3,0,0,'Données projet'!$E$11+1,1))</f>
        <v>377.91408971696819</v>
      </c>
      <c r="BJ44" s="59">
        <f t="shared" si="38"/>
        <v>321.68797596002366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15.992724935754511</v>
      </c>
      <c r="BQ44" s="21">
        <f>EXP(-LN(2)/25)*BQ43+(1-EXP(-LN(2)/25))/(LN(2)/25)*Calculateur!BL44*Calculateur!BN44*VLOOKUP('Données projet'!$B$11,Paramètres!$A$1:$I$89,3,0)*0.475*44/12</f>
        <v>22.136875591480663</v>
      </c>
      <c r="BR44" s="21">
        <f>EXP(-LN(2)/2)*BR43+(1-EXP(-LN(2)/2))/(LN(2)/2)*BL44*BO44*VLOOKUP('Données projet'!$B$11,Paramètres!$A$1:$I$89,3,0)*0.475*44/12</f>
        <v>9.374227522993257</v>
      </c>
      <c r="BS44" s="22">
        <f t="shared" si="9"/>
        <v>47.503828050228435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62.338860654185943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62.338860654185943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62.338860654185943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62.338860654185943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62.338860654185943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62.338860654185943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62.338860654185943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3.14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11.513333333333334</v>
      </c>
      <c r="H45" s="67">
        <f t="shared" si="1"/>
        <v>210.61333333333332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62.471764294094164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31.8</v>
      </c>
      <c r="N45" s="13">
        <f>IF('Données projet'!$A$36&gt;35,N44+M45-V44,IF(A45&lt;'Données projet'!$A$36,$K$205^A45,IF(A45='Données projet'!$A$36,'Données projet'!$B$36,N44+M45-V44)))</f>
        <v>532.4</v>
      </c>
      <c r="O45" s="13">
        <f>N45*VLOOKUP('Données projet'!$B$9,Paramètres!$A$1:$I$89,3,0)*VLOOKUP('Données projet'!$B$9,Paramètres!$A$1:$I$89,5,0)</f>
        <v>249.16319999999999</v>
      </c>
      <c r="P45" s="13">
        <f t="shared" si="33"/>
        <v>60.406717776063964</v>
      </c>
      <c r="Q45" s="20">
        <f t="shared" si="53"/>
        <v>539.16760679331139</v>
      </c>
      <c r="R45" s="59">
        <f t="shared" si="0"/>
        <v>804.89740920499003</v>
      </c>
      <c r="S45" s="59">
        <f ca="1">AVERAGE(OFFSET($R$3,0,0,'Données projet'!$E$9+1,1))-AVERAGE(OFFSET($H$3,0,0,'Données projet'!$E$9+1,1))</f>
        <v>302.99089313578685</v>
      </c>
      <c r="T45" s="59">
        <f t="shared" si="34"/>
        <v>335.51949678160906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17.767977861236798</v>
      </c>
      <c r="AA45" s="21">
        <f>EXP(-LN(2)/25)*AA44+(1-EXP(-LN(2)/25))/(LN(2)/25)*Calculateur!V45*Calculateur!X45*VLOOKUP('Données projet'!$B$9,Paramètres!$A$1:$I$89,3,0)*0.475*44/12</f>
        <v>19.883413870056959</v>
      </c>
      <c r="AB45" s="21">
        <f>EXP(-LN(2)/2)*AB44+(1-EXP(-LN(2)/2))/(LN(2)/2)*V45*Y45*VLOOKUP('Données projet'!$B$9,Paramètres!$A$1:$I$89,3,0)*0.475*44/12</f>
        <v>2.0685982473027922</v>
      </c>
      <c r="AC45" s="22">
        <f t="shared" si="3"/>
        <v>39.719989978596551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62.471764294094164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62.471764294094164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24.2</v>
      </c>
      <c r="BD45" s="12">
        <f>IF('Données projet'!$A$88&gt;35,BD44+BC45-BL44,IF(A45&lt;'Données projet'!$A$88,$BA$205^A45,IF(A45='Données projet'!$A$88,'Données projet'!$B$88,BD44+BC45-BL44)))</f>
        <v>425.39999999999992</v>
      </c>
      <c r="BE45" s="13">
        <f>BD45*VLOOKUP('Données projet'!$B$11,Paramètres!$A$1:$I$89,3,0)*VLOOKUP('Données projet'!$B$11,Paramètres!$A$1:$I$89,5,0)</f>
        <v>171.43619999999996</v>
      </c>
      <c r="BF45" s="13">
        <f t="shared" si="37"/>
        <v>43.411526947564191</v>
      </c>
      <c r="BG45" s="20">
        <f t="shared" si="7"/>
        <v>374.19312443367426</v>
      </c>
      <c r="BH45" s="59">
        <f t="shared" si="8"/>
        <v>639.92292684535278</v>
      </c>
      <c r="BI45" s="59">
        <f ca="1">AVERAGE(OFFSET($BH$3,0,0,'Données projet'!$E$11+1,1))-AVERAGE(OFFSET($H$3,0,0,'Données projet'!$E$11+1,1))</f>
        <v>377.91408971696819</v>
      </c>
      <c r="BJ45" s="59">
        <f t="shared" si="38"/>
        <v>321.68797596002366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15.67911735436339</v>
      </c>
      <c r="BQ45" s="21">
        <f>EXP(-LN(2)/25)*BQ44+(1-EXP(-LN(2)/25))/(LN(2)/25)*Calculateur!BL45*Calculateur!BN45*VLOOKUP('Données projet'!$B$11,Paramètres!$A$1:$I$89,3,0)*0.475*44/12</f>
        <v>21.531541564303932</v>
      </c>
      <c r="BR45" s="21">
        <f>EXP(-LN(2)/2)*BR44+(1-EXP(-LN(2)/2))/(LN(2)/2)*BL45*BO45*VLOOKUP('Données projet'!$B$11,Paramètres!$A$1:$I$89,3,0)*0.475*44/12</f>
        <v>6.6285798498941046</v>
      </c>
      <c r="BS45" s="22">
        <f t="shared" si="9"/>
        <v>43.839238768561422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62.471764294094164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62.471764294094164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62.471764294094164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62.471764294094164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62.471764294094164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62.471764294094164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62.471764294094164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3.14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11.513333333333334</v>
      </c>
      <c r="H46" s="67">
        <f t="shared" si="1"/>
        <v>210.61333333333332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62.602362352977998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31.8</v>
      </c>
      <c r="N46" s="13">
        <f>IF('Données projet'!$A$36&gt;35,N45+M46-V45,IF(A46&lt;'Données projet'!$A$36,$K$205^A46,IF(A46='Données projet'!$A$36,'Données projet'!$B$36,N45+M46-V45)))</f>
        <v>564.19999999999993</v>
      </c>
      <c r="O46" s="13">
        <f>N46*VLOOKUP('Données projet'!$B$9,Paramètres!$A$1:$I$89,3,0)*VLOOKUP('Données projet'!$B$9,Paramètres!$A$1:$I$89,5,0)</f>
        <v>264.04559999999998</v>
      </c>
      <c r="P46" s="13">
        <f t="shared" si="33"/>
        <v>63.583959929973737</v>
      </c>
      <c r="Q46" s="20">
        <f t="shared" si="53"/>
        <v>570.62148354470423</v>
      </c>
      <c r="R46" s="59">
        <f t="shared" si="0"/>
        <v>836.83014550562348</v>
      </c>
      <c r="S46" s="59">
        <f ca="1">AVERAGE(OFFSET($R$3,0,0,'Données projet'!$E$9+1,1))-AVERAGE(OFFSET($H$3,0,0,'Données projet'!$E$9+1,1))</f>
        <v>302.99089313578685</v>
      </c>
      <c r="T46" s="59">
        <f t="shared" si="34"/>
        <v>335.51949678160906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17.419558652774334</v>
      </c>
      <c r="AA46" s="21">
        <f>EXP(-LN(2)/25)*AA45+(1-EXP(-LN(2)/25))/(LN(2)/25)*Calculateur!V46*Calculateur!X46*VLOOKUP('Données projet'!$B$9,Paramètres!$A$1:$I$89,3,0)*0.475*44/12</f>
        <v>19.339700872156961</v>
      </c>
      <c r="AB46" s="21">
        <f>EXP(-LN(2)/2)*AB45+(1-EXP(-LN(2)/2))/(LN(2)/2)*V46*Y46*VLOOKUP('Données projet'!$B$9,Paramètres!$A$1:$I$89,3,0)*0.475*44/12</f>
        <v>1.4627198482184114</v>
      </c>
      <c r="AC46" s="22">
        <f t="shared" si="3"/>
        <v>38.221979373149708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62.602362352977998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62.602362352977998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24.2</v>
      </c>
      <c r="BD46" s="12">
        <f>IF('Données projet'!$A$88&gt;35,BD45+BC46-BL45,IF(A46&lt;'Données projet'!$A$88,$BA$205^A46,IF(A46='Données projet'!$A$88,'Données projet'!$B$88,BD45+BC46-BL45)))</f>
        <v>449.59999999999991</v>
      </c>
      <c r="BE46" s="13">
        <f>BD46*VLOOKUP('Données projet'!$B$11,Paramètres!$A$1:$I$89,3,0)*VLOOKUP('Données projet'!$B$11,Paramètres!$A$1:$I$89,5,0)</f>
        <v>181.18879999999999</v>
      </c>
      <c r="BF46" s="13">
        <f t="shared" si="37"/>
        <v>45.586570850400619</v>
      </c>
      <c r="BG46" s="20">
        <f t="shared" si="7"/>
        <v>394.96710423111443</v>
      </c>
      <c r="BH46" s="59">
        <f t="shared" si="8"/>
        <v>661.17576619203373</v>
      </c>
      <c r="BI46" s="59">
        <f ca="1">AVERAGE(OFFSET($BH$3,0,0,'Données projet'!$E$11+1,1))-AVERAGE(OFFSET($H$3,0,0,'Données projet'!$E$11+1,1))</f>
        <v>377.91408971696819</v>
      </c>
      <c r="BJ46" s="59">
        <f t="shared" si="38"/>
        <v>321.68797596002366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15.37165942636161</v>
      </c>
      <c r="BQ46" s="21">
        <f>EXP(-LN(2)/25)*BQ45+(1-EXP(-LN(2)/25))/(LN(2)/25)*Calculateur!BL46*Calculateur!BN46*VLOOKUP('Données projet'!$B$11,Paramètres!$A$1:$I$89,3,0)*0.475*44/12</f>
        <v>20.942760427933482</v>
      </c>
      <c r="BR46" s="21">
        <f>EXP(-LN(2)/2)*BR45+(1-EXP(-LN(2)/2))/(LN(2)/2)*BL46*BO46*VLOOKUP('Données projet'!$B$11,Paramètres!$A$1:$I$89,3,0)*0.475*44/12</f>
        <v>4.6871137614966294</v>
      </c>
      <c r="BS46" s="22">
        <f t="shared" si="9"/>
        <v>41.001533615791729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62.602362352977998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62.602362352977998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62.602362352977998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62.602362352977998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62.602362352977998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62.602362352977998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62.602362352977998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3.14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11.513333333333334</v>
      </c>
      <c r="H47" s="67">
        <f t="shared" si="1"/>
        <v>210.61333333333332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62.730694827513716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596</v>
      </c>
      <c r="L47" s="12">
        <f>VLOOKUP(A47,'Données projet'!$A$35:$I$55,9,0)</f>
        <v>31.8</v>
      </c>
      <c r="M47" s="12">
        <f t="array" ref="M47">INDEX(L:L,MIN(IF(ISNUMBER(L47:L243),ROW(L47:L243),"")))</f>
        <v>31.8</v>
      </c>
      <c r="N47" s="13">
        <f>IF('Données projet'!$A$36&gt;35,N46+M47-V46,IF(A47&lt;'Données projet'!$A$36,$K$205^A47,IF(A47='Données projet'!$A$36,'Données projet'!$B$36,N46+M47-V46)))</f>
        <v>595.99999999999989</v>
      </c>
      <c r="O47" s="13">
        <f>N47*VLOOKUP('Données projet'!$B$9,Paramètres!$A$1:$I$89,3,0)*VLOOKUP('Données projet'!$B$9,Paramètres!$A$1:$I$89,5,0)</f>
        <v>278.92799999999994</v>
      </c>
      <c r="P47" s="13">
        <f t="shared" si="33"/>
        <v>66.740413913415367</v>
      </c>
      <c r="Q47" s="20">
        <f t="shared" si="53"/>
        <v>602.03915423253159</v>
      </c>
      <c r="R47" s="59">
        <f t="shared" si="0"/>
        <v>868.71836860008193</v>
      </c>
      <c r="S47" s="59">
        <f ca="1">AVERAGE(OFFSET($R$3,0,0,'Données projet'!$E$9+1,1))-AVERAGE(OFFSET($H$3,0,0,'Données projet'!$E$9+1,1))</f>
        <v>302.99089313578685</v>
      </c>
      <c r="T47" s="59">
        <f t="shared" si="34"/>
        <v>335.51949678160906</v>
      </c>
      <c r="U47" s="15">
        <f>IF(ISNA(VLOOKUP(A47,'Données projet'!$A$35:$I$55,3,0)),0,VLOOKUP(A47,'Données projet'!$A$35:$I$55,3,0))</f>
        <v>6</v>
      </c>
      <c r="V47" s="15">
        <f>IF(ISNA(VLOOKUP(A47,'Données projet'!$A$35:$I$55,4,0)),0,VLOOKUP(A47,'Données projet'!$A$35:$I$55,4,0))</f>
        <v>57</v>
      </c>
      <c r="W47" s="16">
        <f>IF(ISNA(VLOOKUP(A47,'Données projet'!$A$35:$I$55,5,0)),0%,VLOOKUP(A47,'Données projet'!$A$35:$I$55,5,0)*VLOOKUP('Données projet'!$B$9,Paramètres!$A$1:$I$89,7,0))</f>
        <v>0.1925</v>
      </c>
      <c r="X47" s="16">
        <f>IF(ISNA(VLOOKUP(A47,'Données projet'!$A$35:$I$55,6,0)),0%,VLOOKUP(A47,'Données projet'!$A$35:$I$55,6,0)*VLOOKUP('Données projet'!$B$9,Paramètres!$A$1:$I$89,7,0))</f>
        <v>8.2500000000000004E-2</v>
      </c>
      <c r="Y47" s="16">
        <f>IF(ISNA(VLOOKUP(A47,'Données projet'!$A$35:$I$55,7,0)),0%,VLOOKUP(A47,'Données projet'!$A$35:$I$55,7,0))</f>
        <v>0.15</v>
      </c>
      <c r="Z47" s="21">
        <f>EXP(-LN(2)/35)*Z46+(1-EXP(-LN(2)/35))/(LN(2)/35)*V47*W47*VLOOKUP('Données projet'!$B$9,Paramètres!$A$1:$I$89,3,0)*0.475*44/12</f>
        <v>23.890052664536334</v>
      </c>
      <c r="AA47" s="21">
        <f>EXP(-LN(2)/25)*AA46+(1-EXP(-LN(2)/25))/(LN(2)/25)*Calculateur!V47*Calculateur!X47*VLOOKUP('Données projet'!$B$9,Paramètres!$A$1:$I$89,3,0)*0.475*44/12</f>
        <v>21.718823952130901</v>
      </c>
      <c r="AB47" s="21">
        <f>EXP(-LN(2)/2)*AB46+(1-EXP(-LN(2)/2))/(LN(2)/2)*V47*Y47*VLOOKUP('Données projet'!$B$9,Paramètres!$A$1:$I$89,3,0)*0.475*44/12</f>
        <v>5.5648134389737969</v>
      </c>
      <c r="AC47" s="22">
        <f t="shared" si="3"/>
        <v>51.173690055641032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62.730694827513716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62.730694827513716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24.2</v>
      </c>
      <c r="BD47" s="12">
        <f>IF('Données projet'!$A$88&gt;35,BD46+BC47-BL46,IF(A47&lt;'Données projet'!$A$88,$BA$205^A47,IF(A47='Données projet'!$A$88,'Données projet'!$B$88,BD46+BC47-BL46)))</f>
        <v>473.7999999999999</v>
      </c>
      <c r="BE47" s="13">
        <f>BD47*VLOOKUP('Données projet'!$B$11,Paramètres!$A$1:$I$89,3,0)*VLOOKUP('Données projet'!$B$11,Paramètres!$A$1:$I$89,5,0)</f>
        <v>190.94139999999996</v>
      </c>
      <c r="BF47" s="13">
        <f t="shared" si="37"/>
        <v>47.748023117802013</v>
      </c>
      <c r="BG47" s="20">
        <f t="shared" si="7"/>
        <v>415.71741193017169</v>
      </c>
      <c r="BH47" s="59">
        <f t="shared" si="8"/>
        <v>682.39662629772192</v>
      </c>
      <c r="BI47" s="59">
        <f ca="1">AVERAGE(OFFSET($BH$3,0,0,'Données projet'!$E$11+1,1))-AVERAGE(OFFSET($H$3,0,0,'Données projet'!$E$11+1,1))</f>
        <v>377.91408971696819</v>
      </c>
      <c r="BJ47" s="59">
        <f t="shared" si="38"/>
        <v>321.68797596002366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15.070230560797127</v>
      </c>
      <c r="BQ47" s="21">
        <f>EXP(-LN(2)/25)*BQ46+(1-EXP(-LN(2)/25))/(LN(2)/25)*Calculateur!BL47*Calculateur!BN47*VLOOKUP('Données projet'!$B$11,Paramètres!$A$1:$I$89,3,0)*0.475*44/12</f>
        <v>20.370079542699735</v>
      </c>
      <c r="BR47" s="21">
        <f>EXP(-LN(2)/2)*BR46+(1-EXP(-LN(2)/2))/(LN(2)/2)*BL47*BO47*VLOOKUP('Données projet'!$B$11,Paramètres!$A$1:$I$89,3,0)*0.475*44/12</f>
        <v>3.3142899249470532</v>
      </c>
      <c r="BS47" s="22">
        <f t="shared" si="9"/>
        <v>38.754600028443917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62.730694827513716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62.730694827513716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62.730694827513716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62.730694827513716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62.730694827513716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62.730694827513716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62.730694827513716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3.14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11.513333333333334</v>
      </c>
      <c r="H48" s="67">
        <f t="shared" si="1"/>
        <v>210.61333333333332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62.856801020524678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26.333333333333332</v>
      </c>
      <c r="N48" s="13">
        <f>IF('Données projet'!$A$36&gt;35,N47+M48-V47,IF(A48&lt;'Données projet'!$A$36,$K$205^A48,IF(A48='Données projet'!$A$36,'Données projet'!$B$36,N47+M48-V47)))</f>
        <v>565.33333333333326</v>
      </c>
      <c r="O48" s="13">
        <f>N48*VLOOKUP('Données projet'!$B$9,Paramètres!$A$1:$I$89,3,0)*VLOOKUP('Données projet'!$B$9,Paramètres!$A$1:$I$89,5,0)</f>
        <v>264.57599999999996</v>
      </c>
      <c r="P48" s="13">
        <f t="shared" si="33"/>
        <v>63.696803579002321</v>
      </c>
      <c r="Q48" s="20">
        <f t="shared" si="53"/>
        <v>571.74179956676232</v>
      </c>
      <c r="R48" s="59">
        <f t="shared" si="0"/>
        <v>838.88340330868618</v>
      </c>
      <c r="S48" s="59">
        <f ca="1">AVERAGE(OFFSET($R$3,0,0,'Données projet'!$E$9+1,1))-AVERAGE(OFFSET($H$3,0,0,'Données projet'!$E$9+1,1))</f>
        <v>302.99089313578685</v>
      </c>
      <c r="T48" s="59">
        <f t="shared" si="34"/>
        <v>335.51949678160906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23.421583303278087</v>
      </c>
      <c r="AA48" s="21">
        <f>EXP(-LN(2)/25)*AA47+(1-EXP(-LN(2)/25))/(LN(2)/25)*Calculateur!V48*Calculateur!X48*VLOOKUP('Données projet'!$B$9,Paramètres!$A$1:$I$89,3,0)*0.475*44/12</f>
        <v>21.124921569016568</v>
      </c>
      <c r="AB48" s="21">
        <f>EXP(-LN(2)/2)*AB47+(1-EXP(-LN(2)/2))/(LN(2)/2)*V48*Y48*VLOOKUP('Données projet'!$B$9,Paramètres!$A$1:$I$89,3,0)*0.475*44/12</f>
        <v>3.9349173187364039</v>
      </c>
      <c r="AC48" s="22">
        <f t="shared" si="3"/>
        <v>48.481422191031058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62.856801020524678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62.856801020524678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498</v>
      </c>
      <c r="BB48" s="12">
        <f>VLOOKUP(A48,'Données projet'!$A$87:$I$107,9,0)</f>
        <v>24.2</v>
      </c>
      <c r="BC48" s="12">
        <f t="array" ref="BC48">INDEX(BB:BB,MIN(IF(ISNUMBER(BB48:BB244),ROW(BB48:BB244),"")))</f>
        <v>24.2</v>
      </c>
      <c r="BD48" s="12">
        <f>IF('Données projet'!$A$88&gt;35,BD47+BC48-BL47,IF(A48&lt;'Données projet'!$A$88,$BA$205^A48,IF(A48='Données projet'!$A$88,'Données projet'!$B$88,BD47+BC48-BL47)))</f>
        <v>497.99999999999989</v>
      </c>
      <c r="BE48" s="13">
        <f>BD48*VLOOKUP('Données projet'!$B$11,Paramètres!$A$1:$I$89,3,0)*VLOOKUP('Données projet'!$B$11,Paramètres!$A$1:$I$89,5,0)</f>
        <v>200.69399999999996</v>
      </c>
      <c r="BF48" s="13">
        <f t="shared" si="37"/>
        <v>49.896657157731141</v>
      </c>
      <c r="BG48" s="20">
        <f t="shared" si="7"/>
        <v>436.44539454971499</v>
      </c>
      <c r="BH48" s="59">
        <f t="shared" si="8"/>
        <v>703.58699829163879</v>
      </c>
      <c r="BI48" s="59">
        <f ca="1">AVERAGE(OFFSET($BH$3,0,0,'Données projet'!$E$11+1,1))-AVERAGE(OFFSET($H$3,0,0,'Données projet'!$E$11+1,1))</f>
        <v>377.91408971696819</v>
      </c>
      <c r="BJ48" s="59">
        <f t="shared" si="38"/>
        <v>321.68797596002366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63</v>
      </c>
      <c r="BM48" s="16">
        <f>IF(ISNA(VLOOKUP(A48,'Données projet'!$A$87:$I$107,5,0)),0%,VLOOKUP(A48,'Données projet'!$A$87:$I$107,5,0)*VLOOKUP('Données projet'!$B$11,Paramètres!$A$1:$I$89,7,0))</f>
        <v>0.33</v>
      </c>
      <c r="BN48" s="16">
        <f>IF(ISNA(VLOOKUP(A48,'Données projet'!$A$87:$I$107,6,0)),0%,VLOOKUP(A48,'Données projet'!$A$87:$I$107,6,0)*VLOOKUP('Données projet'!$B$11,Paramètres!$A$1:$I$89,7,0))</f>
        <v>0.11000000000000001</v>
      </c>
      <c r="BO48" s="16">
        <f>IF(ISNA(VLOOKUP(A48,'Données projet'!$A$87:$I$107,7,0)),0%,VLOOKUP(A48,'Données projet'!$A$87:$I$107,7,0))</f>
        <v>0.2</v>
      </c>
      <c r="BP48" s="21">
        <f>EXP(-LN(2)/35)*BP47+(1-EXP(-LN(2)/35))/(LN(2)/35)*BL48*BM48*VLOOKUP('Données projet'!$B$11,Paramètres!$A$1:$I$89,3,0)*0.475*44/12</f>
        <v>25.889160367953892</v>
      </c>
      <c r="BQ48" s="21">
        <f>EXP(-LN(2)/25)*BQ47+(1-EXP(-LN(2)/25))/(LN(2)/25)*Calculateur!BL48*Calculateur!BN48*VLOOKUP('Données projet'!$B$11,Paramètres!$A$1:$I$89,3,0)*0.475*44/12</f>
        <v>23.503287319872669</v>
      </c>
      <c r="BR48" s="21">
        <f>EXP(-LN(2)/2)*BR47+(1-EXP(-LN(2)/2))/(LN(2)/2)*BL48*BO48*VLOOKUP('Données projet'!$B$11,Paramètres!$A$1:$I$89,3,0)*0.475*44/12</f>
        <v>8.0928060411282043</v>
      </c>
      <c r="BS48" s="22">
        <f t="shared" si="9"/>
        <v>57.485253728954767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62.856801020524678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62.856801020524678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62.856801020524678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62.856801020524678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62.856801020524678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62.856801020524678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62.856801020524678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3.14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11.513333333333334</v>
      </c>
      <c r="H49" s="67">
        <f t="shared" si="1"/>
        <v>210.61333333333332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62.980719553018105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26.333333333333332</v>
      </c>
      <c r="N49" s="13">
        <f>IF('Données projet'!$A$36&gt;35,N48+M49-V48,IF(A49&lt;'Données projet'!$A$36,$K$205^A49,IF(A49='Données projet'!$A$36,'Données projet'!$B$36,N48+M49-V48)))</f>
        <v>591.66666666666663</v>
      </c>
      <c r="O49" s="13">
        <f>N49*VLOOKUP('Données projet'!$B$9,Paramètres!$A$1:$I$89,3,0)*VLOOKUP('Données projet'!$B$9,Paramètres!$A$1:$I$89,5,0)</f>
        <v>276.89999999999998</v>
      </c>
      <c r="P49" s="13">
        <f t="shared" si="33"/>
        <v>66.311465886517013</v>
      </c>
      <c r="Q49" s="20">
        <f t="shared" si="53"/>
        <v>597.75996975235046</v>
      </c>
      <c r="R49" s="59">
        <f t="shared" si="0"/>
        <v>865.35594144675019</v>
      </c>
      <c r="S49" s="59">
        <f ca="1">AVERAGE(OFFSET($R$3,0,0,'Données projet'!$E$9+1,1))-AVERAGE(OFFSET($H$3,0,0,'Données projet'!$E$9+1,1))</f>
        <v>302.99089313578685</v>
      </c>
      <c r="T49" s="59">
        <f t="shared" si="34"/>
        <v>335.51949678160906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22.962300340456018</v>
      </c>
      <c r="AA49" s="21">
        <f>EXP(-LN(2)/25)*AA48+(1-EXP(-LN(2)/25))/(LN(2)/25)*Calculateur!V49*Calculateur!X49*VLOOKUP('Données projet'!$B$9,Paramètres!$A$1:$I$89,3,0)*0.475*44/12</f>
        <v>20.547259477800466</v>
      </c>
      <c r="AB49" s="21">
        <f>EXP(-LN(2)/2)*AB48+(1-EXP(-LN(2)/2))/(LN(2)/2)*V49*Y49*VLOOKUP('Données projet'!$B$9,Paramètres!$A$1:$I$89,3,0)*0.475*44/12</f>
        <v>2.7824067194868989</v>
      </c>
      <c r="AC49" s="22">
        <f t="shared" si="3"/>
        <v>46.291966537743384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62.980719553018105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62.980719553018105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22.8</v>
      </c>
      <c r="BD49" s="12">
        <f>IF('Données projet'!$A$88&gt;35,BD48+BC49-BL48,IF(A49&lt;'Données projet'!$A$88,$BA$205^A49,IF(A49='Données projet'!$A$88,'Données projet'!$B$88,BD48+BC49-BL48)))</f>
        <v>457.79999999999984</v>
      </c>
      <c r="BE49" s="13">
        <f>BD49*VLOOKUP('Données projet'!$B$11,Paramètres!$A$1:$I$89,3,0)*VLOOKUP('Données projet'!$B$11,Paramètres!$A$1:$I$89,5,0)</f>
        <v>184.49339999999995</v>
      </c>
      <c r="BF49" s="13">
        <f t="shared" si="37"/>
        <v>46.320445769429995</v>
      </c>
      <c r="BG49" s="20">
        <f t="shared" si="7"/>
        <v>402.00078138175712</v>
      </c>
      <c r="BH49" s="59">
        <f t="shared" si="8"/>
        <v>669.5967530761568</v>
      </c>
      <c r="BI49" s="59">
        <f ca="1">AVERAGE(OFFSET($BH$3,0,0,'Données projet'!$E$11+1,1))-AVERAGE(OFFSET($H$3,0,0,'Données projet'!$E$11+1,1))</f>
        <v>377.91408971696819</v>
      </c>
      <c r="BJ49" s="59">
        <f t="shared" si="38"/>
        <v>321.68797596002366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25.381489723966926</v>
      </c>
      <c r="BQ49" s="21">
        <f>EXP(-LN(2)/25)*BQ48+(1-EXP(-LN(2)/25))/(LN(2)/25)*Calculateur!BL49*Calculateur!BN49*VLOOKUP('Données projet'!$B$11,Paramètres!$A$1:$I$89,3,0)*0.475*44/12</f>
        <v>22.860588692126587</v>
      </c>
      <c r="BR49" s="21">
        <f>EXP(-LN(2)/2)*BR48+(1-EXP(-LN(2)/2))/(LN(2)/2)*BL49*BO49*VLOOKUP('Données projet'!$B$11,Paramètres!$A$1:$I$89,3,0)*0.475*44/12</f>
        <v>5.7224780305092118</v>
      </c>
      <c r="BS49" s="22">
        <f t="shared" si="9"/>
        <v>53.964556446602728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62.980719553018105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62.980719553018105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62.980719553018105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62.980719553018105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62.980719553018105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62.980719553018105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62.980719553018105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3.14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11.513333333333334</v>
      </c>
      <c r="H50" s="67">
        <f t="shared" si="1"/>
        <v>210.61333333333332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63.102488376013106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26.333333333333332</v>
      </c>
      <c r="N50" s="13">
        <f>IF('Données projet'!$A$36&gt;35,N49+M50-V49,IF(A50&lt;'Données projet'!$A$36,$K$205^A50,IF(A50='Données projet'!$A$36,'Données projet'!$B$36,N49+M50-V49)))</f>
        <v>618</v>
      </c>
      <c r="O50" s="13">
        <f>N50*VLOOKUP('Données projet'!$B$9,Paramètres!$A$1:$I$89,3,0)*VLOOKUP('Données projet'!$B$9,Paramètres!$A$1:$I$89,5,0)</f>
        <v>289.22399999999999</v>
      </c>
      <c r="P50" s="13">
        <f t="shared" si="33"/>
        <v>68.912612937896569</v>
      </c>
      <c r="Q50" s="20">
        <f t="shared" si="53"/>
        <v>623.75460086683643</v>
      </c>
      <c r="R50" s="59">
        <f t="shared" si="0"/>
        <v>891.79705824555117</v>
      </c>
      <c r="S50" s="59">
        <f ca="1">AVERAGE(OFFSET($R$3,0,0,'Données projet'!$E$9+1,1))-AVERAGE(OFFSET($H$3,0,0,'Données projet'!$E$9+1,1))</f>
        <v>302.99089313578685</v>
      </c>
      <c r="T50" s="59">
        <f t="shared" si="34"/>
        <v>335.51949678160906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22.512023636399942</v>
      </c>
      <c r="AA50" s="21">
        <f>EXP(-LN(2)/25)*AA49+(1-EXP(-LN(2)/25))/(LN(2)/25)*Calculateur!V50*Calculateur!X50*VLOOKUP('Données projet'!$B$9,Paramètres!$A$1:$I$89,3,0)*0.475*44/12</f>
        <v>19.985393586846598</v>
      </c>
      <c r="AB50" s="21">
        <f>EXP(-LN(2)/2)*AB49+(1-EXP(-LN(2)/2))/(LN(2)/2)*V50*Y50*VLOOKUP('Données projet'!$B$9,Paramètres!$A$1:$I$89,3,0)*0.475*44/12</f>
        <v>1.9674586593682022</v>
      </c>
      <c r="AC50" s="22">
        <f t="shared" si="3"/>
        <v>44.464875882614749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63.102488376013106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63.102488376013106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22.8</v>
      </c>
      <c r="BD50" s="12">
        <f>IF('Données projet'!$A$88&gt;35,BD49+BC50-BL49,IF(A50&lt;'Données projet'!$A$88,$BA$205^A50,IF(A50='Données projet'!$A$88,'Données projet'!$B$88,BD49+BC50-BL49)))</f>
        <v>480.59999999999985</v>
      </c>
      <c r="BE50" s="13">
        <f>BD50*VLOOKUP('Données projet'!$B$11,Paramètres!$A$1:$I$89,3,0)*VLOOKUP('Données projet'!$B$11,Paramètres!$A$1:$I$89,5,0)</f>
        <v>193.68179999999995</v>
      </c>
      <c r="BF50" s="13">
        <f t="shared" si="37"/>
        <v>48.353035092357665</v>
      </c>
      <c r="BG50" s="20">
        <f t="shared" si="7"/>
        <v>421.54400445252281</v>
      </c>
      <c r="BH50" s="59">
        <f t="shared" si="8"/>
        <v>689.58646183123756</v>
      </c>
      <c r="BI50" s="59">
        <f ca="1">AVERAGE(OFFSET($BH$3,0,0,'Données projet'!$E$11+1,1))-AVERAGE(OFFSET($H$3,0,0,'Données projet'!$E$11+1,1))</f>
        <v>377.91408971696819</v>
      </c>
      <c r="BJ50" s="59">
        <f t="shared" si="38"/>
        <v>321.68797596002366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24.883774191660027</v>
      </c>
      <c r="BQ50" s="21">
        <f>EXP(-LN(2)/25)*BQ49+(1-EXP(-LN(2)/25))/(LN(2)/25)*Calculateur!BL50*Calculateur!BN50*VLOOKUP('Données projet'!$B$11,Paramètres!$A$1:$I$89,3,0)*0.475*44/12</f>
        <v>22.235464692154274</v>
      </c>
      <c r="BR50" s="21">
        <f>EXP(-LN(2)/2)*BR49+(1-EXP(-LN(2)/2))/(LN(2)/2)*BL50*BO50*VLOOKUP('Données projet'!$B$11,Paramètres!$A$1:$I$89,3,0)*0.475*44/12</f>
        <v>4.0464030205641031</v>
      </c>
      <c r="BS50" s="22">
        <f t="shared" si="9"/>
        <v>51.165641904378404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63.102488376013106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63.102488376013106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63.102488376013106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63.102488376013106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63.102488376013106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63.102488376013106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63.102488376013106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3.14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11.513333333333334</v>
      </c>
      <c r="H51" s="67">
        <f t="shared" si="1"/>
        <v>210.61333333333332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63.222144782163447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26.333333333333332</v>
      </c>
      <c r="N51" s="13">
        <f>IF('Données projet'!$A$36&gt;35,N50+M51-V50,IF(A51&lt;'Données projet'!$A$36,$K$205^A51,IF(A51='Données projet'!$A$36,'Données projet'!$B$36,N50+M51-V50)))</f>
        <v>644.33333333333337</v>
      </c>
      <c r="O51" s="13">
        <f>N51*VLOOKUP('Données projet'!$B$9,Paramètres!$A$1:$I$89,3,0)*VLOOKUP('Données projet'!$B$9,Paramètres!$A$1:$I$89,5,0)</f>
        <v>301.548</v>
      </c>
      <c r="P51" s="13">
        <f t="shared" si="33"/>
        <v>71.500886464325177</v>
      </c>
      <c r="Q51" s="20">
        <f t="shared" si="53"/>
        <v>649.72681059203296</v>
      </c>
      <c r="R51" s="59">
        <f t="shared" si="0"/>
        <v>918.20800812663219</v>
      </c>
      <c r="S51" s="59">
        <f ca="1">AVERAGE(OFFSET($R$3,0,0,'Données projet'!$E$9+1,1))-AVERAGE(OFFSET($H$3,0,0,'Données projet'!$E$9+1,1))</f>
        <v>302.99089313578685</v>
      </c>
      <c r="T51" s="59">
        <f t="shared" si="34"/>
        <v>335.51949678160906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22.070576583868736</v>
      </c>
      <c r="AA51" s="21">
        <f>EXP(-LN(2)/25)*AA50+(1-EXP(-LN(2)/25))/(LN(2)/25)*Calculateur!V51*Calculateur!X51*VLOOKUP('Données projet'!$B$9,Paramètres!$A$1:$I$89,3,0)*0.475*44/12</f>
        <v>19.438891948228108</v>
      </c>
      <c r="AB51" s="21">
        <f>EXP(-LN(2)/2)*AB50+(1-EXP(-LN(2)/2))/(LN(2)/2)*V51*Y51*VLOOKUP('Données projet'!$B$9,Paramètres!$A$1:$I$89,3,0)*0.475*44/12</f>
        <v>1.3912033597434497</v>
      </c>
      <c r="AC51" s="22">
        <f t="shared" si="3"/>
        <v>42.900671891840297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63.222144782163447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63.222144782163447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22.8</v>
      </c>
      <c r="BD51" s="12">
        <f>IF('Données projet'!$A$88&gt;35,BD50+BC51-BL50,IF(A51&lt;'Données projet'!$A$88,$BA$205^A51,IF(A51='Données projet'!$A$88,'Données projet'!$B$88,BD50+BC51-BL50)))</f>
        <v>503.39999999999986</v>
      </c>
      <c r="BE51" s="13">
        <f>BD51*VLOOKUP('Données projet'!$B$11,Paramètres!$A$1:$I$89,3,0)*VLOOKUP('Données projet'!$B$11,Paramètres!$A$1:$I$89,5,0)</f>
        <v>202.87019999999993</v>
      </c>
      <c r="BF51" s="13">
        <f t="shared" si="37"/>
        <v>50.3744267576959</v>
      </c>
      <c r="BG51" s="20">
        <f t="shared" si="7"/>
        <v>441.06772493632019</v>
      </c>
      <c r="BH51" s="59">
        <f t="shared" si="8"/>
        <v>709.54892247091948</v>
      </c>
      <c r="BI51" s="59">
        <f ca="1">AVERAGE(OFFSET($BH$3,0,0,'Données projet'!$E$11+1,1))-AVERAGE(OFFSET($H$3,0,0,'Données projet'!$E$11+1,1))</f>
        <v>377.91408971696819</v>
      </c>
      <c r="BJ51" s="59">
        <f t="shared" si="38"/>
        <v>321.68797596002366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24.395818557365168</v>
      </c>
      <c r="BQ51" s="21">
        <f>EXP(-LN(2)/25)*BQ50+(1-EXP(-LN(2)/25))/(LN(2)/25)*Calculateur!BL51*Calculateur!BN51*VLOOKUP('Données projet'!$B$11,Paramètres!$A$1:$I$89,3,0)*0.475*44/12</f>
        <v>21.627434740835046</v>
      </c>
      <c r="BR51" s="21">
        <f>EXP(-LN(2)/2)*BR50+(1-EXP(-LN(2)/2))/(LN(2)/2)*BL51*BO51*VLOOKUP('Données projet'!$B$11,Paramètres!$A$1:$I$89,3,0)*0.475*44/12</f>
        <v>2.8612390152546063</v>
      </c>
      <c r="BS51" s="22">
        <f t="shared" si="9"/>
        <v>48.884492313454821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63.222144782163447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63.222144782163447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63.222144782163447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63.222144782163447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63.222144782163447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63.222144782163447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63.222144782163447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3.14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11.513333333333334</v>
      </c>
      <c r="H52" s="67">
        <f t="shared" si="1"/>
        <v>210.61333333333332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63.339725417178727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26.333333333333332</v>
      </c>
      <c r="N52" s="13">
        <f>IF('Données projet'!$A$36&gt;35,N51+M52-V51,IF(A52&lt;'Données projet'!$A$36,$K$205^A52,IF(A52='Données projet'!$A$36,'Données projet'!$B$36,N51+M52-V51)))</f>
        <v>670.66666666666674</v>
      </c>
      <c r="O52" s="13">
        <f>N52*VLOOKUP('Données projet'!$B$9,Paramètres!$A$1:$I$89,3,0)*VLOOKUP('Données projet'!$B$9,Paramètres!$A$1:$I$89,5,0)</f>
        <v>313.87200000000007</v>
      </c>
      <c r="P52" s="13">
        <f t="shared" si="33"/>
        <v>74.076872774720428</v>
      </c>
      <c r="Q52" s="20">
        <f t="shared" si="53"/>
        <v>675.6776200826381</v>
      </c>
      <c r="R52" s="59">
        <f t="shared" si="0"/>
        <v>944.58994661229349</v>
      </c>
      <c r="S52" s="59">
        <f ca="1">AVERAGE(OFFSET($R$3,0,0,'Données projet'!$E$9+1,1))-AVERAGE(OFFSET($H$3,0,0,'Données projet'!$E$9+1,1))</f>
        <v>302.99089313578685</v>
      </c>
      <c r="T52" s="59">
        <f t="shared" si="34"/>
        <v>335.51949678160906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21.637786038781552</v>
      </c>
      <c r="AA52" s="21">
        <f>EXP(-LN(2)/25)*AA51+(1-EXP(-LN(2)/25))/(LN(2)/25)*Calculateur!V52*Calculateur!X52*VLOOKUP('Données projet'!$B$9,Paramètres!$A$1:$I$89,3,0)*0.475*44/12</f>
        <v>18.907334425656909</v>
      </c>
      <c r="AB52" s="21">
        <f>EXP(-LN(2)/2)*AB51+(1-EXP(-LN(2)/2))/(LN(2)/2)*V52*Y52*VLOOKUP('Données projet'!$B$9,Paramètres!$A$1:$I$89,3,0)*0.475*44/12</f>
        <v>0.98372932968410132</v>
      </c>
      <c r="AC52" s="22">
        <f t="shared" si="3"/>
        <v>41.528849794122564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63.339725417178727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63.339725417178727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22.8</v>
      </c>
      <c r="BD52" s="12">
        <f>IF('Données projet'!$A$88&gt;35,BD51+BC52-BL51,IF(A52&lt;'Données projet'!$A$88,$BA$205^A52,IF(A52='Données projet'!$A$88,'Données projet'!$B$88,BD51+BC52-BL51)))</f>
        <v>526.19999999999982</v>
      </c>
      <c r="BE52" s="13">
        <f>BD52*VLOOKUP('Données projet'!$B$11,Paramètres!$A$1:$I$89,3,0)*VLOOKUP('Données projet'!$B$11,Paramètres!$A$1:$I$89,5,0)</f>
        <v>212.05859999999993</v>
      </c>
      <c r="BF52" s="13">
        <f t="shared" si="37"/>
        <v>52.38518586875184</v>
      </c>
      <c r="BG52" s="20">
        <f t="shared" si="7"/>
        <v>460.57292705474265</v>
      </c>
      <c r="BH52" s="59">
        <f t="shared" si="8"/>
        <v>729.48525358439792</v>
      </c>
      <c r="BI52" s="59">
        <f ca="1">AVERAGE(OFFSET($BH$3,0,0,'Données projet'!$E$11+1,1))-AVERAGE(OFFSET($H$3,0,0,'Données projet'!$E$11+1,1))</f>
        <v>377.91408971696819</v>
      </c>
      <c r="BJ52" s="59">
        <f t="shared" si="38"/>
        <v>321.68797596002366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23.917431435435279</v>
      </c>
      <c r="BQ52" s="21">
        <f>EXP(-LN(2)/25)*BQ51+(1-EXP(-LN(2)/25))/(LN(2)/25)*Calculateur!BL52*Calculateur!BN52*VLOOKUP('Données projet'!$B$11,Paramètres!$A$1:$I$89,3,0)*0.475*44/12</f>
        <v>21.03603140050955</v>
      </c>
      <c r="BR52" s="21">
        <f>EXP(-LN(2)/2)*BR51+(1-EXP(-LN(2)/2))/(LN(2)/2)*BL52*BO52*VLOOKUP('Données projet'!$B$11,Paramètres!$A$1:$I$89,3,0)*0.475*44/12</f>
        <v>2.023201510282052</v>
      </c>
      <c r="BS52" s="22">
        <f t="shared" si="9"/>
        <v>46.976664346226883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63.339725417178727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63.339725417178727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63.339725417178727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63.339725417178727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63.339725417178727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63.339725417178727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63.339725417178727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3.14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11.513333333333334</v>
      </c>
      <c r="H53" s="67">
        <f t="shared" si="1"/>
        <v>210.61333333333332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63.455266291047423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697</v>
      </c>
      <c r="L53" s="12">
        <f>VLOOKUP(A53,'Données projet'!$A$35:$I$55,9,0)</f>
        <v>26.333333333333332</v>
      </c>
      <c r="M53" s="12">
        <f t="array" ref="M53">INDEX(L:L,MIN(IF(ISNUMBER(L53:L249),ROW(L53:L249),"")))</f>
        <v>26.333333333333332</v>
      </c>
      <c r="N53" s="13">
        <f>IF('Données projet'!$A$36&gt;35,N52+M53-V52,IF(A53&lt;'Données projet'!$A$36,$K$205^A53,IF(A53='Données projet'!$A$36,'Données projet'!$B$36,N52+M53-V52)))</f>
        <v>697.00000000000011</v>
      </c>
      <c r="O53" s="13">
        <f>N53*VLOOKUP('Données projet'!$B$9,Paramètres!$A$1:$I$89,3,0)*VLOOKUP('Données projet'!$B$9,Paramètres!$A$1:$I$89,5,0)</f>
        <v>326.19600000000008</v>
      </c>
      <c r="P53" s="13">
        <f t="shared" si="33"/>
        <v>76.641109529113464</v>
      </c>
      <c r="Q53" s="20">
        <f t="shared" si="53"/>
        <v>701.60796576320615</v>
      </c>
      <c r="R53" s="59">
        <f t="shared" si="0"/>
        <v>970.94394216371336</v>
      </c>
      <c r="S53" s="59">
        <f ca="1">AVERAGE(OFFSET($R$3,0,0,'Données projet'!$E$9+1,1))-AVERAGE(OFFSET($H$3,0,0,'Données projet'!$E$9+1,1))</f>
        <v>302.99089313578685</v>
      </c>
      <c r="T53" s="59">
        <f t="shared" si="34"/>
        <v>335.51949678160906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67</v>
      </c>
      <c r="W53" s="16">
        <f>IF(ISNA(VLOOKUP(A53,'Données projet'!$A$35:$I$55,5,0)),0%,VLOOKUP(A53,'Données projet'!$A$35:$I$55,5,0)*VLOOKUP('Données projet'!$B$9,Paramètres!$A$1:$I$89,7,0))</f>
        <v>0.1925</v>
      </c>
      <c r="X53" s="16">
        <f>IF(ISNA(VLOOKUP(A53,'Données projet'!$A$35:$I$55,6,0)),0%,VLOOKUP(A53,'Données projet'!$A$35:$I$55,6,0)*VLOOKUP('Données projet'!$B$9,Paramètres!$A$1:$I$89,7,0))</f>
        <v>8.2500000000000004E-2</v>
      </c>
      <c r="Y53" s="16">
        <f>IF(ISNA(VLOOKUP(A53,'Données projet'!$A$35:$I$55,7,0)),0%,VLOOKUP(A53,'Données projet'!$A$35:$I$55,7,0))</f>
        <v>0.15</v>
      </c>
      <c r="Z53" s="21">
        <f>EXP(-LN(2)/35)*Z52+(1-EXP(-LN(2)/35))/(LN(2)/35)*V53*W53*VLOOKUP('Données projet'!$B$9,Paramètres!$A$1:$I$89,3,0)*0.475*44/12</f>
        <v>29.22066510227409</v>
      </c>
      <c r="AA53" s="21">
        <f>EXP(-LN(2)/25)*AA52+(1-EXP(-LN(2)/25))/(LN(2)/25)*Calculateur!V53*Calculateur!X53*VLOOKUP('Données projet'!$B$9,Paramètres!$A$1:$I$89,3,0)*0.475*44/12</f>
        <v>21.808450451541194</v>
      </c>
      <c r="AB53" s="21">
        <f>EXP(-LN(2)/2)*AB52+(1-EXP(-LN(2)/2))/(LN(2)/2)*V53*Y53*VLOOKUP('Données projet'!$B$9,Paramètres!$A$1:$I$89,3,0)*0.475*44/12</f>
        <v>6.0209430680577034</v>
      </c>
      <c r="AC53" s="22">
        <f t="shared" si="3"/>
        <v>57.050058621872992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63.455266291047423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63.455266291047423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549</v>
      </c>
      <c r="BB53" s="12">
        <f>VLOOKUP(A53,'Données projet'!$A$87:$I$107,9,0)</f>
        <v>22.8</v>
      </c>
      <c r="BC53" s="12">
        <f t="array" ref="BC53">INDEX(BB:BB,MIN(IF(ISNUMBER(BB53:BB249),ROW(BB53:BB249),"")))</f>
        <v>22.8</v>
      </c>
      <c r="BD53" s="12">
        <f>IF('Données projet'!$A$88&gt;35,BD52+BC53-BL52,IF(A53&lt;'Données projet'!$A$88,$BA$205^A53,IF(A53='Données projet'!$A$88,'Données projet'!$B$88,BD52+BC53-BL52)))</f>
        <v>548.99999999999977</v>
      </c>
      <c r="BE53" s="13">
        <f>BD53*VLOOKUP('Données projet'!$B$11,Paramètres!$A$1:$I$89,3,0)*VLOOKUP('Données projet'!$B$11,Paramètres!$A$1:$I$89,5,0)</f>
        <v>221.24699999999993</v>
      </c>
      <c r="BF53" s="13">
        <f t="shared" si="37"/>
        <v>54.3858257880811</v>
      </c>
      <c r="BG53" s="20">
        <f t="shared" si="7"/>
        <v>480.06050491424111</v>
      </c>
      <c r="BH53" s="59">
        <f t="shared" si="8"/>
        <v>749.39648131474837</v>
      </c>
      <c r="BI53" s="59">
        <f ca="1">AVERAGE(OFFSET($BH$3,0,0,'Données projet'!$E$11+1,1))-AVERAGE(OFFSET($H$3,0,0,'Données projet'!$E$11+1,1))</f>
        <v>377.91408971696819</v>
      </c>
      <c r="BJ53" s="59">
        <f t="shared" si="38"/>
        <v>321.68797596002366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63</v>
      </c>
      <c r="BM53" s="16">
        <f>IF(ISNA(VLOOKUP(A53,'Données projet'!$A$87:$I$107,5,0)),0%,VLOOKUP(A53,'Données projet'!$A$87:$I$107,5,0)*VLOOKUP('Données projet'!$B$11,Paramètres!$A$1:$I$89,7,0))</f>
        <v>0.33</v>
      </c>
      <c r="BN53" s="16">
        <f>IF(ISNA(VLOOKUP(A53,'Données projet'!$A$87:$I$107,6,0)),0%,VLOOKUP(A53,'Données projet'!$A$87:$I$107,6,0)*VLOOKUP('Données projet'!$B$11,Paramètres!$A$1:$I$89,7,0))</f>
        <v>0.11000000000000001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34.562873029700086</v>
      </c>
      <c r="BQ53" s="21">
        <f>EXP(-LN(2)/25)*BQ52+(1-EXP(-LN(2)/25))/(LN(2)/25)*Calculateur!BL53*Calculateur!BN53*VLOOKUP('Données projet'!$B$11,Paramètres!$A$1:$I$89,3,0)*0.475*44/12</f>
        <v>24.15102868910979</v>
      </c>
      <c r="BR53" s="21">
        <f>EXP(-LN(2)/2)*BR52+(1-EXP(-LN(2)/2))/(LN(2)/2)*BL53*BO53*VLOOKUP('Données projet'!$B$11,Paramètres!$A$1:$I$89,3,0)*0.475*44/12</f>
        <v>7.1798686680071935</v>
      </c>
      <c r="BS53" s="22">
        <f t="shared" si="9"/>
        <v>65.893770386817067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63.455266291047423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63.455266291047423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63.455266291047423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63.455266291047423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63.455266291047423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63.455266291047423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63.455266291047423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3.14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11.513333333333334</v>
      </c>
      <c r="H54" s="67">
        <f t="shared" si="1"/>
        <v>210.61333333333332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63.568802789065181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22.333333333333332</v>
      </c>
      <c r="N54" s="13">
        <f>IF('Données projet'!$A$36&gt;35,N53+M54-V53,IF(A54&lt;'Données projet'!$A$36,$K$205^A54,IF(A54='Données projet'!$A$36,'Données projet'!$B$36,N53+M54-V53)))</f>
        <v>652.33333333333348</v>
      </c>
      <c r="O54" s="13">
        <f>N54*VLOOKUP('Données projet'!$B$9,Paramètres!$A$1:$I$89,3,0)*VLOOKUP('Données projet'!$B$9,Paramètres!$A$1:$I$89,5,0)</f>
        <v>305.29200000000003</v>
      </c>
      <c r="P54" s="13">
        <f t="shared" si="33"/>
        <v>72.284738381385523</v>
      </c>
      <c r="Q54" s="20">
        <f t="shared" si="53"/>
        <v>657.61281934757983</v>
      </c>
      <c r="R54" s="59">
        <f t="shared" si="0"/>
        <v>927.36509624081884</v>
      </c>
      <c r="S54" s="59">
        <f ca="1">AVERAGE(OFFSET($R$3,0,0,'Données projet'!$E$9+1,1))-AVERAGE(OFFSET($H$3,0,0,'Données projet'!$E$9+1,1))</f>
        <v>302.99089313578685</v>
      </c>
      <c r="T54" s="59">
        <f t="shared" si="34"/>
        <v>335.51949678160906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28.647665682464346</v>
      </c>
      <c r="AA54" s="21">
        <f>EXP(-LN(2)/25)*AA53+(1-EXP(-LN(2)/25))/(LN(2)/25)*Calculateur!V54*Calculateur!X54*VLOOKUP('Données projet'!$B$9,Paramètres!$A$1:$I$89,3,0)*0.475*44/12</f>
        <v>21.212097227087234</v>
      </c>
      <c r="AB54" s="21">
        <f>EXP(-LN(2)/2)*AB53+(1-EXP(-LN(2)/2))/(LN(2)/2)*V54*Y54*VLOOKUP('Données projet'!$B$9,Paramètres!$A$1:$I$89,3,0)*0.475*44/12</f>
        <v>4.257449672561739</v>
      </c>
      <c r="AC54" s="22">
        <f t="shared" si="3"/>
        <v>54.117212582113318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63.568802789065181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63.568802789065181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21.6</v>
      </c>
      <c r="BD54" s="12">
        <f>IF('Données projet'!$A$88&gt;35,BD53+BC54-BL53,IF(A54&lt;'Données projet'!$A$88,$BA$205^A54,IF(A54='Données projet'!$A$88,'Données projet'!$B$88,BD53+BC54-BL53)))</f>
        <v>507.5999999999998</v>
      </c>
      <c r="BE54" s="13">
        <f>BD54*VLOOKUP('Données projet'!$B$11,Paramètres!$A$1:$I$89,3,0)*VLOOKUP('Données projet'!$B$11,Paramètres!$A$1:$I$89,5,0)</f>
        <v>204.56279999999992</v>
      </c>
      <c r="BF54" s="13">
        <f t="shared" si="37"/>
        <v>50.74561278586372</v>
      </c>
      <c r="BG54" s="20">
        <f t="shared" si="7"/>
        <v>444.66215226871253</v>
      </c>
      <c r="BH54" s="59">
        <f t="shared" si="8"/>
        <v>714.4144291619516</v>
      </c>
      <c r="BI54" s="59">
        <f ca="1">AVERAGE(OFFSET($BH$3,0,0,'Données projet'!$E$11+1,1))-AVERAGE(OFFSET($H$3,0,0,'Données projet'!$E$11+1,1))</f>
        <v>377.91408971696819</v>
      </c>
      <c r="BJ54" s="59">
        <f t="shared" si="38"/>
        <v>321.68797596002366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33.885116170858609</v>
      </c>
      <c r="BQ54" s="21">
        <f>EXP(-LN(2)/25)*BQ53+(1-EXP(-LN(2)/25))/(LN(2)/25)*Calculateur!BL54*Calculateur!BN54*VLOOKUP('Données projet'!$B$11,Paramètres!$A$1:$I$89,3,0)*0.475*44/12</f>
        <v>23.490617539558681</v>
      </c>
      <c r="BR54" s="21">
        <f>EXP(-LN(2)/2)*BR53+(1-EXP(-LN(2)/2))/(LN(2)/2)*BL54*BO54*VLOOKUP('Données projet'!$B$11,Paramètres!$A$1:$I$89,3,0)*0.475*44/12</f>
        <v>5.0769338231767112</v>
      </c>
      <c r="BS54" s="22">
        <f t="shared" si="9"/>
        <v>62.452667533594003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63.568802789065181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63.568802789065181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63.568802789065181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63.568802789065181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63.568802789065181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63.568802789065181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63.568802789065181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3.14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11.513333333333334</v>
      </c>
      <c r="H55" s="67">
        <f t="shared" si="1"/>
        <v>210.61333333333332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63.680369682671916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22.333333333333332</v>
      </c>
      <c r="N55" s="13">
        <f>IF('Données projet'!$A$36&gt;35,N54+M55-V54,IF(A55&lt;'Données projet'!$A$36,$K$205^A55,IF(A55='Données projet'!$A$36,'Données projet'!$B$36,N54+M55-V54)))</f>
        <v>674.66666666666686</v>
      </c>
      <c r="O55" s="13">
        <f>N55*VLOOKUP('Données projet'!$B$9,Paramètres!$A$1:$I$89,3,0)*VLOOKUP('Données projet'!$B$9,Paramètres!$A$1:$I$89,5,0)</f>
        <v>315.74400000000009</v>
      </c>
      <c r="P55" s="13">
        <f t="shared" si="33"/>
        <v>74.467121212440205</v>
      </c>
      <c r="Q55" s="20">
        <f t="shared" si="53"/>
        <v>679.61770277833341</v>
      </c>
      <c r="R55" s="59">
        <f t="shared" si="0"/>
        <v>949.77905828146368</v>
      </c>
      <c r="S55" s="59">
        <f ca="1">AVERAGE(OFFSET($R$3,0,0,'Données projet'!$E$9+1,1))-AVERAGE(OFFSET($H$3,0,0,'Données projet'!$E$9+1,1))</f>
        <v>302.99089313578685</v>
      </c>
      <c r="T55" s="59">
        <f t="shared" si="34"/>
        <v>335.51949678160906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28.085902431781935</v>
      </c>
      <c r="AA55" s="21">
        <f>EXP(-LN(2)/25)*AA54+(1-EXP(-LN(2)/25))/(LN(2)/25)*Calculateur!V55*Calculateur!X55*VLOOKUP('Données projet'!$B$9,Paramètres!$A$1:$I$89,3,0)*0.475*44/12</f>
        <v>20.632051312916822</v>
      </c>
      <c r="AB55" s="21">
        <f>EXP(-LN(2)/2)*AB54+(1-EXP(-LN(2)/2))/(LN(2)/2)*V55*Y55*VLOOKUP('Données projet'!$B$9,Paramètres!$A$1:$I$89,3,0)*0.475*44/12</f>
        <v>3.0104715340288521</v>
      </c>
      <c r="AC55" s="22">
        <f t="shared" si="3"/>
        <v>51.728425278727613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63.680369682671916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63.680369682671916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21.6</v>
      </c>
      <c r="BD55" s="12">
        <f>IF('Données projet'!$A$88&gt;35,BD54+BC55-BL54,IF(A55&lt;'Données projet'!$A$88,$BA$205^A55,IF(A55='Données projet'!$A$88,'Données projet'!$B$88,BD54+BC55-BL54)))</f>
        <v>529.19999999999982</v>
      </c>
      <c r="BE55" s="13">
        <f>BD55*VLOOKUP('Données projet'!$B$11,Paramètres!$A$1:$I$89,3,0)*VLOOKUP('Données projet'!$B$11,Paramètres!$A$1:$I$89,5,0)</f>
        <v>213.26759999999993</v>
      </c>
      <c r="BF55" s="13">
        <f t="shared" si="37"/>
        <v>52.648995583178795</v>
      </c>
      <c r="BG55" s="20">
        <f t="shared" si="7"/>
        <v>463.13807064070289</v>
      </c>
      <c r="BH55" s="59">
        <f t="shared" si="8"/>
        <v>733.29942614383322</v>
      </c>
      <c r="BI55" s="59">
        <f ca="1">AVERAGE(OFFSET($BH$3,0,0,'Données projet'!$E$11+1,1))-AVERAGE(OFFSET($H$3,0,0,'Données projet'!$E$11+1,1))</f>
        <v>377.91408971696819</v>
      </c>
      <c r="BJ55" s="59">
        <f t="shared" si="38"/>
        <v>321.68797596002366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33.220649710628152</v>
      </c>
      <c r="BQ55" s="21">
        <f>EXP(-LN(2)/25)*BQ54+(1-EXP(-LN(2)/25))/(LN(2)/25)*Calculateur!BL55*Calculateur!BN55*VLOOKUP('Données projet'!$B$11,Paramètres!$A$1:$I$89,3,0)*0.475*44/12</f>
        <v>22.848265367621561</v>
      </c>
      <c r="BR55" s="21">
        <f>EXP(-LN(2)/2)*BR54+(1-EXP(-LN(2)/2))/(LN(2)/2)*BL55*BO55*VLOOKUP('Données projet'!$B$11,Paramètres!$A$1:$I$89,3,0)*0.475*44/12</f>
        <v>3.5899343340035972</v>
      </c>
      <c r="BS55" s="22">
        <f t="shared" si="9"/>
        <v>59.658849412253311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63.680369682671916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63.680369682671916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63.680369682671916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63.680369682671916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63.680369682671916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63.680369682671916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63.680369682671916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3.14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11.513333333333334</v>
      </c>
      <c r="H56" s="67">
        <f t="shared" si="1"/>
        <v>210.61333333333332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63.790001140100784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>
        <f>VLOOKUP(A56,'Données projet'!$A$35:$I$55,2,0)</f>
        <v>697</v>
      </c>
      <c r="L56" s="12">
        <f>VLOOKUP(A56,'Données projet'!$A$35:$I$55,9,0)</f>
        <v>22.333333333333332</v>
      </c>
      <c r="M56" s="12">
        <f t="array" ref="M56">INDEX(L:L,MIN(IF(ISNUMBER(L56:L252),ROW(L56:L252),"")))</f>
        <v>22.333333333333332</v>
      </c>
      <c r="N56" s="13">
        <f>IF('Données projet'!$A$36&gt;35,N55+M56-V55,IF(A56&lt;'Données projet'!$A$36,$K$205^A56,IF(A56='Données projet'!$A$36,'Données projet'!$B$36,N55+M56-V55)))</f>
        <v>697.00000000000023</v>
      </c>
      <c r="O56" s="13">
        <f>N56*VLOOKUP('Données projet'!$B$9,Paramètres!$A$1:$I$89,3,0)*VLOOKUP('Données projet'!$B$9,Paramètres!$A$1:$I$89,5,0)</f>
        <v>326.19600000000008</v>
      </c>
      <c r="P56" s="13">
        <f t="shared" si="33"/>
        <v>76.641109529113464</v>
      </c>
      <c r="Q56" s="20">
        <f t="shared" si="53"/>
        <v>701.60796576320615</v>
      </c>
      <c r="R56" s="59">
        <f t="shared" si="0"/>
        <v>972.17130327690904</v>
      </c>
      <c r="S56" s="59">
        <f ca="1">AVERAGE(OFFSET($R$3,0,0,'Données projet'!$E$9+1,1))-AVERAGE(OFFSET($H$3,0,0,'Données projet'!$E$9+1,1))</f>
        <v>302.99089313578685</v>
      </c>
      <c r="T56" s="59">
        <f t="shared" si="34"/>
        <v>335.51949678160906</v>
      </c>
      <c r="U56" s="15">
        <f>IF(ISNA(VLOOKUP(A56,'Données projet'!$A$35:$I$55,3,0)),0,VLOOKUP(A56,'Données projet'!$A$35:$I$55,3,0))</f>
        <v>8</v>
      </c>
      <c r="V56" s="15">
        <f>IF(ISNA(VLOOKUP(A56,'Données projet'!$A$35:$I$55,4,0)),0,VLOOKUP(A56,'Données projet'!$A$35:$I$55,4,0))</f>
        <v>697</v>
      </c>
      <c r="W56" s="16">
        <f>IF(ISNA(VLOOKUP(A56,'Données projet'!$A$35:$I$55,5,0)),0%,VLOOKUP(A56,'Données projet'!$A$35:$I$55,5,0)*VLOOKUP('Données projet'!$B$9,Paramètres!$A$1:$I$89,7,0))</f>
        <v>0.1925</v>
      </c>
      <c r="X56" s="16">
        <f>IF(ISNA(VLOOKUP(A56,'Données projet'!$A$35:$I$55,6,0)),0%,VLOOKUP(A56,'Données projet'!$A$35:$I$55,6,0)*VLOOKUP('Données projet'!$B$9,Paramètres!$A$1:$I$89,7,0))</f>
        <v>8.2500000000000004E-2</v>
      </c>
      <c r="Y56" s="16">
        <f>IF(ISNA(VLOOKUP(A56,'Données projet'!$A$35:$I$55,7,0)),0%,VLOOKUP(A56,'Données projet'!$A$35:$I$55,7,0))</f>
        <v>0.15</v>
      </c>
      <c r="Z56" s="21">
        <f>EXP(-LN(2)/35)*Z55+(1-EXP(-LN(2)/35))/(LN(2)/35)*V56*W56*VLOOKUP('Données projet'!$B$9,Paramètres!$A$1:$I$89,3,0)*0.475*44/12</f>
        <v>110.83375869381572</v>
      </c>
      <c r="AA56" s="21">
        <f>EXP(-LN(2)/25)*AA55+(1-EXP(-LN(2)/25))/(LN(2)/25)*Calculateur!V56*Calculateur!X56*VLOOKUP('Données projet'!$B$9,Paramètres!$A$1:$I$89,3,0)*0.475*44/12</f>
        <v>55.626706214519302</v>
      </c>
      <c r="AB56" s="21">
        <f>EXP(-LN(2)/2)*AB55+(1-EXP(-LN(2)/2))/(LN(2)/2)*V56*Y56*VLOOKUP('Données projet'!$B$9,Paramètres!$A$1:$I$89,3,0)*0.475*44/12</f>
        <v>57.528171814872316</v>
      </c>
      <c r="AC56" s="22">
        <f t="shared" si="3"/>
        <v>223.98863672320735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63.790001140100784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63.790001140100784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21.6</v>
      </c>
      <c r="BD56" s="12">
        <f>IF('Données projet'!$A$88&gt;35,BD55+BC56-BL55,IF(A56&lt;'Données projet'!$A$88,$BA$205^A56,IF(A56='Données projet'!$A$88,'Données projet'!$B$88,BD55+BC56-BL55)))</f>
        <v>550.79999999999984</v>
      </c>
      <c r="BE56" s="13">
        <f>BD56*VLOOKUP('Données projet'!$B$11,Paramètres!$A$1:$I$89,3,0)*VLOOKUP('Données projet'!$B$11,Paramètres!$A$1:$I$89,5,0)</f>
        <v>221.97239999999996</v>
      </c>
      <c r="BF56" s="13">
        <f t="shared" si="37"/>
        <v>54.543354171476821</v>
      </c>
      <c r="BG56" s="20">
        <f t="shared" si="7"/>
        <v>481.59827184865543</v>
      </c>
      <c r="BH56" s="59">
        <f t="shared" si="8"/>
        <v>752.16160936235838</v>
      </c>
      <c r="BI56" s="59">
        <f ca="1">AVERAGE(OFFSET($BH$3,0,0,'Données projet'!$E$11+1,1))-AVERAGE(OFFSET($H$3,0,0,'Données projet'!$E$11+1,1))</f>
        <v>377.91408971696819</v>
      </c>
      <c r="BJ56" s="59">
        <f t="shared" si="38"/>
        <v>321.68797596002366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32.569213032398295</v>
      </c>
      <c r="BQ56" s="21">
        <f>EXP(-LN(2)/25)*BQ55+(1-EXP(-LN(2)/25))/(LN(2)/25)*Calculateur!BL56*Calculateur!BN56*VLOOKUP('Données projet'!$B$11,Paramètres!$A$1:$I$89,3,0)*0.475*44/12</f>
        <v>22.223478349605895</v>
      </c>
      <c r="BR56" s="21">
        <f>EXP(-LN(2)/2)*BR55+(1-EXP(-LN(2)/2))/(LN(2)/2)*BL56*BO56*VLOOKUP('Données projet'!$B$11,Paramètres!$A$1:$I$89,3,0)*0.475*44/12</f>
        <v>2.538466911588356</v>
      </c>
      <c r="BS56" s="22">
        <f t="shared" si="9"/>
        <v>57.331158293592551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63.790001140100784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63.790001140100784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63.790001140100784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63.790001140100784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63.790001140100784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63.790001140100784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63.790001140100784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3.14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11.513333333333334</v>
      </c>
      <c r="H57" s="67">
        <f t="shared" si="1"/>
        <v>210.61333333333332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63.897730736842476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2.2737367544323206E-13</v>
      </c>
      <c r="O57" s="13">
        <f>N57*VLOOKUP('Données projet'!$B$9,Paramètres!$A$1:$I$89,3,0)*VLOOKUP('Données projet'!$B$9,Paramètres!$A$1:$I$89,5,0)</f>
        <v>1.064108801074326E-13</v>
      </c>
      <c r="P57" s="13">
        <f t="shared" si="33"/>
        <v>1.5870730813698654E-12</v>
      </c>
      <c r="Q57" s="20">
        <f t="shared" si="53"/>
        <v>2.9494845662396269E-12</v>
      </c>
      <c r="R57" s="59">
        <f t="shared" si="0"/>
        <v>270.95834603509201</v>
      </c>
      <c r="S57" s="59">
        <f ca="1">AVERAGE(OFFSET($R$3,0,0,'Données projet'!$E$9+1,1))-AVERAGE(OFFSET($H$3,0,0,'Données projet'!$E$9+1,1))</f>
        <v>302.99089313578685</v>
      </c>
      <c r="T57" s="59">
        <f t="shared" si="34"/>
        <v>335.51949678160906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108.66037628774767</v>
      </c>
      <c r="AA57" s="21">
        <f>EXP(-LN(2)/25)*AA56+(1-EXP(-LN(2)/25))/(LN(2)/25)*Calculateur!V57*Calculateur!X57*VLOOKUP('Données projet'!$B$9,Paramètres!$A$1:$I$89,3,0)*0.475*44/12</f>
        <v>54.105591007801927</v>
      </c>
      <c r="AB57" s="21">
        <f>EXP(-LN(2)/2)*AB56+(1-EXP(-LN(2)/2))/(LN(2)/2)*V57*Y57*VLOOKUP('Données projet'!$B$9,Paramètres!$A$1:$I$89,3,0)*0.475*44/12</f>
        <v>40.678560399561029</v>
      </c>
      <c r="AC57" s="22">
        <f t="shared" si="3"/>
        <v>203.44452769511062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63.897730736842476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63.897730736842476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21.6</v>
      </c>
      <c r="BD57" s="12">
        <f>IF('Données projet'!$A$88&gt;35,BD56+BC57-BL56,IF(A57&lt;'Données projet'!$A$88,$BA$205^A57,IF(A57='Données projet'!$A$88,'Données projet'!$B$88,BD56+BC57-BL56)))</f>
        <v>572.39999999999986</v>
      </c>
      <c r="BE57" s="13">
        <f>BD57*VLOOKUP('Données projet'!$B$11,Paramètres!$A$1:$I$89,3,0)*VLOOKUP('Données projet'!$B$11,Paramètres!$A$1:$I$89,5,0)</f>
        <v>230.67719999999994</v>
      </c>
      <c r="BF57" s="13">
        <f t="shared" si="37"/>
        <v>56.42908293973656</v>
      </c>
      <c r="BG57" s="20">
        <f t="shared" si="7"/>
        <v>500.04344278670777</v>
      </c>
      <c r="BH57" s="59">
        <f t="shared" si="8"/>
        <v>771.00178882179682</v>
      </c>
      <c r="BI57" s="59">
        <f ca="1">AVERAGE(OFFSET($BH$3,0,0,'Données projet'!$E$11+1,1))-AVERAGE(OFFSET($H$3,0,0,'Données projet'!$E$11+1,1))</f>
        <v>377.91408971696819</v>
      </c>
      <c r="BJ57" s="59">
        <f t="shared" si="38"/>
        <v>321.68797596002366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31.930550630091382</v>
      </c>
      <c r="BQ57" s="21">
        <f>EXP(-LN(2)/25)*BQ56+(1-EXP(-LN(2)/25))/(LN(2)/25)*Calculateur!BL57*Calculateur!BN57*VLOOKUP('Données projet'!$B$11,Paramètres!$A$1:$I$89,3,0)*0.475*44/12</f>
        <v>21.615776165453987</v>
      </c>
      <c r="BR57" s="21">
        <f>EXP(-LN(2)/2)*BR56+(1-EXP(-LN(2)/2))/(LN(2)/2)*BL57*BO57*VLOOKUP('Données projet'!$B$11,Paramètres!$A$1:$I$89,3,0)*0.475*44/12</f>
        <v>1.7949671670017988</v>
      </c>
      <c r="BS57" s="22">
        <f t="shared" si="9"/>
        <v>55.341293962547169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63.897730736842476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63.897730736842476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63.897730736842476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63.897730736842476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63.897730736842476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63.897730736842476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63.897730736842476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3.14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11.513333333333334</v>
      </c>
      <c r="H58" s="67">
        <f t="shared" si="1"/>
        <v>210.61333333333332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64.003591465927997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1.064108801074326E-13</v>
      </c>
      <c r="P58" s="13">
        <f t="shared" si="33"/>
        <v>1.5870730813698654E-12</v>
      </c>
      <c r="Q58" s="20">
        <f t="shared" si="53"/>
        <v>2.9494845662396269E-12</v>
      </c>
      <c r="R58" s="59">
        <f t="shared" si="0"/>
        <v>271.34650204173892</v>
      </c>
      <c r="S58" s="59">
        <f ca="1">AVERAGE(OFFSET($R$3,0,0,'Données projet'!$E$9+1,1))-AVERAGE(OFFSET($H$3,0,0,'Données projet'!$E$9+1,1))</f>
        <v>302.99089313578685</v>
      </c>
      <c r="T58" s="59">
        <f t="shared" si="34"/>
        <v>335.51949678160906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106.52961258503024</v>
      </c>
      <c r="AA58" s="21">
        <f>EXP(-LN(2)/25)*AA57+(1-EXP(-LN(2)/25))/(LN(2)/25)*Calculateur!V58*Calculateur!X58*VLOOKUP('Données projet'!$B$9,Paramètres!$A$1:$I$89,3,0)*0.475*44/12</f>
        <v>52.626070776404212</v>
      </c>
      <c r="AB58" s="21">
        <f>EXP(-LN(2)/2)*AB57+(1-EXP(-LN(2)/2))/(LN(2)/2)*V58*Y58*VLOOKUP('Données projet'!$B$9,Paramètres!$A$1:$I$89,3,0)*0.475*44/12</f>
        <v>28.764085907436158</v>
      </c>
      <c r="AC58" s="22">
        <f t="shared" si="3"/>
        <v>187.91976926887062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64.003591465927997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64.003591465927997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594</v>
      </c>
      <c r="BB58" s="12">
        <f>VLOOKUP(A58,'Données projet'!$A$87:$I$107,9,0)</f>
        <v>21.6</v>
      </c>
      <c r="BC58" s="12">
        <f t="array" ref="BC58">INDEX(BB:BB,MIN(IF(ISNUMBER(BB58:BB254),ROW(BB58:BB254),"")))</f>
        <v>21.6</v>
      </c>
      <c r="BD58" s="12">
        <f>IF('Données projet'!$A$88&gt;35,BD57+BC58-BL57,IF(A58&lt;'Données projet'!$A$88,$BA$205^A58,IF(A58='Données projet'!$A$88,'Données projet'!$B$88,BD57+BC58-BL57)))</f>
        <v>593.99999999999989</v>
      </c>
      <c r="BE58" s="13">
        <f>BD58*VLOOKUP('Données projet'!$B$11,Paramètres!$A$1:$I$89,3,0)*VLOOKUP('Données projet'!$B$11,Paramètres!$A$1:$I$89,5,0)</f>
        <v>239.38199999999995</v>
      </c>
      <c r="BF58" s="13">
        <f t="shared" si="37"/>
        <v>58.306544825667189</v>
      </c>
      <c r="BG58" s="20">
        <f t="shared" si="7"/>
        <v>518.47421557137011</v>
      </c>
      <c r="BH58" s="59">
        <f t="shared" si="8"/>
        <v>789.82071761310613</v>
      </c>
      <c r="BI58" s="59">
        <f ca="1">AVERAGE(OFFSET($BH$3,0,0,'Données projet'!$E$11+1,1))-AVERAGE(OFFSET($H$3,0,0,'Données projet'!$E$11+1,1))</f>
        <v>377.91408971696819</v>
      </c>
      <c r="BJ58" s="59">
        <f t="shared" si="38"/>
        <v>321.68797596002366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60</v>
      </c>
      <c r="BM58" s="16">
        <f>IF(ISNA(VLOOKUP(A58,'Données projet'!$A$87:$I$107,5,0)),0%,VLOOKUP(A58,'Données projet'!$A$87:$I$107,5,0)*VLOOKUP('Données projet'!$B$11,Paramètres!$A$1:$I$89,7,0))</f>
        <v>0.33</v>
      </c>
      <c r="BN58" s="16">
        <f>IF(ISNA(VLOOKUP(A58,'Données projet'!$A$87:$I$107,6,0)),0%,VLOOKUP(A58,'Données projet'!$A$87:$I$107,6,0)*VLOOKUP('Données projet'!$B$11,Paramètres!$A$1:$I$89,7,0))</f>
        <v>0.11000000000000001</v>
      </c>
      <c r="BO58" s="16">
        <f>IF(ISNA(VLOOKUP(A58,'Données projet'!$A$87:$I$107,7,0)),0%,VLOOKUP(A58,'Données projet'!$A$87:$I$107,7,0))</f>
        <v>0.2</v>
      </c>
      <c r="BP58" s="21">
        <f>EXP(-LN(2)/35)*BP57+(1-EXP(-LN(2)/35))/(LN(2)/35)*BL58*BM58*VLOOKUP('Données projet'!$B$11,Paramètres!$A$1:$I$89,3,0)*0.475*44/12</f>
        <v>41.889600423682374</v>
      </c>
      <c r="BQ58" s="21">
        <f>EXP(-LN(2)/25)*BQ57+(1-EXP(-LN(2)/25))/(LN(2)/25)*Calculateur!BL58*Calculateur!BN58*VLOOKUP('Données projet'!$B$11,Paramètres!$A$1:$I$89,3,0)*0.475*44/12</f>
        <v>24.539195128041559</v>
      </c>
      <c r="BR58" s="21">
        <f>EXP(-LN(2)/2)*BR57+(1-EXP(-LN(2)/2))/(LN(2)/2)*BL58*BO58*VLOOKUP('Données projet'!$B$11,Paramètres!$A$1:$I$89,3,0)*0.475*44/12</f>
        <v>6.7447088466321681</v>
      </c>
      <c r="BS58" s="22">
        <f t="shared" si="9"/>
        <v>73.173504398356101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64.003591465927997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64.003591465927997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64.003591465927997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64.003591465927997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64.003591465927997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64.003591465927997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64.003591465927997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3.14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11.513333333333334</v>
      </c>
      <c r="H59" s="67">
        <f t="shared" si="1"/>
        <v>210.61333333333332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64.107615748033027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1.064108801074326E-13</v>
      </c>
      <c r="P59" s="13">
        <f t="shared" si="33"/>
        <v>1.5870730813698654E-12</v>
      </c>
      <c r="Q59" s="20">
        <f t="shared" si="53"/>
        <v>2.9494845662396269E-12</v>
      </c>
      <c r="R59" s="59">
        <f t="shared" si="0"/>
        <v>271.72792440945739</v>
      </c>
      <c r="S59" s="59">
        <f ca="1">AVERAGE(OFFSET($R$3,0,0,'Données projet'!$E$9+1,1))-AVERAGE(OFFSET($H$3,0,0,'Données projet'!$E$9+1,1))</f>
        <v>302.99089313578685</v>
      </c>
      <c r="T59" s="59">
        <f t="shared" si="34"/>
        <v>335.51949678160906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104.44063185888555</v>
      </c>
      <c r="AA59" s="21">
        <f>EXP(-LN(2)/25)*AA58+(1-EXP(-LN(2)/25))/(LN(2)/25)*Calculateur!V59*Calculateur!X59*VLOOKUP('Données projet'!$B$9,Paramètres!$A$1:$I$89,3,0)*0.475*44/12</f>
        <v>51.187008103538659</v>
      </c>
      <c r="AB59" s="21">
        <f>EXP(-LN(2)/2)*AB58+(1-EXP(-LN(2)/2))/(LN(2)/2)*V59*Y59*VLOOKUP('Données projet'!$B$9,Paramètres!$A$1:$I$89,3,0)*0.475*44/12</f>
        <v>20.339280199780514</v>
      </c>
      <c r="AC59" s="22">
        <f t="shared" si="3"/>
        <v>175.96692016220473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64.107615748033027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64.107615748033027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20</v>
      </c>
      <c r="BD59" s="12">
        <f>IF('Données projet'!$A$88&gt;35,BD58+BC59-BL58,IF(A59&lt;'Données projet'!$A$88,$BA$205^A59,IF(A59='Données projet'!$A$88,'Données projet'!$B$88,BD58+BC59-BL58)))</f>
        <v>553.99999999999989</v>
      </c>
      <c r="BE59" s="13">
        <f>BD59*VLOOKUP('Données projet'!$B$11,Paramètres!$A$1:$I$89,3,0)*VLOOKUP('Données projet'!$B$11,Paramètres!$A$1:$I$89,5,0)</f>
        <v>223.26199999999994</v>
      </c>
      <c r="BF59" s="13">
        <f t="shared" si="37"/>
        <v>54.823256841257212</v>
      </c>
      <c r="BG59" s="20">
        <f t="shared" si="7"/>
        <v>484.33182233185624</v>
      </c>
      <c r="BH59" s="59">
        <f t="shared" si="8"/>
        <v>756.05974674131062</v>
      </c>
      <c r="BI59" s="59">
        <f ca="1">AVERAGE(OFFSET($BH$3,0,0,'Données projet'!$E$11+1,1))-AVERAGE(OFFSET($H$3,0,0,'Données projet'!$E$11+1,1))</f>
        <v>377.91408971696819</v>
      </c>
      <c r="BJ59" s="59">
        <f t="shared" si="38"/>
        <v>321.68797596002366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41.068170909507359</v>
      </c>
      <c r="BQ59" s="21">
        <f>EXP(-LN(2)/25)*BQ58+(1-EXP(-LN(2)/25))/(LN(2)/25)*Calculateur!BL59*Calculateur!BN59*VLOOKUP('Données projet'!$B$11,Paramètres!$A$1:$I$89,3,0)*0.475*44/12</f>
        <v>23.868169546805078</v>
      </c>
      <c r="BR59" s="21">
        <f>EXP(-LN(2)/2)*BR58+(1-EXP(-LN(2)/2))/(LN(2)/2)*BL59*BO59*VLOOKUP('Données projet'!$B$11,Paramètres!$A$1:$I$89,3,0)*0.475*44/12</f>
        <v>4.7692293625825037</v>
      </c>
      <c r="BS59" s="22">
        <f t="shared" si="9"/>
        <v>69.705569818894944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64.107615748033027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64.107615748033027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64.107615748033027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64.107615748033027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64.107615748033027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64.107615748033027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64.107615748033027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3.14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11.513333333333334</v>
      </c>
      <c r="H60" s="67">
        <f t="shared" si="1"/>
        <v>210.61333333333332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64.20983544140698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1.064108801074326E-13</v>
      </c>
      <c r="P60" s="13">
        <f t="shared" si="33"/>
        <v>1.5870730813698654E-12</v>
      </c>
      <c r="Q60" s="20">
        <f t="shared" si="53"/>
        <v>2.9494845662396269E-12</v>
      </c>
      <c r="R60" s="59">
        <f t="shared" si="0"/>
        <v>272.10272995182856</v>
      </c>
      <c r="S60" s="59">
        <f ca="1">AVERAGE(OFFSET($R$3,0,0,'Données projet'!$E$9+1,1))-AVERAGE(OFFSET($H$3,0,0,'Données projet'!$E$9+1,1))</f>
        <v>302.99089313578685</v>
      </c>
      <c r="T60" s="59">
        <f t="shared" si="34"/>
        <v>335.51949678160906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102.39261477062814</v>
      </c>
      <c r="AA60" s="21">
        <f>EXP(-LN(2)/25)*AA59+(1-EXP(-LN(2)/25))/(LN(2)/25)*Calculateur!V60*Calculateur!X60*VLOOKUP('Données projet'!$B$9,Paramètres!$A$1:$I$89,3,0)*0.475*44/12</f>
        <v>49.787296675139629</v>
      </c>
      <c r="AB60" s="21">
        <f>EXP(-LN(2)/2)*AB59+(1-EXP(-LN(2)/2))/(LN(2)/2)*V60*Y60*VLOOKUP('Données projet'!$B$9,Paramètres!$A$1:$I$89,3,0)*0.475*44/12</f>
        <v>14.382042953718079</v>
      </c>
      <c r="AC60" s="22">
        <f t="shared" si="3"/>
        <v>166.56195439948584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64.20983544140698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64.20983544140698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20</v>
      </c>
      <c r="BD60" s="12">
        <f>IF('Données projet'!$A$88&gt;35,BD59+BC60-BL59,IF(A60&lt;'Données projet'!$A$88,$BA$205^A60,IF(A60='Données projet'!$A$88,'Données projet'!$B$88,BD59+BC60-BL59)))</f>
        <v>573.99999999999989</v>
      </c>
      <c r="BE60" s="13">
        <f>BD60*VLOOKUP('Données projet'!$B$11,Paramètres!$A$1:$I$89,3,0)*VLOOKUP('Données projet'!$B$11,Paramètres!$A$1:$I$89,5,0)</f>
        <v>231.32199999999997</v>
      </c>
      <c r="BF60" s="13">
        <f t="shared" si="37"/>
        <v>56.568433420783407</v>
      </c>
      <c r="BG60" s="20">
        <f t="shared" si="7"/>
        <v>501.40917154119774</v>
      </c>
      <c r="BH60" s="59">
        <f t="shared" si="8"/>
        <v>773.51190149302329</v>
      </c>
      <c r="BI60" s="59">
        <f ca="1">AVERAGE(OFFSET($BH$3,0,0,'Données projet'!$E$11+1,1))-AVERAGE(OFFSET($H$3,0,0,'Données projet'!$E$11+1,1))</f>
        <v>377.91408971696819</v>
      </c>
      <c r="BJ60" s="59">
        <f t="shared" si="38"/>
        <v>321.68797596002366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40.262849127082781</v>
      </c>
      <c r="BQ60" s="21">
        <f>EXP(-LN(2)/25)*BQ59+(1-EXP(-LN(2)/25))/(LN(2)/25)*Calculateur!BL60*Calculateur!BN60*VLOOKUP('Données projet'!$B$11,Paramètres!$A$1:$I$89,3,0)*0.475*44/12</f>
        <v>23.215493195375206</v>
      </c>
      <c r="BR60" s="21">
        <f>EXP(-LN(2)/2)*BR59+(1-EXP(-LN(2)/2))/(LN(2)/2)*BL60*BO60*VLOOKUP('Données projet'!$B$11,Paramètres!$A$1:$I$89,3,0)*0.475*44/12</f>
        <v>3.372354423316084</v>
      </c>
      <c r="BS60" s="22">
        <f t="shared" si="9"/>
        <v>66.850696745774073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64.20983544140698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64.20983544140698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64.20983544140698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64.20983544140698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64.20983544140698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64.20983544140698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64.20983544140698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3.14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11.513333333333334</v>
      </c>
      <c r="H61" s="67">
        <f t="shared" si="1"/>
        <v>210.61333333333332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64.310281851629895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1.064108801074326E-13</v>
      </c>
      <c r="P61" s="13">
        <f t="shared" si="33"/>
        <v>1.5870730813698654E-12</v>
      </c>
      <c r="Q61" s="20">
        <f t="shared" si="53"/>
        <v>2.9494845662396269E-12</v>
      </c>
      <c r="R61" s="59">
        <f t="shared" si="0"/>
        <v>272.47103345597924</v>
      </c>
      <c r="S61" s="59">
        <f ca="1">AVERAGE(OFFSET($R$3,0,0,'Données projet'!$E$9+1,1))-AVERAGE(OFFSET($H$3,0,0,'Données projet'!$E$9+1,1))</f>
        <v>302.99089313578685</v>
      </c>
      <c r="T61" s="59">
        <f t="shared" si="34"/>
        <v>335.51949678160906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100.38475804830438</v>
      </c>
      <c r="AA61" s="21">
        <f>EXP(-LN(2)/25)*AA60+(1-EXP(-LN(2)/25))/(LN(2)/25)*Calculateur!V61*Calculateur!X61*VLOOKUP('Données projet'!$B$9,Paramètres!$A$1:$I$89,3,0)*0.475*44/12</f>
        <v>48.425860429357797</v>
      </c>
      <c r="AB61" s="21">
        <f>EXP(-LN(2)/2)*AB60+(1-EXP(-LN(2)/2))/(LN(2)/2)*V61*Y61*VLOOKUP('Données projet'!$B$9,Paramètres!$A$1:$I$89,3,0)*0.475*44/12</f>
        <v>10.169640099890257</v>
      </c>
      <c r="AC61" s="22">
        <f t="shared" si="3"/>
        <v>158.98025857755241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64.310281851629895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64.310281851629895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20</v>
      </c>
      <c r="BD61" s="12">
        <f>IF('Données projet'!$A$88&gt;35,BD60+BC61-BL60,IF(A61&lt;'Données projet'!$A$88,$BA$205^A61,IF(A61='Données projet'!$A$88,'Données projet'!$B$88,BD60+BC61-BL60)))</f>
        <v>593.99999999999989</v>
      </c>
      <c r="BE61" s="13">
        <f>BD61*VLOOKUP('Données projet'!$B$11,Paramètres!$A$1:$I$89,3,0)*VLOOKUP('Données projet'!$B$11,Paramètres!$A$1:$I$89,5,0)</f>
        <v>239.38199999999995</v>
      </c>
      <c r="BF61" s="13">
        <f t="shared" si="37"/>
        <v>58.306544825667189</v>
      </c>
      <c r="BG61" s="20">
        <f t="shared" si="7"/>
        <v>518.47421557137011</v>
      </c>
      <c r="BH61" s="59">
        <f t="shared" si="8"/>
        <v>790.94524902734634</v>
      </c>
      <c r="BI61" s="59">
        <f ca="1">AVERAGE(OFFSET($BH$3,0,0,'Données projet'!$E$11+1,1))-AVERAGE(OFFSET($H$3,0,0,'Données projet'!$E$11+1,1))</f>
        <v>377.91408971696819</v>
      </c>
      <c r="BJ61" s="59">
        <f t="shared" si="38"/>
        <v>321.68797596002366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39.473319213613763</v>
      </c>
      <c r="BQ61" s="21">
        <f>EXP(-LN(2)/25)*BQ60+(1-EXP(-LN(2)/25))/(LN(2)/25)*Calculateur!BL61*Calculateur!BN61*VLOOKUP('Données projet'!$B$11,Paramètres!$A$1:$I$89,3,0)*0.475*44/12</f>
        <v>22.580664313097945</v>
      </c>
      <c r="BR61" s="21">
        <f>EXP(-LN(2)/2)*BR60+(1-EXP(-LN(2)/2))/(LN(2)/2)*BL61*BO61*VLOOKUP('Données projet'!$B$11,Paramètres!$A$1:$I$89,3,0)*0.475*44/12</f>
        <v>2.3846146812912519</v>
      </c>
      <c r="BS61" s="22">
        <f t="shared" si="9"/>
        <v>64.438598208002958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64.310281851629895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64.310281851629895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64.310281851629895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64.310281851629895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64.310281851629895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64.310281851629895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64.310281851629895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3.14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11.513333333333334</v>
      </c>
      <c r="H62" s="67">
        <f t="shared" si="1"/>
        <v>210.61333333333332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64.408985741199984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1.064108801074326E-13</v>
      </c>
      <c r="P62" s="13">
        <f t="shared" si="33"/>
        <v>1.5870730813698654E-12</v>
      </c>
      <c r="Q62" s="20">
        <f t="shared" si="53"/>
        <v>2.9494845662396269E-12</v>
      </c>
      <c r="R62" s="59">
        <f t="shared" si="0"/>
        <v>272.8329477177362</v>
      </c>
      <c r="S62" s="59">
        <f ca="1">AVERAGE(OFFSET($R$3,0,0,'Données projet'!$E$9+1,1))-AVERAGE(OFFSET($H$3,0,0,'Données projet'!$E$9+1,1))</f>
        <v>302.99089313578685</v>
      </c>
      <c r="T62" s="59">
        <f t="shared" si="34"/>
        <v>335.51949678160906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98.416274171633717</v>
      </c>
      <c r="AA62" s="21">
        <f>EXP(-LN(2)/25)*AA61+(1-EXP(-LN(2)/25))/(LN(2)/25)*Calculateur!V62*Calculateur!X62*VLOOKUP('Données projet'!$B$9,Paramètres!$A$1:$I$89,3,0)*0.475*44/12</f>
        <v>47.101652729311688</v>
      </c>
      <c r="AB62" s="21">
        <f>EXP(-LN(2)/2)*AB61+(1-EXP(-LN(2)/2))/(LN(2)/2)*V62*Y62*VLOOKUP('Données projet'!$B$9,Paramètres!$A$1:$I$89,3,0)*0.475*44/12</f>
        <v>7.1910214768590395</v>
      </c>
      <c r="AC62" s="22">
        <f t="shared" si="3"/>
        <v>152.70894837780446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64.408985741199984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64.408985741199984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20</v>
      </c>
      <c r="BD62" s="12">
        <f>IF('Données projet'!$A$88&gt;35,BD61+BC62-BL61,IF(A62&lt;'Données projet'!$A$88,$BA$205^A62,IF(A62='Données projet'!$A$88,'Données projet'!$B$88,BD61+BC62-BL61)))</f>
        <v>613.99999999999989</v>
      </c>
      <c r="BE62" s="13">
        <f>BD62*VLOOKUP('Données projet'!$B$11,Paramètres!$A$1:$I$89,3,0)*VLOOKUP('Données projet'!$B$11,Paramètres!$A$1:$I$89,5,0)</f>
        <v>247.44199999999998</v>
      </c>
      <c r="BF62" s="13">
        <f t="shared" si="37"/>
        <v>60.03785621239043</v>
      </c>
      <c r="BG62" s="20">
        <f t="shared" si="7"/>
        <v>535.52741623657994</v>
      </c>
      <c r="BH62" s="59">
        <f t="shared" si="8"/>
        <v>808.36036395431324</v>
      </c>
      <c r="BI62" s="59">
        <f ca="1">AVERAGE(OFFSET($BH$3,0,0,'Données projet'!$E$11+1,1))-AVERAGE(OFFSET($H$3,0,0,'Données projet'!$E$11+1,1))</f>
        <v>377.91408971696819</v>
      </c>
      <c r="BJ62" s="59">
        <f t="shared" si="38"/>
        <v>321.68797596002366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38.699271500182178</v>
      </c>
      <c r="BQ62" s="21">
        <f>EXP(-LN(2)/25)*BQ61+(1-EXP(-LN(2)/25))/(LN(2)/25)*Calculateur!BL62*Calculateur!BN62*VLOOKUP('Données projet'!$B$11,Paramètres!$A$1:$I$89,3,0)*0.475*44/12</f>
        <v>21.963194859990754</v>
      </c>
      <c r="BR62" s="21">
        <f>EXP(-LN(2)/2)*BR61+(1-EXP(-LN(2)/2))/(LN(2)/2)*BL62*BO62*VLOOKUP('Données projet'!$B$11,Paramètres!$A$1:$I$89,3,0)*0.475*44/12</f>
        <v>1.686177211658042</v>
      </c>
      <c r="BS62" s="22">
        <f t="shared" si="9"/>
        <v>62.348643571830969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64.408985741199984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64.408985741199984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64.408985741199984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64.408985741199984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64.408985741199984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64.408985741199984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64.408985741199984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3.14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11.513333333333334</v>
      </c>
      <c r="H63" s="67">
        <f t="shared" si="1"/>
        <v>210.61333333333332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64.505977338954864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1.064108801074326E-13</v>
      </c>
      <c r="P63" s="13">
        <f t="shared" si="33"/>
        <v>1.5870730813698654E-12</v>
      </c>
      <c r="Q63" s="20">
        <f t="shared" si="53"/>
        <v>2.9494845662396269E-12</v>
      </c>
      <c r="R63" s="59">
        <f t="shared" si="0"/>
        <v>273.1885835761708</v>
      </c>
      <c r="S63" s="59">
        <f ca="1">AVERAGE(OFFSET($R$3,0,0,'Données projet'!$E$9+1,1))-AVERAGE(OFFSET($H$3,0,0,'Données projet'!$E$9+1,1))</f>
        <v>302.99089313578685</v>
      </c>
      <c r="T63" s="59">
        <f t="shared" si="34"/>
        <v>335.51949678160906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96.486391063127954</v>
      </c>
      <c r="AA63" s="21">
        <f>EXP(-LN(2)/25)*AA62+(1-EXP(-LN(2)/25))/(LN(2)/25)*Calculateur!V63*Calculateur!X63*VLOOKUP('Données projet'!$B$9,Paramètres!$A$1:$I$89,3,0)*0.475*44/12</f>
        <v>45.813655558460397</v>
      </c>
      <c r="AB63" s="21">
        <f>EXP(-LN(2)/2)*AB62+(1-EXP(-LN(2)/2))/(LN(2)/2)*V63*Y63*VLOOKUP('Données projet'!$B$9,Paramètres!$A$1:$I$89,3,0)*0.475*44/12</f>
        <v>5.0848200499451286</v>
      </c>
      <c r="AC63" s="22">
        <f t="shared" si="3"/>
        <v>147.3848666715335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64.505977338954864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64.505977338954864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634</v>
      </c>
      <c r="BB63" s="12">
        <f>VLOOKUP(A63,'Données projet'!$A$87:$I$107,9,0)</f>
        <v>20</v>
      </c>
      <c r="BC63" s="12">
        <f t="array" ref="BC63">INDEX(BB:BB,MIN(IF(ISNUMBER(BB63:BB259),ROW(BB63:BB259),"")))</f>
        <v>20</v>
      </c>
      <c r="BD63" s="12">
        <f>IF('Données projet'!$A$88&gt;35,BD62+BC63-BL62,IF(A63&lt;'Données projet'!$A$88,$BA$205^A63,IF(A63='Données projet'!$A$88,'Données projet'!$B$88,BD62+BC63-BL62)))</f>
        <v>633.99999999999989</v>
      </c>
      <c r="BE63" s="13">
        <f>BD63*VLOOKUP('Données projet'!$B$11,Paramètres!$A$1:$I$89,3,0)*VLOOKUP('Données projet'!$B$11,Paramètres!$A$1:$I$89,5,0)</f>
        <v>255.50199999999995</v>
      </c>
      <c r="BF63" s="13">
        <f t="shared" si="37"/>
        <v>61.762614482849855</v>
      </c>
      <c r="BG63" s="20">
        <f t="shared" si="7"/>
        <v>552.56920355763009</v>
      </c>
      <c r="BH63" s="59">
        <f t="shared" si="8"/>
        <v>825.75778713379793</v>
      </c>
      <c r="BI63" s="59">
        <f ca="1">AVERAGE(OFFSET($BH$3,0,0,'Données projet'!$E$11+1,1))-AVERAGE(OFFSET($H$3,0,0,'Données projet'!$E$11+1,1))</f>
        <v>377.91408971696819</v>
      </c>
      <c r="BJ63" s="59">
        <f t="shared" si="38"/>
        <v>321.68797596002366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53</v>
      </c>
      <c r="BM63" s="16">
        <f>IF(ISNA(VLOOKUP(A63,'Données projet'!$A$87:$I$107,5,0)),0%,VLOOKUP(A63,'Données projet'!$A$87:$I$107,5,0)*VLOOKUP('Données projet'!$B$11,Paramètres!$A$1:$I$89,7,0))</f>
        <v>0.33</v>
      </c>
      <c r="BN63" s="16">
        <f>IF(ISNA(VLOOKUP(A63,'Données projet'!$A$87:$I$107,6,0)),0%,VLOOKUP(A63,'Données projet'!$A$87:$I$107,6,0)*VLOOKUP('Données projet'!$B$11,Paramètres!$A$1:$I$89,7,0))</f>
        <v>0.11000000000000001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47.290652157520434</v>
      </c>
      <c r="BQ63" s="21">
        <f>EXP(-LN(2)/25)*BQ62+(1-EXP(-LN(2)/25))/(LN(2)/25)*Calculateur!BL63*Calculateur!BN63*VLOOKUP('Données projet'!$B$11,Paramètres!$A$1:$I$89,3,0)*0.475*44/12</f>
        <v>24.467088231941375</v>
      </c>
      <c r="BR63" s="21">
        <f>EXP(-LN(2)/2)*BR62+(1-EXP(-LN(2)/2))/(LN(2)/2)*BL63*BO63*VLOOKUP('Données projet'!$B$11,Paramètres!$A$1:$I$89,3,0)*0.475*44/12</f>
        <v>6.0289772692191832</v>
      </c>
      <c r="BS63" s="22">
        <f t="shared" si="9"/>
        <v>77.786717658680999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64.505977338954864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64.505977338954864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64.505977338954864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64.505977338954864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64.505977338954864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64.505977338954864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64.505977338954864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3.14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11.513333333333334</v>
      </c>
      <c r="H64" s="67">
        <f t="shared" si="1"/>
        <v>210.61333333333332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64.601286349329428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1.064108801074326E-13</v>
      </c>
      <c r="P64" s="13">
        <f t="shared" si="33"/>
        <v>1.5870730813698654E-12</v>
      </c>
      <c r="Q64" s="20">
        <f t="shared" si="53"/>
        <v>2.9494845662396269E-12</v>
      </c>
      <c r="R64" s="59">
        <f t="shared" si="0"/>
        <v>273.53804994754415</v>
      </c>
      <c r="S64" s="59">
        <f ca="1">AVERAGE(OFFSET($R$3,0,0,'Données projet'!$E$9+1,1))-AVERAGE(OFFSET($H$3,0,0,'Données projet'!$E$9+1,1))</f>
        <v>302.99089313578685</v>
      </c>
      <c r="T64" s="59">
        <f t="shared" si="34"/>
        <v>335.51949678160906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94.59435178526752</v>
      </c>
      <c r="AA64" s="21">
        <f>EXP(-LN(2)/25)*AA63+(1-EXP(-LN(2)/25))/(LN(2)/25)*Calculateur!V64*Calculateur!X64*VLOOKUP('Données projet'!$B$9,Paramètres!$A$1:$I$89,3,0)*0.475*44/12</f>
        <v>44.560878737978861</v>
      </c>
      <c r="AB64" s="21">
        <f>EXP(-LN(2)/2)*AB63+(1-EXP(-LN(2)/2))/(LN(2)/2)*V64*Y64*VLOOKUP('Données projet'!$B$9,Paramètres!$A$1:$I$89,3,0)*0.475*44/12</f>
        <v>3.5955107384295197</v>
      </c>
      <c r="AC64" s="22">
        <f t="shared" si="3"/>
        <v>142.7507412616759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64.601286349329428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64.601286349329428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18.600000000000001</v>
      </c>
      <c r="BD64" s="12">
        <f>IF('Données projet'!$A$88&gt;35,BD63+BC64-BL63,IF(A64&lt;'Données projet'!$A$88,$BA$205^A64,IF(A64='Données projet'!$A$88,'Données projet'!$B$88,BD63+BC64-BL63)))</f>
        <v>599.59999999999991</v>
      </c>
      <c r="BE64" s="13">
        <f>BD64*VLOOKUP('Données projet'!$B$11,Paramètres!$A$1:$I$89,3,0)*VLOOKUP('Données projet'!$B$11,Paramètres!$A$1:$I$89,5,0)</f>
        <v>241.63879999999997</v>
      </c>
      <c r="BF64" s="13">
        <f t="shared" si="37"/>
        <v>58.791986515489242</v>
      </c>
      <c r="BG64" s="20">
        <f t="shared" si="7"/>
        <v>523.25028651447701</v>
      </c>
      <c r="BH64" s="59">
        <f t="shared" si="8"/>
        <v>796.78833646201815</v>
      </c>
      <c r="BI64" s="59">
        <f ca="1">AVERAGE(OFFSET($BH$3,0,0,'Données projet'!$E$11+1,1))-AVERAGE(OFFSET($H$3,0,0,'Données projet'!$E$11+1,1))</f>
        <v>377.91408971696819</v>
      </c>
      <c r="BJ64" s="59">
        <f t="shared" si="38"/>
        <v>321.68797596002366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46.36331131316112</v>
      </c>
      <c r="BQ64" s="21">
        <f>EXP(-LN(2)/25)*BQ63+(1-EXP(-LN(2)/25))/(LN(2)/25)*Calculateur!BL64*Calculateur!BN64*VLOOKUP('Données projet'!$B$11,Paramètres!$A$1:$I$89,3,0)*0.475*44/12</f>
        <v>23.798034417570687</v>
      </c>
      <c r="BR64" s="21">
        <f>EXP(-LN(2)/2)*BR63+(1-EXP(-LN(2)/2))/(LN(2)/2)*BL64*BO64*VLOOKUP('Données projet'!$B$11,Paramètres!$A$1:$I$89,3,0)*0.475*44/12</f>
        <v>4.2631307106844378</v>
      </c>
      <c r="BS64" s="22">
        <f t="shared" si="9"/>
        <v>74.424476441416246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64.601286349329428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64.601286349329428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64.601286349329428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64.601286349329428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64.601286349329428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64.601286349329428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64.601286349329428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3.14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11.513333333333334</v>
      </c>
      <c r="H65" s="67">
        <f t="shared" si="1"/>
        <v>210.61333333333332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64.694941961453011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1.064108801074326E-13</v>
      </c>
      <c r="P65" s="13">
        <f t="shared" si="33"/>
        <v>1.5870730813698654E-12</v>
      </c>
      <c r="Q65" s="20">
        <f t="shared" si="53"/>
        <v>2.9494845662396269E-12</v>
      </c>
      <c r="R65" s="59">
        <f t="shared" si="0"/>
        <v>273.88145385866397</v>
      </c>
      <c r="S65" s="59">
        <f ca="1">AVERAGE(OFFSET($R$3,0,0,'Données projet'!$E$9+1,1))-AVERAGE(OFFSET($H$3,0,0,'Données projet'!$E$9+1,1))</f>
        <v>302.99089313578685</v>
      </c>
      <c r="T65" s="59">
        <f t="shared" si="34"/>
        <v>335.51949678160906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92.739414243615926</v>
      </c>
      <c r="AA65" s="21">
        <f>EXP(-LN(2)/25)*AA64+(1-EXP(-LN(2)/25))/(LN(2)/25)*Calculateur!V65*Calculateur!X65*VLOOKUP('Données projet'!$B$9,Paramètres!$A$1:$I$89,3,0)*0.475*44/12</f>
        <v>43.342359165534063</v>
      </c>
      <c r="AB65" s="21">
        <f>EXP(-LN(2)/2)*AB64+(1-EXP(-LN(2)/2))/(LN(2)/2)*V65*Y65*VLOOKUP('Données projet'!$B$9,Paramètres!$A$1:$I$89,3,0)*0.475*44/12</f>
        <v>2.5424100249725643</v>
      </c>
      <c r="AC65" s="22">
        <f t="shared" si="3"/>
        <v>138.62418343412256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64.694941961453011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64.694941961453011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18.600000000000001</v>
      </c>
      <c r="BD65" s="12">
        <f>IF('Données projet'!$A$88&gt;35,BD64+BC65-BL64,IF(A65&lt;'Données projet'!$A$88,$BA$205^A65,IF(A65='Données projet'!$A$88,'Données projet'!$B$88,BD64+BC65-BL64)))</f>
        <v>618.19999999999993</v>
      </c>
      <c r="BE65" s="13">
        <f>BD65*VLOOKUP('Données projet'!$B$11,Paramètres!$A$1:$I$89,3,0)*VLOOKUP('Données projet'!$B$11,Paramètres!$A$1:$I$89,5,0)</f>
        <v>249.13459999999998</v>
      </c>
      <c r="BF65" s="13">
        <f t="shared" si="37"/>
        <v>60.400591085015598</v>
      </c>
      <c r="BG65" s="20">
        <f t="shared" si="7"/>
        <v>539.10712447306878</v>
      </c>
      <c r="BH65" s="59">
        <f t="shared" si="8"/>
        <v>812.98857833172974</v>
      </c>
      <c r="BI65" s="59">
        <f ca="1">AVERAGE(OFFSET($BH$3,0,0,'Données projet'!$E$11+1,1))-AVERAGE(OFFSET($H$3,0,0,'Données projet'!$E$11+1,1))</f>
        <v>377.91408971696819</v>
      </c>
      <c r="BJ65" s="59">
        <f t="shared" si="38"/>
        <v>321.68797596002366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45.454155057137626</v>
      </c>
      <c r="BQ65" s="21">
        <f>EXP(-LN(2)/25)*BQ64+(1-EXP(-LN(2)/25))/(LN(2)/25)*Calculateur!BL65*Calculateur!BN65*VLOOKUP('Données projet'!$B$11,Paramètres!$A$1:$I$89,3,0)*0.475*44/12</f>
        <v>23.147275914937978</v>
      </c>
      <c r="BR65" s="21">
        <f>EXP(-LN(2)/2)*BR64+(1-EXP(-LN(2)/2))/(LN(2)/2)*BL65*BO65*VLOOKUP('Données projet'!$B$11,Paramètres!$A$1:$I$89,3,0)*0.475*44/12</f>
        <v>3.014488634609592</v>
      </c>
      <c r="BS65" s="22">
        <f t="shared" si="9"/>
        <v>71.615919606685196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64.694941961453011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64.694941961453011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64.694941961453011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64.694941961453011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64.694941961453011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64.694941961453011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64.694941961453011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3.14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11.513333333333334</v>
      </c>
      <c r="H66" s="67">
        <f t="shared" si="1"/>
        <v>210.61333333333332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64.786972858088831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1.064108801074326E-13</v>
      </c>
      <c r="P66" s="13">
        <f t="shared" si="33"/>
        <v>1.5870730813698654E-12</v>
      </c>
      <c r="Q66" s="20">
        <f t="shared" si="53"/>
        <v>2.9494845662396269E-12</v>
      </c>
      <c r="R66" s="59">
        <f t="shared" si="0"/>
        <v>274.21890047966201</v>
      </c>
      <c r="S66" s="59">
        <f ca="1">AVERAGE(OFFSET($R$3,0,0,'Données projet'!$E$9+1,1))-AVERAGE(OFFSET($H$3,0,0,'Données projet'!$E$9+1,1))</f>
        <v>302.99089313578685</v>
      </c>
      <c r="T66" s="59">
        <f t="shared" si="34"/>
        <v>335.51949678160906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90.920850895755933</v>
      </c>
      <c r="AA66" s="21">
        <f>EXP(-LN(2)/25)*AA65+(1-EXP(-LN(2)/25))/(LN(2)/25)*Calculateur!V66*Calculateur!X66*VLOOKUP('Données projet'!$B$9,Paramètres!$A$1:$I$89,3,0)*0.475*44/12</f>
        <v>42.157160074876927</v>
      </c>
      <c r="AB66" s="21">
        <f>EXP(-LN(2)/2)*AB65+(1-EXP(-LN(2)/2))/(LN(2)/2)*V66*Y66*VLOOKUP('Données projet'!$B$9,Paramètres!$A$1:$I$89,3,0)*0.475*44/12</f>
        <v>1.7977553692147599</v>
      </c>
      <c r="AC66" s="22">
        <f t="shared" si="3"/>
        <v>134.87576633984764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64.786972858088831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64.786972858088831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18.600000000000001</v>
      </c>
      <c r="BD66" s="12">
        <f>IF('Données projet'!$A$88&gt;35,BD65+BC66-BL65,IF(A66&lt;'Données projet'!$A$88,$BA$205^A66,IF(A66='Données projet'!$A$88,'Données projet'!$B$88,BD65+BC66-BL65)))</f>
        <v>636.79999999999995</v>
      </c>
      <c r="BE66" s="13">
        <f>BD66*VLOOKUP('Données projet'!$B$11,Paramètres!$A$1:$I$89,3,0)*VLOOKUP('Données projet'!$B$11,Paramètres!$A$1:$I$89,5,0)</f>
        <v>256.63040000000001</v>
      </c>
      <c r="BF66" s="13">
        <f t="shared" si="37"/>
        <v>62.003571008536611</v>
      </c>
      <c r="BG66" s="20">
        <f t="shared" si="7"/>
        <v>554.9541661732012</v>
      </c>
      <c r="BH66" s="59">
        <f t="shared" si="8"/>
        <v>829.17306665286026</v>
      </c>
      <c r="BI66" s="59">
        <f ca="1">AVERAGE(OFFSET($BH$3,0,0,'Données projet'!$E$11+1,1))-AVERAGE(OFFSET($H$3,0,0,'Données projet'!$E$11+1,1))</f>
        <v>377.91408971696819</v>
      </c>
      <c r="BJ66" s="59">
        <f t="shared" si="38"/>
        <v>321.68797596002366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44.562826800764192</v>
      </c>
      <c r="BQ66" s="21">
        <f>EXP(-LN(2)/25)*BQ65+(1-EXP(-LN(2)/25))/(LN(2)/25)*Calculateur!BL66*Calculateur!BN66*VLOOKUP('Données projet'!$B$11,Paramètres!$A$1:$I$89,3,0)*0.475*44/12</f>
        <v>22.514312437781662</v>
      </c>
      <c r="BR66" s="21">
        <f>EXP(-LN(2)/2)*BR65+(1-EXP(-LN(2)/2))/(LN(2)/2)*BL66*BO66*VLOOKUP('Données projet'!$B$11,Paramètres!$A$1:$I$89,3,0)*0.475*44/12</f>
        <v>2.1315653553422194</v>
      </c>
      <c r="BS66" s="22">
        <f t="shared" si="9"/>
        <v>69.208704593888072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64.786972858088831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64.786972858088831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64.786972858088831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64.786972858088831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64.786972858088831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64.786972858088831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64.786972858088831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3.14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11.513333333333334</v>
      </c>
      <c r="H67" s="67">
        <f t="shared" si="1"/>
        <v>210.61333333333332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64.877407224418278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1.064108801074326E-13</v>
      </c>
      <c r="P67" s="13">
        <f t="shared" si="33"/>
        <v>1.5870730813698654E-12</v>
      </c>
      <c r="Q67" s="20">
        <f t="shared" ref="Q67:Q98" si="54">(O67+P67)*0.475*44/12</f>
        <v>2.9494845662396269E-12</v>
      </c>
      <c r="R67" s="59">
        <f t="shared" ref="R67:R130" si="55">Q67+(I67+J67)*44/12</f>
        <v>274.55049315620334</v>
      </c>
      <c r="S67" s="59">
        <f ca="1">AVERAGE(OFFSET($R$3,0,0,'Données projet'!$E$9+1,1))-AVERAGE(OFFSET($H$3,0,0,'Données projet'!$E$9+1,1))</f>
        <v>302.99089313578685</v>
      </c>
      <c r="T67" s="59">
        <f t="shared" si="34"/>
        <v>335.51949678160906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89.137948465933363</v>
      </c>
      <c r="AA67" s="21">
        <f>EXP(-LN(2)/25)*AA66+(1-EXP(-LN(2)/25))/(LN(2)/25)*Calculateur!V67*Calculateur!X67*VLOOKUP('Données projet'!$B$9,Paramètres!$A$1:$I$89,3,0)*0.475*44/12</f>
        <v>41.004370315680724</v>
      </c>
      <c r="AB67" s="21">
        <f>EXP(-LN(2)/2)*AB66+(1-EXP(-LN(2)/2))/(LN(2)/2)*V67*Y67*VLOOKUP('Données projet'!$B$9,Paramètres!$A$1:$I$89,3,0)*0.475*44/12</f>
        <v>1.2712050124862821</v>
      </c>
      <c r="AC67" s="22">
        <f t="shared" si="3"/>
        <v>131.41352379410037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64.877407224418278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64.877407224418278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18.600000000000001</v>
      </c>
      <c r="BD67" s="12">
        <f>IF('Données projet'!$A$88&gt;35,BD66+BC67-BL66,IF(A67&lt;'Données projet'!$A$88,$BA$205^A67,IF(A67='Données projet'!$A$88,'Données projet'!$B$88,BD66+BC67-BL66)))</f>
        <v>655.4</v>
      </c>
      <c r="BE67" s="13">
        <f>BD67*VLOOKUP('Données projet'!$B$11,Paramètres!$A$1:$I$89,3,0)*VLOOKUP('Données projet'!$B$11,Paramètres!$A$1:$I$89,5,0)</f>
        <v>264.12619999999998</v>
      </c>
      <c r="BF67" s="13">
        <f t="shared" si="37"/>
        <v>63.601109438211878</v>
      </c>
      <c r="BG67" s="20">
        <f t="shared" si="7"/>
        <v>570.79173060488563</v>
      </c>
      <c r="BH67" s="59">
        <f t="shared" si="8"/>
        <v>845.34222376108596</v>
      </c>
      <c r="BI67" s="59">
        <f ca="1">AVERAGE(OFFSET($BH$3,0,0,'Données projet'!$E$11+1,1))-AVERAGE(OFFSET($H$3,0,0,'Données projet'!$E$11+1,1))</f>
        <v>377.91408971696819</v>
      </c>
      <c r="BJ67" s="59">
        <f t="shared" si="38"/>
        <v>321.68797596002366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43.688976947841688</v>
      </c>
      <c r="BQ67" s="21">
        <f>EXP(-LN(2)/25)*BQ66+(1-EXP(-LN(2)/25))/(LN(2)/25)*Calculateur!BL67*Calculateur!BN67*VLOOKUP('Données projet'!$B$11,Paramètres!$A$1:$I$89,3,0)*0.475*44/12</f>
        <v>21.898657380194287</v>
      </c>
      <c r="BR67" s="21">
        <f>EXP(-LN(2)/2)*BR66+(1-EXP(-LN(2)/2))/(LN(2)/2)*BL67*BO67*VLOOKUP('Données projet'!$B$11,Paramètres!$A$1:$I$89,3,0)*0.475*44/12</f>
        <v>1.5072443173047962</v>
      </c>
      <c r="BS67" s="22">
        <f t="shared" si="9"/>
        <v>67.094878645340771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64.877407224418278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64.877407224418278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64.877407224418278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64.877407224418278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64.877407224418278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64.877407224418278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64.877407224418278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3.14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11.513333333333334</v>
      </c>
      <c r="H68" s="67">
        <f t="shared" ref="H68:H131" si="56">(B68+E68+F68)*44/12+(C68+D68)*0.475*44/12</f>
        <v>210.61333333333332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64.966272756672879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1.064108801074326E-13</v>
      </c>
      <c r="P68" s="13">
        <f t="shared" si="33"/>
        <v>1.5870730813698654E-12</v>
      </c>
      <c r="Q68" s="20">
        <f t="shared" si="54"/>
        <v>2.9494845662396269E-12</v>
      </c>
      <c r="R68" s="59">
        <f t="shared" si="55"/>
        <v>274.87633344113686</v>
      </c>
      <c r="S68" s="59">
        <f ca="1">AVERAGE(OFFSET($R$3,0,0,'Données projet'!$E$9+1,1))-AVERAGE(OFFSET($H$3,0,0,'Données projet'!$E$9+1,1))</f>
        <v>302.99089313578685</v>
      </c>
      <c r="T68" s="59">
        <f t="shared" si="34"/>
        <v>335.51949678160906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87.390007665296508</v>
      </c>
      <c r="AA68" s="21">
        <f>EXP(-LN(2)/25)*AA67+(1-EXP(-LN(2)/25))/(LN(2)/25)*Calculateur!V68*Calculateur!X68*VLOOKUP('Données projet'!$B$9,Paramètres!$A$1:$I$89,3,0)*0.475*44/12</f>
        <v>39.883103653072318</v>
      </c>
      <c r="AB68" s="21">
        <f>EXP(-LN(2)/2)*AB67+(1-EXP(-LN(2)/2))/(LN(2)/2)*V68*Y68*VLOOKUP('Données projet'!$B$9,Paramètres!$A$1:$I$89,3,0)*0.475*44/12</f>
        <v>0.89887768460737993</v>
      </c>
      <c r="AC68" s="22">
        <f t="shared" ref="AC68:AC131" si="57">SUM(Z68:AB68)</f>
        <v>128.1719890029762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64.966272756672879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64.966272756672879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674</v>
      </c>
      <c r="BB68" s="12">
        <f>VLOOKUP(A68,'Données projet'!$A$87:$I$107,9,0)</f>
        <v>18.600000000000001</v>
      </c>
      <c r="BC68" s="12">
        <f t="array" ref="BC68">INDEX(BB:BB,MIN(IF(ISNUMBER(BB68:BB264),ROW(BB68:BB264),"")))</f>
        <v>18.600000000000001</v>
      </c>
      <c r="BD68" s="12">
        <f>IF('Données projet'!$A$88&gt;35,BD67+BC68-BL67,IF(A68&lt;'Données projet'!$A$88,$BA$205^A68,IF(A68='Données projet'!$A$88,'Données projet'!$B$88,BD67+BC68-BL67)))</f>
        <v>674</v>
      </c>
      <c r="BE68" s="13">
        <f>BD68*VLOOKUP('Données projet'!$B$11,Paramètres!$A$1:$I$89,3,0)*VLOOKUP('Données projet'!$B$11,Paramètres!$A$1:$I$89,5,0)</f>
        <v>271.62200000000001</v>
      </c>
      <c r="BF68" s="13">
        <f t="shared" si="37"/>
        <v>65.193378539290876</v>
      </c>
      <c r="BG68" s="20">
        <f t="shared" ref="BG68:BG131" si="61">(BE68+BF68)*0.475*44/12</f>
        <v>586.62011762259829</v>
      </c>
      <c r="BH68" s="59">
        <f t="shared" ref="BH68:BH131" si="62">BG68+(AY68+AZ68)*44/12</f>
        <v>861.49645106373214</v>
      </c>
      <c r="BI68" s="59">
        <f ca="1">AVERAGE(OFFSET($BH$3,0,0,'Données projet'!$E$11+1,1))-AVERAGE(OFFSET($H$3,0,0,'Données projet'!$E$11+1,1))</f>
        <v>377.91408971696819</v>
      </c>
      <c r="BJ68" s="59">
        <f t="shared" si="38"/>
        <v>321.68797596002366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48</v>
      </c>
      <c r="BM68" s="16">
        <f>IF(ISNA(VLOOKUP(A68,'Données projet'!$A$87:$I$107,5,0)),0%,VLOOKUP(A68,'Données projet'!$A$87:$I$107,5,0)*VLOOKUP('Données projet'!$B$11,Paramètres!$A$1:$I$89,7,0))</f>
        <v>0.33</v>
      </c>
      <c r="BN68" s="16">
        <f>IF(ISNA(VLOOKUP(A68,'Données projet'!$A$87:$I$107,6,0)),0%,VLOOKUP(A68,'Données projet'!$A$87:$I$107,6,0)*VLOOKUP('Données projet'!$B$11,Paramètres!$A$1:$I$89,7,0))</f>
        <v>0.11000000000000001</v>
      </c>
      <c r="BO68" s="16">
        <f>IF(ISNA(VLOOKUP(A68,'Données projet'!$A$87:$I$107,7,0)),0%,VLOOKUP(A68,'Données projet'!$A$87:$I$107,7,0))</f>
        <v>0.2</v>
      </c>
      <c r="BP68" s="21">
        <f>EXP(-LN(2)/35)*BP67+(1-EXP(-LN(2)/35))/(LN(2)/35)*BL68*BM68*VLOOKUP('Données projet'!$B$11,Paramètres!$A$1:$I$89,3,0)*0.475*44/12</f>
        <v>51.30041349012663</v>
      </c>
      <c r="BQ68" s="21">
        <f>EXP(-LN(2)/25)*BQ67+(1-EXP(-LN(2)/25))/(LN(2)/25)*Calculateur!BL68*Calculateur!BN68*VLOOKUP('Données projet'!$B$11,Paramètres!$A$1:$I$89,3,0)*0.475*44/12</f>
        <v>24.111440241377473</v>
      </c>
      <c r="BR68" s="21">
        <f>EXP(-LN(2)/2)*BR67+(1-EXP(-LN(2)/2))/(LN(2)/2)*BL68*BO68*VLOOKUP('Données projet'!$B$11,Paramètres!$A$1:$I$89,3,0)*0.475*44/12</f>
        <v>5.4461629903415005</v>
      </c>
      <c r="BS68" s="22">
        <f t="shared" ref="BS68:BS131" si="63">SUM(BP68:BR68)</f>
        <v>80.858016721845601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64.966272756672879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64.966272756672879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64.966272756672879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64.966272756672879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64.966272756672879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64.966272756672879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64.966272756672879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3.14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11.513333333333334</v>
      </c>
      <c r="H69" s="67">
        <f t="shared" si="56"/>
        <v>210.61333333333332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65.0535966706164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1.064108801074326E-13</v>
      </c>
      <c r="P69" s="13">
        <f t="shared" ref="P69:P132" si="87">EXP(-1.0587+0.8836*LN(O69)+0.284)</f>
        <v>1.5870730813698654E-12</v>
      </c>
      <c r="Q69" s="20">
        <f t="shared" si="54"/>
        <v>2.9494845662396269E-12</v>
      </c>
      <c r="R69" s="59">
        <f t="shared" si="55"/>
        <v>275.19652112559646</v>
      </c>
      <c r="S69" s="59">
        <f ca="1">AVERAGE(OFFSET($R$3,0,0,'Données projet'!$E$9+1,1))-AVERAGE(OFFSET($H$3,0,0,'Données projet'!$E$9+1,1))</f>
        <v>302.99089313578685</v>
      </c>
      <c r="T69" s="59">
        <f t="shared" ref="T69:T132" si="88">$T$3</f>
        <v>335.51949678160906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85.676342917621525</v>
      </c>
      <c r="AA69" s="21">
        <f>EXP(-LN(2)/25)*AA68+(1-EXP(-LN(2)/25))/(LN(2)/25)*Calculateur!V69*Calculateur!X69*VLOOKUP('Données projet'!$B$9,Paramètres!$A$1:$I$89,3,0)*0.475*44/12</f>
        <v>38.792498086317785</v>
      </c>
      <c r="AB69" s="21">
        <f>EXP(-LN(2)/2)*AB68+(1-EXP(-LN(2)/2))/(LN(2)/2)*V69*Y69*VLOOKUP('Données projet'!$B$9,Paramètres!$A$1:$I$89,3,0)*0.475*44/12</f>
        <v>0.63560250624314107</v>
      </c>
      <c r="AC69" s="22">
        <f t="shared" si="57"/>
        <v>125.10444351018245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65.0535966706164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65.0535966706164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17.2</v>
      </c>
      <c r="BD69" s="12">
        <f>IF('Données projet'!$A$88&gt;35,BD68+BC69-BL68,IF(A69&lt;'Données projet'!$A$88,$BA$205^A69,IF(A69='Données projet'!$A$88,'Données projet'!$B$88,BD68+BC69-BL68)))</f>
        <v>643.20000000000005</v>
      </c>
      <c r="BE69" s="13">
        <f>BD69*VLOOKUP('Données projet'!$B$11,Paramètres!$A$1:$I$89,3,0)*VLOOKUP('Données projet'!$B$11,Paramètres!$A$1:$I$89,5,0)</f>
        <v>259.20960000000002</v>
      </c>
      <c r="BF69" s="13">
        <f t="shared" ref="BF69:BF132" si="91">EXP(-1.0587+0.8836*LN(BE69)+0.284)</f>
        <v>62.553866774106702</v>
      </c>
      <c r="BG69" s="20">
        <f t="shared" si="61"/>
        <v>560.40470463156919</v>
      </c>
      <c r="BH69" s="59">
        <f t="shared" si="62"/>
        <v>835.60122575716264</v>
      </c>
      <c r="BI69" s="59">
        <f ca="1">AVERAGE(OFFSET($BH$3,0,0,'Données projet'!$E$11+1,1))-AVERAGE(OFFSET($H$3,0,0,'Données projet'!$E$11+1,1))</f>
        <v>377.91408971696819</v>
      </c>
      <c r="BJ69" s="59">
        <f t="shared" ref="BJ69:BJ132" si="92">$BJ$3</f>
        <v>321.68797596002366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50.294443671747828</v>
      </c>
      <c r="BQ69" s="21">
        <f>EXP(-LN(2)/25)*BQ68+(1-EXP(-LN(2)/25))/(LN(2)/25)*Calculateur!BL69*Calculateur!BN69*VLOOKUP('Données projet'!$B$11,Paramètres!$A$1:$I$89,3,0)*0.475*44/12</f>
        <v>23.45211164001147</v>
      </c>
      <c r="BR69" s="21">
        <f>EXP(-LN(2)/2)*BR68+(1-EXP(-LN(2)/2))/(LN(2)/2)*BL69*BO69*VLOOKUP('Données projet'!$B$11,Paramètres!$A$1:$I$89,3,0)*0.475*44/12</f>
        <v>3.8510187819176811</v>
      </c>
      <c r="BS69" s="22">
        <f t="shared" si="63"/>
        <v>77.597574093676982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65.0535966706164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65.0535966706164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65.0535966706164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65.0535966706164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65.0535966706164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65.0535966706164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65.0535966706164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3.14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11.513333333333334</v>
      </c>
      <c r="H70" s="67">
        <f t="shared" si="56"/>
        <v>210.61333333333332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65.139405709880052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1.064108801074326E-13</v>
      </c>
      <c r="P70" s="13">
        <f t="shared" si="87"/>
        <v>1.5870730813698654E-12</v>
      </c>
      <c r="Q70" s="20">
        <f t="shared" si="54"/>
        <v>2.9494845662396269E-12</v>
      </c>
      <c r="R70" s="59">
        <f t="shared" si="55"/>
        <v>275.51115426956318</v>
      </c>
      <c r="S70" s="59">
        <f ca="1">AVERAGE(OFFSET($R$3,0,0,'Données projet'!$E$9+1,1))-AVERAGE(OFFSET($H$3,0,0,'Données projet'!$E$9+1,1))</f>
        <v>302.99089313578685</v>
      </c>
      <c r="T70" s="59">
        <f t="shared" si="88"/>
        <v>335.51949678160906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83.996282090416159</v>
      </c>
      <c r="AA70" s="21">
        <f>EXP(-LN(2)/25)*AA69+(1-EXP(-LN(2)/25))/(LN(2)/25)*Calculateur!V70*Calculateur!X70*VLOOKUP('Données projet'!$B$9,Paramètres!$A$1:$I$89,3,0)*0.475*44/12</f>
        <v>37.731715186138615</v>
      </c>
      <c r="AB70" s="21">
        <f>EXP(-LN(2)/2)*AB69+(1-EXP(-LN(2)/2))/(LN(2)/2)*V70*Y70*VLOOKUP('Données projet'!$B$9,Paramètres!$A$1:$I$89,3,0)*0.475*44/12</f>
        <v>0.44943884230368997</v>
      </c>
      <c r="AC70" s="22">
        <f t="shared" si="57"/>
        <v>122.17743611885847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65.139405709880052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65.139405709880052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17.2</v>
      </c>
      <c r="BD70" s="12">
        <f>IF('Données projet'!$A$88&gt;35,BD69+BC70-BL69,IF(A70&lt;'Données projet'!$A$88,$BA$205^A70,IF(A70='Données projet'!$A$88,'Données projet'!$B$88,BD69+BC70-BL69)))</f>
        <v>660.40000000000009</v>
      </c>
      <c r="BE70" s="13">
        <f>BD70*VLOOKUP('Données projet'!$B$11,Paramètres!$A$1:$I$89,3,0)*VLOOKUP('Données projet'!$B$11,Paramètres!$A$1:$I$89,5,0)</f>
        <v>266.14120000000003</v>
      </c>
      <c r="BF70" s="13">
        <f t="shared" si="91"/>
        <v>64.029649709513365</v>
      </c>
      <c r="BG70" s="20">
        <f t="shared" si="61"/>
        <v>575.04756324406912</v>
      </c>
      <c r="BH70" s="59">
        <f t="shared" si="62"/>
        <v>850.55871751362929</v>
      </c>
      <c r="BI70" s="59">
        <f ca="1">AVERAGE(OFFSET($BH$3,0,0,'Données projet'!$E$11+1,1))-AVERAGE(OFFSET($H$3,0,0,'Données projet'!$E$11+1,1))</f>
        <v>377.91408971696819</v>
      </c>
      <c r="BJ70" s="59">
        <f t="shared" si="92"/>
        <v>321.68797596002366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49.308200307926434</v>
      </c>
      <c r="BQ70" s="21">
        <f>EXP(-LN(2)/25)*BQ69+(1-EXP(-LN(2)/25))/(LN(2)/25)*Calculateur!BL70*Calculateur!BN70*VLOOKUP('Données projet'!$B$11,Paramètres!$A$1:$I$89,3,0)*0.475*44/12</f>
        <v>22.810812413922406</v>
      </c>
      <c r="BR70" s="21">
        <f>EXP(-LN(2)/2)*BR69+(1-EXP(-LN(2)/2))/(LN(2)/2)*BL70*BO70*VLOOKUP('Données projet'!$B$11,Paramètres!$A$1:$I$89,3,0)*0.475*44/12</f>
        <v>2.7230814951707507</v>
      </c>
      <c r="BS70" s="22">
        <f t="shared" si="63"/>
        <v>74.842094217019579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65.139405709880052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65.139405709880052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65.139405709880052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65.139405709880052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65.139405709880052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65.139405709880052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65.139405709880052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3.14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11.513333333333334</v>
      </c>
      <c r="H71" s="67">
        <f t="shared" si="56"/>
        <v>210.61333333333332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65.223726154152743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1.064108801074326E-13</v>
      </c>
      <c r="P71" s="13">
        <f t="shared" si="87"/>
        <v>1.5870730813698654E-12</v>
      </c>
      <c r="Q71" s="20">
        <f t="shared" si="54"/>
        <v>2.9494845662396269E-12</v>
      </c>
      <c r="R71" s="59">
        <f t="shared" si="55"/>
        <v>275.82032923189632</v>
      </c>
      <c r="S71" s="59">
        <f ca="1">AVERAGE(OFFSET($R$3,0,0,'Données projet'!$E$9+1,1))-AVERAGE(OFFSET($H$3,0,0,'Données projet'!$E$9+1,1))</f>
        <v>302.99089313578685</v>
      </c>
      <c r="T71" s="59">
        <f t="shared" si="88"/>
        <v>335.51949678160906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82.349166231296365</v>
      </c>
      <c r="AA71" s="21">
        <f>EXP(-LN(2)/25)*AA70+(1-EXP(-LN(2)/25))/(LN(2)/25)*Calculateur!V71*Calculateur!X71*VLOOKUP('Données projet'!$B$9,Paramètres!$A$1:$I$89,3,0)*0.475*44/12</f>
        <v>36.699939450148989</v>
      </c>
      <c r="AB71" s="21">
        <f>EXP(-LN(2)/2)*AB70+(1-EXP(-LN(2)/2))/(LN(2)/2)*V71*Y71*VLOOKUP('Données projet'!$B$9,Paramètres!$A$1:$I$89,3,0)*0.475*44/12</f>
        <v>0.31780125312157054</v>
      </c>
      <c r="AC71" s="22">
        <f t="shared" si="57"/>
        <v>119.36690693456693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65.223726154152743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65.223726154152743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17.2</v>
      </c>
      <c r="BD71" s="12">
        <f>IF('Données projet'!$A$88&gt;35,BD70+BC71-BL70,IF(A71&lt;'Données projet'!$A$88,$BA$205^A71,IF(A71='Données projet'!$A$88,'Données projet'!$B$88,BD70+BC71-BL70)))</f>
        <v>677.60000000000014</v>
      </c>
      <c r="BE71" s="13">
        <f>BD71*VLOOKUP('Données projet'!$B$11,Paramètres!$A$1:$I$89,3,0)*VLOOKUP('Données projet'!$B$11,Paramètres!$A$1:$I$89,5,0)</f>
        <v>273.07280000000009</v>
      </c>
      <c r="BF71" s="13">
        <f t="shared" si="91"/>
        <v>65.500964877099648</v>
      </c>
      <c r="BG71" s="20">
        <f t="shared" si="61"/>
        <v>589.68264049428205</v>
      </c>
      <c r="BH71" s="59">
        <f t="shared" si="62"/>
        <v>865.50296972617548</v>
      </c>
      <c r="BI71" s="59">
        <f ca="1">AVERAGE(OFFSET($BH$3,0,0,'Données projet'!$E$11+1,1))-AVERAGE(OFFSET($H$3,0,0,'Données projet'!$E$11+1,1))</f>
        <v>377.91408971696819</v>
      </c>
      <c r="BJ71" s="59">
        <f t="shared" si="92"/>
        <v>321.68797596002366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48.34129657492052</v>
      </c>
      <c r="BQ71" s="21">
        <f>EXP(-LN(2)/25)*BQ70+(1-EXP(-LN(2)/25))/(LN(2)/25)*Calculateur!BL71*Calculateur!BN71*VLOOKUP('Données projet'!$B$11,Paramètres!$A$1:$I$89,3,0)*0.475*44/12</f>
        <v>22.187049548895207</v>
      </c>
      <c r="BR71" s="21">
        <f>EXP(-LN(2)/2)*BR70+(1-EXP(-LN(2)/2))/(LN(2)/2)*BL71*BO71*VLOOKUP('Données projet'!$B$11,Paramètres!$A$1:$I$89,3,0)*0.475*44/12</f>
        <v>1.9255093909588408</v>
      </c>
      <c r="BS71" s="22">
        <f t="shared" si="63"/>
        <v>72.45385551477456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65.223726154152743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65.223726154152743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65.223726154152743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65.223726154152743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65.223726154152743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65.223726154152743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65.223726154152743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3.14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11.513333333333334</v>
      </c>
      <c r="H72" s="67">
        <f t="shared" si="56"/>
        <v>210.61333333333332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65.306583827229588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1.064108801074326E-13</v>
      </c>
      <c r="P72" s="13">
        <f t="shared" si="87"/>
        <v>1.5870730813698654E-12</v>
      </c>
      <c r="Q72" s="20">
        <f t="shared" si="54"/>
        <v>2.9494845662396269E-12</v>
      </c>
      <c r="R72" s="59">
        <f t="shared" si="55"/>
        <v>276.12414069984476</v>
      </c>
      <c r="S72" s="59">
        <f ca="1">AVERAGE(OFFSET($R$3,0,0,'Données projet'!$E$9+1,1))-AVERAGE(OFFSET($H$3,0,0,'Données projet'!$E$9+1,1))</f>
        <v>302.99089313578685</v>
      </c>
      <c r="T72" s="59">
        <f t="shared" si="88"/>
        <v>335.51949678160906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80.734349309532433</v>
      </c>
      <c r="AA72" s="21">
        <f>EXP(-LN(2)/25)*AA71+(1-EXP(-LN(2)/25))/(LN(2)/25)*Calculateur!V72*Calculateur!X72*VLOOKUP('Données projet'!$B$9,Paramètres!$A$1:$I$89,3,0)*0.475*44/12</f>
        <v>35.696377675918725</v>
      </c>
      <c r="AB72" s="21">
        <f>EXP(-LN(2)/2)*AB71+(1-EXP(-LN(2)/2))/(LN(2)/2)*V72*Y72*VLOOKUP('Données projet'!$B$9,Paramètres!$A$1:$I$89,3,0)*0.475*44/12</f>
        <v>0.22471942115184498</v>
      </c>
      <c r="AC72" s="22">
        <f t="shared" si="57"/>
        <v>116.65544640660301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65.306583827229588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65.306583827229588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17.2</v>
      </c>
      <c r="BD72" s="12">
        <f>IF('Données projet'!$A$88&gt;35,BD71+BC72-BL71,IF(A72&lt;'Données projet'!$A$88,$BA$205^A72,IF(A72='Données projet'!$A$88,'Données projet'!$B$88,BD71+BC72-BL71)))</f>
        <v>694.80000000000018</v>
      </c>
      <c r="BE72" s="13">
        <f>BD72*VLOOKUP('Données projet'!$B$11,Paramètres!$A$1:$I$89,3,0)*VLOOKUP('Données projet'!$B$11,Paramètres!$A$1:$I$89,5,0)</f>
        <v>280.00440000000009</v>
      </c>
      <c r="BF72" s="13">
        <f t="shared" si="91"/>
        <v>66.967938726742631</v>
      </c>
      <c r="BG72" s="20">
        <f t="shared" si="61"/>
        <v>604.31015661574349</v>
      </c>
      <c r="BH72" s="59">
        <f t="shared" si="62"/>
        <v>880.43429731558535</v>
      </c>
      <c r="BI72" s="59">
        <f ca="1">AVERAGE(OFFSET($BH$3,0,0,'Données projet'!$E$11+1,1))-AVERAGE(OFFSET($H$3,0,0,'Données projet'!$E$11+1,1))</f>
        <v>377.91408971696819</v>
      </c>
      <c r="BJ72" s="59">
        <f t="shared" si="92"/>
        <v>321.68797596002366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47.393353234365811</v>
      </c>
      <c r="BQ72" s="21">
        <f>EXP(-LN(2)/25)*BQ71+(1-EXP(-LN(2)/25))/(LN(2)/25)*Calculateur!BL72*Calculateur!BN72*VLOOKUP('Données projet'!$B$11,Paramètres!$A$1:$I$89,3,0)*0.475*44/12</f>
        <v>21.580343512214441</v>
      </c>
      <c r="BR72" s="21">
        <f>EXP(-LN(2)/2)*BR71+(1-EXP(-LN(2)/2))/(LN(2)/2)*BL72*BO72*VLOOKUP('Données projet'!$B$11,Paramètres!$A$1:$I$89,3,0)*0.475*44/12</f>
        <v>1.3615407475853756</v>
      </c>
      <c r="BS72" s="22">
        <f t="shared" si="63"/>
        <v>70.335237494165639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65.306583827229588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65.306583827229588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65.306583827229588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65.306583827229588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65.306583827229588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65.306583827229588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65.306583827229588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3.14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11.513333333333334</v>
      </c>
      <c r="H73" s="67">
        <f t="shared" si="56"/>
        <v>210.61333333333332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65.388004104920526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1.064108801074326E-13</v>
      </c>
      <c r="P73" s="13">
        <f t="shared" si="87"/>
        <v>1.5870730813698654E-12</v>
      </c>
      <c r="Q73" s="20">
        <f t="shared" si="54"/>
        <v>2.9494845662396269E-12</v>
      </c>
      <c r="R73" s="59">
        <f t="shared" si="55"/>
        <v>276.42268171804488</v>
      </c>
      <c r="S73" s="59">
        <f ca="1">AVERAGE(OFFSET($R$3,0,0,'Données projet'!$E$9+1,1))-AVERAGE(OFFSET($H$3,0,0,'Données projet'!$E$9+1,1))</f>
        <v>302.99089313578685</v>
      </c>
      <c r="T73" s="59">
        <f t="shared" si="88"/>
        <v>335.51949678160906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79.151197962663232</v>
      </c>
      <c r="AA73" s="21">
        <f>EXP(-LN(2)/25)*AA72+(1-EXP(-LN(2)/25))/(LN(2)/25)*Calculateur!V73*Calculateur!X73*VLOOKUP('Données projet'!$B$9,Paramètres!$A$1:$I$89,3,0)*0.475*44/12</f>
        <v>34.720258351179808</v>
      </c>
      <c r="AB73" s="21">
        <f>EXP(-LN(2)/2)*AB72+(1-EXP(-LN(2)/2))/(LN(2)/2)*V73*Y73*VLOOKUP('Données projet'!$B$9,Paramètres!$A$1:$I$89,3,0)*0.475*44/12</f>
        <v>0.15890062656078527</v>
      </c>
      <c r="AC73" s="22">
        <f t="shared" si="57"/>
        <v>114.03035694040382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65.388004104920526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65.388004104920526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712</v>
      </c>
      <c r="BB73" s="12">
        <f>VLOOKUP(A73,'Données projet'!$A$87:$I$107,9,0)</f>
        <v>17.2</v>
      </c>
      <c r="BC73" s="12">
        <f t="array" ref="BC73">INDEX(BB:BB,MIN(IF(ISNUMBER(BB73:BB269),ROW(BB73:BB269),"")))</f>
        <v>17.2</v>
      </c>
      <c r="BD73" s="12">
        <f>IF('Données projet'!$A$88&gt;35,BD72+BC73-BL72,IF(A73&lt;'Données projet'!$A$88,$BA$205^A73,IF(A73='Données projet'!$A$88,'Données projet'!$B$88,BD72+BC73-BL72)))</f>
        <v>712.00000000000023</v>
      </c>
      <c r="BE73" s="13">
        <f>BD73*VLOOKUP('Données projet'!$B$11,Paramètres!$A$1:$I$89,3,0)*VLOOKUP('Données projet'!$B$11,Paramètres!$A$1:$I$89,5,0)</f>
        <v>286.93600000000009</v>
      </c>
      <c r="BF73" s="13">
        <f t="shared" si="91"/>
        <v>68.430691090834799</v>
      </c>
      <c r="BG73" s="20">
        <f t="shared" si="61"/>
        <v>618.9303203165374</v>
      </c>
      <c r="BH73" s="59">
        <f t="shared" si="62"/>
        <v>895.35300203457928</v>
      </c>
      <c r="BI73" s="59">
        <f ca="1">AVERAGE(OFFSET($BH$3,0,0,'Données projet'!$E$11+1,1))-AVERAGE(OFFSET($H$3,0,0,'Données projet'!$E$11+1,1))</f>
        <v>377.91408971696819</v>
      </c>
      <c r="BJ73" s="59">
        <f t="shared" si="92"/>
        <v>321.68797596002366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45</v>
      </c>
      <c r="BM73" s="16">
        <f>IF(ISNA(VLOOKUP(A73,'Données projet'!$A$87:$I$107,5,0)),0%,VLOOKUP(A73,'Données projet'!$A$87:$I$107,5,0)*VLOOKUP('Données projet'!$B$11,Paramètres!$A$1:$I$89,7,0))</f>
        <v>0.33</v>
      </c>
      <c r="BN73" s="16">
        <f>IF(ISNA(VLOOKUP(A73,'Données projet'!$A$87:$I$107,6,0)),0%,VLOOKUP(A73,'Données projet'!$A$87:$I$107,6,0)*VLOOKUP('Données projet'!$B$11,Paramètres!$A$1:$I$89,7,0))</f>
        <v>0.11000000000000001</v>
      </c>
      <c r="BO73" s="16">
        <f>IF(ISNA(VLOOKUP(A73,'Données projet'!$A$87:$I$107,7,0)),0%,VLOOKUP(A73,'Données projet'!$A$87:$I$107,7,0))</f>
        <v>0.2</v>
      </c>
      <c r="BP73" s="21">
        <f>EXP(-LN(2)/35)*BP72+(1-EXP(-LN(2)/35))/(LN(2)/35)*BL73*BM73*VLOOKUP('Données projet'!$B$11,Paramètres!$A$1:$I$89,3,0)*0.475*44/12</f>
        <v>54.402889796331735</v>
      </c>
      <c r="BQ73" s="21">
        <f>EXP(-LN(2)/25)*BQ72+(1-EXP(-LN(2)/25))/(LN(2)/25)*Calculateur!BL73*Calculateur!BN73*VLOOKUP('Données projet'!$B$11,Paramètres!$A$1:$I$89,3,0)*0.475*44/12</f>
        <v>23.626105507929125</v>
      </c>
      <c r="BR73" s="21">
        <f>EXP(-LN(2)/2)*BR72+(1-EXP(-LN(2)/2))/(LN(2)/2)*BL73*BO73*VLOOKUP('Données projet'!$B$11,Paramètres!$A$1:$I$89,3,0)*0.475*44/12</f>
        <v>5.0693612386079128</v>
      </c>
      <c r="BS73" s="22">
        <f t="shared" si="63"/>
        <v>83.098356542868771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65.388004104920526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65.388004104920526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65.388004104920526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65.388004104920526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65.388004104920526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65.388004104920526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65.388004104920526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3.14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11.513333333333334</v>
      </c>
      <c r="H74" s="67">
        <f t="shared" si="56"/>
        <v>210.61333333333332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65.468011922822029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1.064108801074326E-13</v>
      </c>
      <c r="P74" s="13">
        <f t="shared" si="87"/>
        <v>1.5870730813698654E-12</v>
      </c>
      <c r="Q74" s="20">
        <f t="shared" si="54"/>
        <v>2.9494845662396269E-12</v>
      </c>
      <c r="R74" s="59">
        <f t="shared" si="55"/>
        <v>276.71604371701704</v>
      </c>
      <c r="S74" s="59">
        <f ca="1">AVERAGE(OFFSET($R$3,0,0,'Données projet'!$E$9+1,1))-AVERAGE(OFFSET($H$3,0,0,'Données projet'!$E$9+1,1))</f>
        <v>302.99089313578685</v>
      </c>
      <c r="T74" s="59">
        <f t="shared" si="88"/>
        <v>335.51949678160906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77.599091248079162</v>
      </c>
      <c r="AA74" s="21">
        <f>EXP(-LN(2)/25)*AA73+(1-EXP(-LN(2)/25))/(LN(2)/25)*Calculateur!V74*Calculateur!X74*VLOOKUP('Données projet'!$B$9,Paramètres!$A$1:$I$89,3,0)*0.475*44/12</f>
        <v>33.770831060707764</v>
      </c>
      <c r="AB74" s="21">
        <f>EXP(-LN(2)/2)*AB73+(1-EXP(-LN(2)/2))/(LN(2)/2)*V74*Y74*VLOOKUP('Données projet'!$B$9,Paramètres!$A$1:$I$89,3,0)*0.475*44/12</f>
        <v>0.11235971057592249</v>
      </c>
      <c r="AC74" s="22">
        <f t="shared" si="57"/>
        <v>111.48228201936284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65.468011922822029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65.468011922822029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15.8</v>
      </c>
      <c r="BD74" s="12">
        <f>IF('Données projet'!$A$88&gt;35,BD73+BC74-BL73,IF(A74&lt;'Données projet'!$A$88,$BA$205^A74,IF(A74='Données projet'!$A$88,'Données projet'!$B$88,BD73+BC74-BL73)))</f>
        <v>682.80000000000018</v>
      </c>
      <c r="BE74" s="13">
        <f>BD74*VLOOKUP('Données projet'!$B$11,Paramètres!$A$1:$I$89,3,0)*VLOOKUP('Données projet'!$B$11,Paramètres!$A$1:$I$89,5,0)</f>
        <v>275.16840000000008</v>
      </c>
      <c r="BF74" s="13">
        <f t="shared" si="91"/>
        <v>65.944920834841611</v>
      </c>
      <c r="BG74" s="20">
        <f t="shared" si="61"/>
        <v>594.10570045401596</v>
      </c>
      <c r="BH74" s="59">
        <f t="shared" si="62"/>
        <v>870.8217441710301</v>
      </c>
      <c r="BI74" s="59">
        <f ca="1">AVERAGE(OFFSET($BH$3,0,0,'Données projet'!$E$11+1,1))-AVERAGE(OFFSET($H$3,0,0,'Données projet'!$E$11+1,1))</f>
        <v>377.91408971696819</v>
      </c>
      <c r="BJ74" s="59">
        <f t="shared" si="92"/>
        <v>321.68797596002366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53.336082309911944</v>
      </c>
      <c r="BQ74" s="21">
        <f>EXP(-LN(2)/25)*BQ73+(1-EXP(-LN(2)/25))/(LN(2)/25)*Calculateur!BL74*Calculateur!BN74*VLOOKUP('Données projet'!$B$11,Paramètres!$A$1:$I$89,3,0)*0.475*44/12</f>
        <v>22.980048410371914</v>
      </c>
      <c r="BR74" s="21">
        <f>EXP(-LN(2)/2)*BR73+(1-EXP(-LN(2)/2))/(LN(2)/2)*BL74*BO74*VLOOKUP('Données projet'!$B$11,Paramètres!$A$1:$I$89,3,0)*0.475*44/12</f>
        <v>3.5845797081038913</v>
      </c>
      <c r="BS74" s="22">
        <f t="shared" si="63"/>
        <v>79.900710428387754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65.468011922822029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65.468011922822029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65.468011922822029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65.468011922822029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65.468011922822029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65.468011922822029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65.468011922822029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3.14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11.513333333333334</v>
      </c>
      <c r="H75" s="67">
        <f t="shared" si="56"/>
        <v>210.61333333333332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65.546631783953615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1.064108801074326E-13</v>
      </c>
      <c r="P75" s="13">
        <f t="shared" si="87"/>
        <v>1.5870730813698654E-12</v>
      </c>
      <c r="Q75" s="20">
        <f t="shared" si="54"/>
        <v>2.9494845662396269E-12</v>
      </c>
      <c r="R75" s="59">
        <f t="shared" si="55"/>
        <v>277.00431654116619</v>
      </c>
      <c r="S75" s="59">
        <f ca="1">AVERAGE(OFFSET($R$3,0,0,'Données projet'!$E$9+1,1))-AVERAGE(OFFSET($H$3,0,0,'Données projet'!$E$9+1,1))</f>
        <v>302.99089313578685</v>
      </c>
      <c r="T75" s="59">
        <f t="shared" si="88"/>
        <v>335.51949678160906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76.077420399476466</v>
      </c>
      <c r="AA75" s="21">
        <f>EXP(-LN(2)/25)*AA74+(1-EXP(-LN(2)/25))/(LN(2)/25)*Calculateur!V75*Calculateur!X75*VLOOKUP('Données projet'!$B$9,Paramètres!$A$1:$I$89,3,0)*0.475*44/12</f>
        <v>32.847365909421889</v>
      </c>
      <c r="AB75" s="21">
        <f>EXP(-LN(2)/2)*AB74+(1-EXP(-LN(2)/2))/(LN(2)/2)*V75*Y75*VLOOKUP('Données projet'!$B$9,Paramètres!$A$1:$I$89,3,0)*0.475*44/12</f>
        <v>7.9450313280392634E-2</v>
      </c>
      <c r="AC75" s="22">
        <f t="shared" si="57"/>
        <v>109.00423662217874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65.546631783953615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65.546631783953615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15.8</v>
      </c>
      <c r="BD75" s="12">
        <f>IF('Données projet'!$A$88&gt;35,BD74+BC75-BL74,IF(A75&lt;'Données projet'!$A$88,$BA$205^A75,IF(A75='Données projet'!$A$88,'Données projet'!$B$88,BD74+BC75-BL74)))</f>
        <v>698.60000000000014</v>
      </c>
      <c r="BE75" s="13">
        <f>BD75*VLOOKUP('Données projet'!$B$11,Paramètres!$A$1:$I$89,3,0)*VLOOKUP('Données projet'!$B$11,Paramètres!$A$1:$I$89,5,0)</f>
        <v>281.53580000000005</v>
      </c>
      <c r="BF75" s="13">
        <f t="shared" si="91"/>
        <v>67.291464173103833</v>
      </c>
      <c r="BG75" s="20">
        <f t="shared" si="61"/>
        <v>607.54081843482265</v>
      </c>
      <c r="BH75" s="59">
        <f t="shared" si="62"/>
        <v>884.54513497598589</v>
      </c>
      <c r="BI75" s="59">
        <f ca="1">AVERAGE(OFFSET($BH$3,0,0,'Données projet'!$E$11+1,1))-AVERAGE(OFFSET($H$3,0,0,'Données projet'!$E$11+1,1))</f>
        <v>377.91408971696819</v>
      </c>
      <c r="BJ75" s="59">
        <f t="shared" si="92"/>
        <v>321.68797596002366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52.290194267612534</v>
      </c>
      <c r="BQ75" s="21">
        <f>EXP(-LN(2)/25)*BQ74+(1-EXP(-LN(2)/25))/(LN(2)/25)*Calculateur!BL75*Calculateur!BN75*VLOOKUP('Données projet'!$B$11,Paramètres!$A$1:$I$89,3,0)*0.475*44/12</f>
        <v>22.351657778122071</v>
      </c>
      <c r="BR75" s="21">
        <f>EXP(-LN(2)/2)*BR74+(1-EXP(-LN(2)/2))/(LN(2)/2)*BL75*BO75*VLOOKUP('Données projet'!$B$11,Paramètres!$A$1:$I$89,3,0)*0.475*44/12</f>
        <v>2.5346806193039568</v>
      </c>
      <c r="BS75" s="22">
        <f t="shared" si="63"/>
        <v>77.176532665038565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65.546631783953615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65.546631783953615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65.546631783953615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65.546631783953615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65.546631783953615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65.546631783953615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65.546631783953615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3.14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11.513333333333334</v>
      </c>
      <c r="H76" s="67">
        <f t="shared" si="56"/>
        <v>210.61333333333332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65.623887766262243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1.064108801074326E-13</v>
      </c>
      <c r="P76" s="13">
        <f t="shared" si="87"/>
        <v>1.5870730813698654E-12</v>
      </c>
      <c r="Q76" s="20">
        <f t="shared" si="54"/>
        <v>2.9494845662396269E-12</v>
      </c>
      <c r="R76" s="59">
        <f t="shared" si="55"/>
        <v>277.28758847629786</v>
      </c>
      <c r="S76" s="59">
        <f ca="1">AVERAGE(OFFSET($R$3,0,0,'Données projet'!$E$9+1,1))-AVERAGE(OFFSET($H$3,0,0,'Données projet'!$E$9+1,1))</f>
        <v>302.99089313578685</v>
      </c>
      <c r="T76" s="59">
        <f t="shared" si="88"/>
        <v>335.51949678160906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74.58558858808729</v>
      </c>
      <c r="AA76" s="21">
        <f>EXP(-LN(2)/25)*AA75+(1-EXP(-LN(2)/25))/(LN(2)/25)*Calculateur!V76*Calculateur!X76*VLOOKUP('Données projet'!$B$9,Paramètres!$A$1:$I$89,3,0)*0.475*44/12</f>
        <v>31.949152961260847</v>
      </c>
      <c r="AB76" s="21">
        <f>EXP(-LN(2)/2)*AB75+(1-EXP(-LN(2)/2))/(LN(2)/2)*V76*Y76*VLOOKUP('Données projet'!$B$9,Paramètres!$A$1:$I$89,3,0)*0.475*44/12</f>
        <v>5.6179855287961246E-2</v>
      </c>
      <c r="AC76" s="22">
        <f t="shared" si="57"/>
        <v>106.59092140463611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65.623887766262243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65.623887766262243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15.8</v>
      </c>
      <c r="BD76" s="12">
        <f>IF('Données projet'!$A$88&gt;35,BD75+BC76-BL75,IF(A76&lt;'Données projet'!$A$88,$BA$205^A76,IF(A76='Données projet'!$A$88,'Données projet'!$B$88,BD75+BC76-BL75)))</f>
        <v>714.40000000000009</v>
      </c>
      <c r="BE76" s="13">
        <f>BD76*VLOOKUP('Données projet'!$B$11,Paramètres!$A$1:$I$89,3,0)*VLOOKUP('Données projet'!$B$11,Paramètres!$A$1:$I$89,5,0)</f>
        <v>287.90320000000003</v>
      </c>
      <c r="BF76" s="13">
        <f t="shared" si="91"/>
        <v>68.634466972027496</v>
      </c>
      <c r="BG76" s="20">
        <f t="shared" si="61"/>
        <v>620.96976997628133</v>
      </c>
      <c r="BH76" s="59">
        <f t="shared" si="62"/>
        <v>898.25735845257623</v>
      </c>
      <c r="BI76" s="59">
        <f ca="1">AVERAGE(OFFSET($BH$3,0,0,'Données projet'!$E$11+1,1))-AVERAGE(OFFSET($H$3,0,0,'Données projet'!$E$11+1,1))</f>
        <v>377.91408971696819</v>
      </c>
      <c r="BJ76" s="59">
        <f t="shared" si="92"/>
        <v>321.68797596002366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51.264815451893895</v>
      </c>
      <c r="BQ76" s="21">
        <f>EXP(-LN(2)/25)*BQ75+(1-EXP(-LN(2)/25))/(LN(2)/25)*Calculateur!BL76*Calculateur!BN76*VLOOKUP('Données projet'!$B$11,Paramètres!$A$1:$I$89,3,0)*0.475*44/12</f>
        <v>21.740450520756728</v>
      </c>
      <c r="BR76" s="21">
        <f>EXP(-LN(2)/2)*BR75+(1-EXP(-LN(2)/2))/(LN(2)/2)*BL76*BO76*VLOOKUP('Données projet'!$B$11,Paramètres!$A$1:$I$89,3,0)*0.475*44/12</f>
        <v>1.7922898540519459</v>
      </c>
      <c r="BS76" s="22">
        <f t="shared" si="63"/>
        <v>74.797555826702563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65.623887766262243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65.623887766262243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65.623887766262243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65.623887766262243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65.623887766262243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65.623887766262243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65.623887766262243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3.14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11.513333333333334</v>
      </c>
      <c r="H77" s="67">
        <f t="shared" si="56"/>
        <v>210.61333333333332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65.699803529996302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1.064108801074326E-13</v>
      </c>
      <c r="P77" s="13">
        <f t="shared" si="87"/>
        <v>1.5870730813698654E-12</v>
      </c>
      <c r="Q77" s="20">
        <f t="shared" si="54"/>
        <v>2.9494845662396269E-12</v>
      </c>
      <c r="R77" s="59">
        <f t="shared" si="55"/>
        <v>277.56594627665606</v>
      </c>
      <c r="S77" s="59">
        <f ca="1">AVERAGE(OFFSET($R$3,0,0,'Données projet'!$E$9+1,1))-AVERAGE(OFFSET($H$3,0,0,'Données projet'!$E$9+1,1))</f>
        <v>302.99089313578685</v>
      </c>
      <c r="T77" s="59">
        <f t="shared" si="88"/>
        <v>335.51949678160906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73.123010688591904</v>
      </c>
      <c r="AA77" s="21">
        <f>EXP(-LN(2)/25)*AA76+(1-EXP(-LN(2)/25))/(LN(2)/25)*Calculateur!V77*Calculateur!X77*VLOOKUP('Données projet'!$B$9,Paramètres!$A$1:$I$89,3,0)*0.475*44/12</f>
        <v>31.075501693402234</v>
      </c>
      <c r="AB77" s="21">
        <f>EXP(-LN(2)/2)*AB76+(1-EXP(-LN(2)/2))/(LN(2)/2)*V77*Y77*VLOOKUP('Données projet'!$B$9,Paramètres!$A$1:$I$89,3,0)*0.475*44/12</f>
        <v>3.9725156640196317E-2</v>
      </c>
      <c r="AC77" s="22">
        <f t="shared" si="57"/>
        <v>104.23823753863434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65.699803529996302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65.699803529996302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15.8</v>
      </c>
      <c r="BD77" s="12">
        <f>IF('Données projet'!$A$88&gt;35,BD76+BC77-BL76,IF(A77&lt;'Données projet'!$A$88,$BA$205^A77,IF(A77='Données projet'!$A$88,'Données projet'!$B$88,BD76+BC77-BL76)))</f>
        <v>730.2</v>
      </c>
      <c r="BE77" s="13">
        <f>BD77*VLOOKUP('Données projet'!$B$11,Paramètres!$A$1:$I$89,3,0)*VLOOKUP('Données projet'!$B$11,Paramètres!$A$1:$I$89,5,0)</f>
        <v>294.27060000000006</v>
      </c>
      <c r="BF77" s="13">
        <f t="shared" si="91"/>
        <v>69.97401655237752</v>
      </c>
      <c r="BG77" s="20">
        <f t="shared" si="61"/>
        <v>634.3927071620576</v>
      </c>
      <c r="BH77" s="59">
        <f t="shared" si="62"/>
        <v>911.95865343871071</v>
      </c>
      <c r="BI77" s="59">
        <f ca="1">AVERAGE(OFFSET($BH$3,0,0,'Données projet'!$E$11+1,1))-AVERAGE(OFFSET($H$3,0,0,'Données projet'!$E$11+1,1))</f>
        <v>377.91408971696819</v>
      </c>
      <c r="BJ77" s="59">
        <f t="shared" si="92"/>
        <v>321.68797596002366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50.259543689332176</v>
      </c>
      <c r="BQ77" s="21">
        <f>EXP(-LN(2)/25)*BQ76+(1-EXP(-LN(2)/25))/(LN(2)/25)*Calculateur!BL77*Calculateur!BN77*VLOOKUP('Données projet'!$B$11,Paramètres!$A$1:$I$89,3,0)*0.475*44/12</f>
        <v>21.145956757986031</v>
      </c>
      <c r="BR77" s="21">
        <f>EXP(-LN(2)/2)*BR76+(1-EXP(-LN(2)/2))/(LN(2)/2)*BL77*BO77*VLOOKUP('Données projet'!$B$11,Paramètres!$A$1:$I$89,3,0)*0.475*44/12</f>
        <v>1.2673403096519786</v>
      </c>
      <c r="BS77" s="22">
        <f t="shared" si="63"/>
        <v>72.672840756970189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65.699803529996302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65.699803529996302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65.699803529996302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65.699803529996302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65.699803529996302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65.699803529996302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65.699803529996302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3.14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11.513333333333334</v>
      </c>
      <c r="H78" s="67">
        <f t="shared" si="56"/>
        <v>210.61333333333332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65.774402324951808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1.064108801074326E-13</v>
      </c>
      <c r="P78" s="13">
        <f t="shared" si="87"/>
        <v>1.5870730813698654E-12</v>
      </c>
      <c r="Q78" s="20">
        <f t="shared" si="54"/>
        <v>2.9494845662396269E-12</v>
      </c>
      <c r="R78" s="59">
        <f t="shared" si="55"/>
        <v>277.83947519149291</v>
      </c>
      <c r="S78" s="59">
        <f ca="1">AVERAGE(OFFSET($R$3,0,0,'Données projet'!$E$9+1,1))-AVERAGE(OFFSET($H$3,0,0,'Données projet'!$E$9+1,1))</f>
        <v>302.99089313578685</v>
      </c>
      <c r="T78" s="59">
        <f t="shared" si="88"/>
        <v>335.51949678160906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71.689113049621184</v>
      </c>
      <c r="AA78" s="21">
        <f>EXP(-LN(2)/25)*AA77+(1-EXP(-LN(2)/25))/(LN(2)/25)*Calculateur!V78*Calculateur!X78*VLOOKUP('Données projet'!$B$9,Paramètres!$A$1:$I$89,3,0)*0.475*44/12</f>
        <v>30.225740465406542</v>
      </c>
      <c r="AB78" s="21">
        <f>EXP(-LN(2)/2)*AB77+(1-EXP(-LN(2)/2))/(LN(2)/2)*V78*Y78*VLOOKUP('Données projet'!$B$9,Paramètres!$A$1:$I$89,3,0)*0.475*44/12</f>
        <v>2.8089927643980623E-2</v>
      </c>
      <c r="AC78" s="22">
        <f t="shared" si="57"/>
        <v>101.94294344267171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65.774402324951808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65.774402324951808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746</v>
      </c>
      <c r="BB78" s="12">
        <f>VLOOKUP(A78,'Données projet'!$A$87:$I$107,9,0)</f>
        <v>15.8</v>
      </c>
      <c r="BC78" s="12">
        <f t="array" ref="BC78">INDEX(BB:BB,MIN(IF(ISNUMBER(BB78:BB274),ROW(BB78:BB274),"")))</f>
        <v>15.8</v>
      </c>
      <c r="BD78" s="12">
        <f>IF('Données projet'!$A$88&gt;35,BD77+BC78-BL77,IF(A78&lt;'Données projet'!$A$88,$BA$205^A78,IF(A78='Données projet'!$A$88,'Données projet'!$B$88,BD77+BC78-BL77)))</f>
        <v>746</v>
      </c>
      <c r="BE78" s="13">
        <f>BD78*VLOOKUP('Données projet'!$B$11,Paramètres!$A$1:$I$89,3,0)*VLOOKUP('Données projet'!$B$11,Paramètres!$A$1:$I$89,5,0)</f>
        <v>300.63799999999998</v>
      </c>
      <c r="BF78" s="13">
        <f t="shared" si="91"/>
        <v>71.310196240206068</v>
      </c>
      <c r="BG78" s="20">
        <f t="shared" si="61"/>
        <v>647.80977511835874</v>
      </c>
      <c r="BH78" s="59">
        <f t="shared" si="62"/>
        <v>925.64925030984864</v>
      </c>
      <c r="BI78" s="59">
        <f ca="1">AVERAGE(OFFSET($BH$3,0,0,'Données projet'!$E$11+1,1))-AVERAGE(OFFSET($H$3,0,0,'Données projet'!$E$11+1,1))</f>
        <v>377.91408971696819</v>
      </c>
      <c r="BJ78" s="59">
        <f t="shared" si="92"/>
        <v>321.68797596002366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43</v>
      </c>
      <c r="BM78" s="16">
        <f>IF(ISNA(VLOOKUP(A78,'Données projet'!$A$87:$I$107,5,0)),0%,VLOOKUP(A78,'Données projet'!$A$87:$I$107,5,0)*VLOOKUP('Données projet'!$B$11,Paramètres!$A$1:$I$89,7,0))</f>
        <v>0.33</v>
      </c>
      <c r="BN78" s="16">
        <f>IF(ISNA(VLOOKUP(A78,'Données projet'!$A$87:$I$107,6,0)),0%,VLOOKUP(A78,'Données projet'!$A$87:$I$107,6,0)*VLOOKUP('Données projet'!$B$11,Paramètres!$A$1:$I$89,7,0))</f>
        <v>0.11000000000000001</v>
      </c>
      <c r="BO78" s="16">
        <f>IF(ISNA(VLOOKUP(A78,'Données projet'!$A$87:$I$107,7,0)),0%,VLOOKUP(A78,'Données projet'!$A$87:$I$107,7,0))</f>
        <v>0.2</v>
      </c>
      <c r="BP78" s="21">
        <f>EXP(-LN(2)/35)*BP77+(1-EXP(-LN(2)/35))/(LN(2)/35)*BL78*BM78*VLOOKUP('Données projet'!$B$11,Paramètres!$A$1:$I$89,3,0)*0.475*44/12</f>
        <v>56.860036390821953</v>
      </c>
      <c r="BQ78" s="21">
        <f>EXP(-LN(2)/25)*BQ77+(1-EXP(-LN(2)/25))/(LN(2)/25)*Calculateur!BL78*Calculateur!BN78*VLOOKUP('Données projet'!$B$11,Paramètres!$A$1:$I$89,3,0)*0.475*44/12</f>
        <v>23.086446965719961</v>
      </c>
      <c r="BR78" s="21">
        <f>EXP(-LN(2)/2)*BR77+(1-EXP(-LN(2)/2))/(LN(2)/2)*BL78*BO78*VLOOKUP('Données projet'!$B$11,Paramètres!$A$1:$I$89,3,0)*0.475*44/12</f>
        <v>4.8202356237931987</v>
      </c>
      <c r="BS78" s="22">
        <f t="shared" si="63"/>
        <v>84.766718980335114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65.774402324951808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65.774402324951808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65.774402324951808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65.774402324951808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65.774402324951808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65.774402324951808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65.774402324951808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3.14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11.513333333333334</v>
      </c>
      <c r="H79" s="67">
        <f t="shared" si="56"/>
        <v>210.61333333333332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65.847706997592752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1.064108801074326E-13</v>
      </c>
      <c r="P79" s="13">
        <f t="shared" si="87"/>
        <v>1.5870730813698654E-12</v>
      </c>
      <c r="Q79" s="20">
        <f t="shared" si="54"/>
        <v>2.9494845662396269E-12</v>
      </c>
      <c r="R79" s="59">
        <f t="shared" si="55"/>
        <v>278.1082589911764</v>
      </c>
      <c r="S79" s="59">
        <f ca="1">AVERAGE(OFFSET($R$3,0,0,'Données projet'!$E$9+1,1))-AVERAGE(OFFSET($H$3,0,0,'Données projet'!$E$9+1,1))</f>
        <v>302.99089313578685</v>
      </c>
      <c r="T79" s="59">
        <f t="shared" si="88"/>
        <v>335.51949678160906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70.283333268759492</v>
      </c>
      <c r="AA79" s="21">
        <f>EXP(-LN(2)/25)*AA78+(1-EXP(-LN(2)/25))/(LN(2)/25)*Calculateur!V79*Calculateur!X79*VLOOKUP('Données projet'!$B$9,Paramètres!$A$1:$I$89,3,0)*0.475*44/12</f>
        <v>29.399216002877392</v>
      </c>
      <c r="AB79" s="21">
        <f>EXP(-LN(2)/2)*AB78+(1-EXP(-LN(2)/2))/(LN(2)/2)*V79*Y79*VLOOKUP('Données projet'!$B$9,Paramètres!$A$1:$I$89,3,0)*0.475*44/12</f>
        <v>1.9862578320098159E-2</v>
      </c>
      <c r="AC79" s="22">
        <f t="shared" si="57"/>
        <v>99.702411849956988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65.847706997592752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65.847706997592752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14.6</v>
      </c>
      <c r="BD79" s="12">
        <f>IF('Données projet'!$A$88&gt;35,BD78+BC79-BL78,IF(A79&lt;'Données projet'!$A$88,$BA$205^A79,IF(A79='Données projet'!$A$88,'Données projet'!$B$88,BD78+BC79-BL78)))</f>
        <v>717.6</v>
      </c>
      <c r="BE79" s="13">
        <f>BD79*VLOOKUP('Données projet'!$B$11,Paramètres!$A$1:$I$89,3,0)*VLOOKUP('Données projet'!$B$11,Paramètres!$A$1:$I$89,5,0)</f>
        <v>289.19280000000003</v>
      </c>
      <c r="BF79" s="13">
        <f t="shared" si="91"/>
        <v>68.906044268306289</v>
      </c>
      <c r="BG79" s="20">
        <f t="shared" si="61"/>
        <v>623.68882043396684</v>
      </c>
      <c r="BH79" s="59">
        <f t="shared" si="62"/>
        <v>901.79707942514028</v>
      </c>
      <c r="BI79" s="59">
        <f ca="1">AVERAGE(OFFSET($BH$3,0,0,'Données projet'!$E$11+1,1))-AVERAGE(OFFSET($H$3,0,0,'Données projet'!$E$11+1,1))</f>
        <v>377.91408971696819</v>
      </c>
      <c r="BJ79" s="59">
        <f t="shared" si="92"/>
        <v>321.68797596002366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55.745045758395648</v>
      </c>
      <c r="BQ79" s="21">
        <f>EXP(-LN(2)/25)*BQ78+(1-EXP(-LN(2)/25))/(LN(2)/25)*Calculateur!BL79*Calculateur!BN79*VLOOKUP('Données projet'!$B$11,Paramètres!$A$1:$I$89,3,0)*0.475*44/12</f>
        <v>22.455146859378868</v>
      </c>
      <c r="BR79" s="21">
        <f>EXP(-LN(2)/2)*BR78+(1-EXP(-LN(2)/2))/(LN(2)/2)*BL79*BO79*VLOOKUP('Données projet'!$B$11,Paramètres!$A$1:$I$89,3,0)*0.475*44/12</f>
        <v>3.4084212965011389</v>
      </c>
      <c r="BS79" s="22">
        <f t="shared" si="63"/>
        <v>81.608613914275651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65.847706997592752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65.847706997592752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65.847706997592752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65.847706997592752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65.847706997592752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65.847706997592752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65.847706997592752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3.14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11.513333333333334</v>
      </c>
      <c r="H80" s="67">
        <f t="shared" si="56"/>
        <v>210.61333333333332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65.919739998048101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1.064108801074326E-13</v>
      </c>
      <c r="P80" s="13">
        <f t="shared" si="87"/>
        <v>1.5870730813698654E-12</v>
      </c>
      <c r="Q80" s="20">
        <f t="shared" si="54"/>
        <v>2.9494845662396269E-12</v>
      </c>
      <c r="R80" s="59">
        <f t="shared" si="55"/>
        <v>278.37237999284599</v>
      </c>
      <c r="S80" s="59">
        <f ca="1">AVERAGE(OFFSET($R$3,0,0,'Données projet'!$E$9+1,1))-AVERAGE(OFFSET($H$3,0,0,'Données projet'!$E$9+1,1))</f>
        <v>302.99089313578685</v>
      </c>
      <c r="T80" s="59">
        <f t="shared" si="88"/>
        <v>335.51949678160906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68.905119971959493</v>
      </c>
      <c r="AA80" s="21">
        <f>EXP(-LN(2)/25)*AA79+(1-EXP(-LN(2)/25))/(LN(2)/25)*Calculateur!V80*Calculateur!X80*VLOOKUP('Données projet'!$B$9,Paramètres!$A$1:$I$89,3,0)*0.475*44/12</f>
        <v>28.595292895241133</v>
      </c>
      <c r="AB80" s="21">
        <f>EXP(-LN(2)/2)*AB79+(1-EXP(-LN(2)/2))/(LN(2)/2)*V80*Y80*VLOOKUP('Données projet'!$B$9,Paramètres!$A$1:$I$89,3,0)*0.475*44/12</f>
        <v>1.4044963821990311E-2</v>
      </c>
      <c r="AC80" s="22">
        <f t="shared" si="57"/>
        <v>97.514457831022611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65.919739998048101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65.919739998048101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14.6</v>
      </c>
      <c r="BD80" s="12">
        <f>IF('Données projet'!$A$88&gt;35,BD79+BC80-BL79,IF(A80&lt;'Données projet'!$A$88,$BA$205^A80,IF(A80='Données projet'!$A$88,'Données projet'!$B$88,BD79+BC80-BL79)))</f>
        <v>732.2</v>
      </c>
      <c r="BE80" s="13">
        <f>BD80*VLOOKUP('Données projet'!$B$11,Paramètres!$A$1:$I$89,3,0)*VLOOKUP('Données projet'!$B$11,Paramètres!$A$1:$I$89,5,0)</f>
        <v>295.07659999999998</v>
      </c>
      <c r="BF80" s="13">
        <f t="shared" si="91"/>
        <v>70.143337820495091</v>
      </c>
      <c r="BG80" s="20">
        <f t="shared" si="61"/>
        <v>636.09139170402898</v>
      </c>
      <c r="BH80" s="59">
        <f t="shared" si="62"/>
        <v>914.46377169687207</v>
      </c>
      <c r="BI80" s="59">
        <f ca="1">AVERAGE(OFFSET($BH$3,0,0,'Données projet'!$E$11+1,1))-AVERAGE(OFFSET($H$3,0,0,'Données projet'!$E$11+1,1))</f>
        <v>377.91408971696819</v>
      </c>
      <c r="BJ80" s="59">
        <f t="shared" si="92"/>
        <v>321.68797596002366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54.65191941219409</v>
      </c>
      <c r="BQ80" s="21">
        <f>EXP(-LN(2)/25)*BQ79+(1-EXP(-LN(2)/25))/(LN(2)/25)*Calculateur!BL80*Calculateur!BN80*VLOOKUP('Données projet'!$B$11,Paramètres!$A$1:$I$89,3,0)*0.475*44/12</f>
        <v>21.841109687644302</v>
      </c>
      <c r="BR80" s="21">
        <f>EXP(-LN(2)/2)*BR79+(1-EXP(-LN(2)/2))/(LN(2)/2)*BL80*BO80*VLOOKUP('Données projet'!$B$11,Paramètres!$A$1:$I$89,3,0)*0.475*44/12</f>
        <v>2.4101178118965998</v>
      </c>
      <c r="BS80" s="22">
        <f t="shared" si="63"/>
        <v>78.903146911734993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65.919739998048101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65.919739998048101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65.919739998048101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65.919739998048101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65.919739998048101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65.919739998048101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65.919739998048101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3.14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11.513333333333334</v>
      </c>
      <c r="H81" s="67">
        <f t="shared" si="56"/>
        <v>210.61333333333332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65.990523386987178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1.064108801074326E-13</v>
      </c>
      <c r="P81" s="13">
        <f t="shared" si="87"/>
        <v>1.5870730813698654E-12</v>
      </c>
      <c r="Q81" s="20">
        <f t="shared" si="54"/>
        <v>2.9494845662396269E-12</v>
      </c>
      <c r="R81" s="59">
        <f t="shared" si="55"/>
        <v>278.6319190856226</v>
      </c>
      <c r="S81" s="59">
        <f ca="1">AVERAGE(OFFSET($R$3,0,0,'Données projet'!$E$9+1,1))-AVERAGE(OFFSET($H$3,0,0,'Données projet'!$E$9+1,1))</f>
        <v>302.99089313578685</v>
      </c>
      <c r="T81" s="59">
        <f t="shared" si="88"/>
        <v>335.51949678160906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67.553932597282639</v>
      </c>
      <c r="AA81" s="21">
        <f>EXP(-LN(2)/25)*AA80+(1-EXP(-LN(2)/25))/(LN(2)/25)*Calculateur!V81*Calculateur!X81*VLOOKUP('Données projet'!$B$9,Paramètres!$A$1:$I$89,3,0)*0.475*44/12</f>
        <v>27.813353107259665</v>
      </c>
      <c r="AB81" s="21">
        <f>EXP(-LN(2)/2)*AB80+(1-EXP(-LN(2)/2))/(LN(2)/2)*V81*Y81*VLOOKUP('Données projet'!$B$9,Paramètres!$A$1:$I$89,3,0)*0.475*44/12</f>
        <v>9.9312891600490793E-3</v>
      </c>
      <c r="AC81" s="22">
        <f t="shared" si="57"/>
        <v>95.377216993702348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65.990523386987178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65.990523386987178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14.6</v>
      </c>
      <c r="BD81" s="12">
        <f>IF('Données projet'!$A$88&gt;35,BD80+BC81-BL80,IF(A81&lt;'Données projet'!$A$88,$BA$205^A81,IF(A81='Données projet'!$A$88,'Données projet'!$B$88,BD80+BC81-BL80)))</f>
        <v>746.80000000000007</v>
      </c>
      <c r="BE81" s="13">
        <f>BD81*VLOOKUP('Données projet'!$B$11,Paramètres!$A$1:$I$89,3,0)*VLOOKUP('Données projet'!$B$11,Paramètres!$A$1:$I$89,5,0)</f>
        <v>300.96040000000005</v>
      </c>
      <c r="BF81" s="13">
        <f t="shared" si="91"/>
        <v>71.377762737097115</v>
      </c>
      <c r="BG81" s="20">
        <f t="shared" si="61"/>
        <v>648.48896676711081</v>
      </c>
      <c r="BH81" s="59">
        <f t="shared" si="62"/>
        <v>927.12088585273045</v>
      </c>
      <c r="BI81" s="59">
        <f ca="1">AVERAGE(OFFSET($BH$3,0,0,'Données projet'!$E$11+1,1))-AVERAGE(OFFSET($H$3,0,0,'Données projet'!$E$11+1,1))</f>
        <v>377.91408971696819</v>
      </c>
      <c r="BJ81" s="59">
        <f t="shared" si="92"/>
        <v>321.68797596002366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53.580228606900306</v>
      </c>
      <c r="BQ81" s="21">
        <f>EXP(-LN(2)/25)*BQ80+(1-EXP(-LN(2)/25))/(LN(2)/25)*Calculateur!BL81*Calculateur!BN81*VLOOKUP('Données projet'!$B$11,Paramètres!$A$1:$I$89,3,0)*0.475*44/12</f>
        <v>21.243863394661627</v>
      </c>
      <c r="BR81" s="21">
        <f>EXP(-LN(2)/2)*BR80+(1-EXP(-LN(2)/2))/(LN(2)/2)*BL81*BO81*VLOOKUP('Données projet'!$B$11,Paramètres!$A$1:$I$89,3,0)*0.475*44/12</f>
        <v>1.7042106482505699</v>
      </c>
      <c r="BS81" s="22">
        <f t="shared" si="63"/>
        <v>76.528302649812503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65.990523386987178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65.990523386987178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65.990523386987178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65.990523386987178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65.990523386987178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65.990523386987178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65.990523386987178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3.14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11.513333333333334</v>
      </c>
      <c r="H82" s="67">
        <f t="shared" si="56"/>
        <v>210.61333333333332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66.060078842376129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1.064108801074326E-13</v>
      </c>
      <c r="P82" s="13">
        <f t="shared" si="87"/>
        <v>1.5870730813698654E-12</v>
      </c>
      <c r="Q82" s="20">
        <f t="shared" si="54"/>
        <v>2.9494845662396269E-12</v>
      </c>
      <c r="R82" s="59">
        <f t="shared" si="55"/>
        <v>278.88695575538208</v>
      </c>
      <c r="S82" s="59">
        <f ca="1">AVERAGE(OFFSET($R$3,0,0,'Données projet'!$E$9+1,1))-AVERAGE(OFFSET($H$3,0,0,'Données projet'!$E$9+1,1))</f>
        <v>302.99089313578685</v>
      </c>
      <c r="T82" s="59">
        <f t="shared" si="88"/>
        <v>335.51949678160906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66.229241182880273</v>
      </c>
      <c r="AA82" s="21">
        <f>EXP(-LN(2)/25)*AA81+(1-EXP(-LN(2)/25))/(LN(2)/25)*Calculateur!V82*Calculateur!X82*VLOOKUP('Données projet'!$B$9,Paramètres!$A$1:$I$89,3,0)*0.475*44/12</f>
        <v>27.052795503900978</v>
      </c>
      <c r="AB82" s="21">
        <f>EXP(-LN(2)/2)*AB81+(1-EXP(-LN(2)/2))/(LN(2)/2)*V82*Y82*VLOOKUP('Données projet'!$B$9,Paramètres!$A$1:$I$89,3,0)*0.475*44/12</f>
        <v>7.0224819109951557E-3</v>
      </c>
      <c r="AC82" s="22">
        <f t="shared" si="57"/>
        <v>93.289059168692248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66.060078842376129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66.060078842376129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14.6</v>
      </c>
      <c r="BD82" s="12">
        <f>IF('Données projet'!$A$88&gt;35,BD81+BC82-BL81,IF(A82&lt;'Données projet'!$A$88,$BA$205^A82,IF(A82='Données projet'!$A$88,'Données projet'!$B$88,BD81+BC82-BL81)))</f>
        <v>761.40000000000009</v>
      </c>
      <c r="BE82" s="13">
        <f>BD82*VLOOKUP('Données projet'!$B$11,Paramètres!$A$1:$I$89,3,0)*VLOOKUP('Données projet'!$B$11,Paramètres!$A$1:$I$89,5,0)</f>
        <v>306.84420000000006</v>
      </c>
      <c r="BF82" s="13">
        <f t="shared" si="91"/>
        <v>72.609381564974782</v>
      </c>
      <c r="BG82" s="20">
        <f t="shared" si="61"/>
        <v>660.88165455899787</v>
      </c>
      <c r="BH82" s="59">
        <f t="shared" si="62"/>
        <v>939.76861031437693</v>
      </c>
      <c r="BI82" s="59">
        <f ca="1">AVERAGE(OFFSET($BH$3,0,0,'Données projet'!$E$11+1,1))-AVERAGE(OFFSET($H$3,0,0,'Données projet'!$E$11+1,1))</f>
        <v>377.91408971696819</v>
      </c>
      <c r="BJ82" s="59">
        <f t="shared" si="92"/>
        <v>321.68797596002366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52.529553004631488</v>
      </c>
      <c r="BQ82" s="21">
        <f>EXP(-LN(2)/25)*BQ81+(1-EXP(-LN(2)/25))/(LN(2)/25)*Calculateur!BL82*Calculateur!BN82*VLOOKUP('Données projet'!$B$11,Paramètres!$A$1:$I$89,3,0)*0.475*44/12</f>
        <v>20.662948832968382</v>
      </c>
      <c r="BR82" s="21">
        <f>EXP(-LN(2)/2)*BR81+(1-EXP(-LN(2)/2))/(LN(2)/2)*BL82*BO82*VLOOKUP('Données projet'!$B$11,Paramètres!$A$1:$I$89,3,0)*0.475*44/12</f>
        <v>1.2050589059483001</v>
      </c>
      <c r="BS82" s="22">
        <f t="shared" si="63"/>
        <v>74.397560743548183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66.060078842376129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66.060078842376129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66.060078842376129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66.060078842376129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66.060078842376129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66.060078842376129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66.060078842376129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3.14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11.513333333333334</v>
      </c>
      <c r="H83" s="67">
        <f t="shared" si="56"/>
        <v>210.61333333333332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66.128427666116778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1.064108801074326E-13</v>
      </c>
      <c r="P83" s="13">
        <f t="shared" si="87"/>
        <v>1.5870730813698654E-12</v>
      </c>
      <c r="Q83" s="20">
        <f t="shared" si="54"/>
        <v>2.9494845662396269E-12</v>
      </c>
      <c r="R83" s="59">
        <f t="shared" si="55"/>
        <v>279.1375681090978</v>
      </c>
      <c r="S83" s="59">
        <f ca="1">AVERAGE(OFFSET($R$3,0,0,'Données projet'!$E$9+1,1))-AVERAGE(OFFSET($H$3,0,0,'Données projet'!$E$9+1,1))</f>
        <v>302.99089313578685</v>
      </c>
      <c r="T83" s="59">
        <f t="shared" si="88"/>
        <v>335.51949678160906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64.930526159132356</v>
      </c>
      <c r="AA83" s="21">
        <f>EXP(-LN(2)/25)*AA82+(1-EXP(-LN(2)/25))/(LN(2)/25)*Calculateur!V83*Calculateur!X83*VLOOKUP('Données projet'!$B$9,Paramètres!$A$1:$I$89,3,0)*0.475*44/12</f>
        <v>26.31303538820212</v>
      </c>
      <c r="AB83" s="21">
        <f>EXP(-LN(2)/2)*AB82+(1-EXP(-LN(2)/2))/(LN(2)/2)*V83*Y83*VLOOKUP('Données projet'!$B$9,Paramètres!$A$1:$I$89,3,0)*0.475*44/12</f>
        <v>4.9656445800245396E-3</v>
      </c>
      <c r="AC83" s="22">
        <f t="shared" si="57"/>
        <v>91.248527191914505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66.128427666116778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66.128427666116778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776</v>
      </c>
      <c r="BB83" s="12">
        <f>VLOOKUP(A83,'Données projet'!$A$87:$I$107,9,0)</f>
        <v>14.6</v>
      </c>
      <c r="BC83" s="12">
        <f t="array" ref="BC83">INDEX(BB:BB,MIN(IF(ISNUMBER(BB83:BB279),ROW(BB83:BB279),"")))</f>
        <v>14.6</v>
      </c>
      <c r="BD83" s="12">
        <f>IF('Données projet'!$A$88&gt;35,BD82+BC83-BL82,IF(A83&lt;'Données projet'!$A$88,$BA$205^A83,IF(A83='Données projet'!$A$88,'Données projet'!$B$88,BD82+BC83-BL82)))</f>
        <v>776.00000000000011</v>
      </c>
      <c r="BE83" s="13">
        <f>BD83*VLOOKUP('Données projet'!$B$11,Paramètres!$A$1:$I$89,3,0)*VLOOKUP('Données projet'!$B$11,Paramètres!$A$1:$I$89,5,0)</f>
        <v>312.72800000000007</v>
      </c>
      <c r="BF83" s="13">
        <f t="shared" si="91"/>
        <v>73.838254315053803</v>
      </c>
      <c r="BG83" s="20">
        <f t="shared" si="61"/>
        <v>673.26955959871884</v>
      </c>
      <c r="BH83" s="59">
        <f t="shared" si="62"/>
        <v>952.40712770781374</v>
      </c>
      <c r="BI83" s="59">
        <f ca="1">AVERAGE(OFFSET($BH$3,0,0,'Données projet'!$E$11+1,1))-AVERAGE(OFFSET($H$3,0,0,'Données projet'!$E$11+1,1))</f>
        <v>377.91408971696819</v>
      </c>
      <c r="BJ83" s="59">
        <f t="shared" si="92"/>
        <v>321.68797596002366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776</v>
      </c>
      <c r="BM83" s="16">
        <f>IF(ISNA(VLOOKUP(A83,'Données projet'!$A$87:$I$107,5,0)),0%,VLOOKUP(A83,'Données projet'!$A$87:$I$107,5,0)*VLOOKUP('Données projet'!$B$11,Paramètres!$A$1:$I$89,7,0))</f>
        <v>0.33</v>
      </c>
      <c r="BN83" s="16">
        <f>IF(ISNA(VLOOKUP(A83,'Données projet'!$A$87:$I$107,6,0)),0%,VLOOKUP(A83,'Données projet'!$A$87:$I$107,6,0)*VLOOKUP('Données projet'!$B$11,Paramètres!$A$1:$I$89,7,0))</f>
        <v>0.11000000000000001</v>
      </c>
      <c r="BO83" s="16">
        <f>IF(ISNA(VLOOKUP(A83,'Données projet'!$A$87:$I$107,7,0)),0%,VLOOKUP(A83,'Données projet'!$A$87:$I$107,7,0))</f>
        <v>0.2</v>
      </c>
      <c r="BP83" s="21">
        <f>EXP(-LN(2)/35)*BP82+(1-EXP(-LN(2)/35))/(LN(2)/35)*BL83*BM83*VLOOKUP('Données projet'!$B$11,Paramètres!$A$1:$I$89,3,0)*0.475*44/12</f>
        <v>188.40125068690423</v>
      </c>
      <c r="BQ83" s="21">
        <f>EXP(-LN(2)/25)*BQ82+(1-EXP(-LN(2)/25))/(LN(2)/25)*Calculateur!BL83*Calculateur!BN83*VLOOKUP('Données projet'!$B$11,Paramètres!$A$1:$I$89,3,0)*0.475*44/12</f>
        <v>65.55216465850684</v>
      </c>
      <c r="BR83" s="21">
        <f>EXP(-LN(2)/2)*BR82+(1-EXP(-LN(2)/2))/(LN(2)/2)*BL83*BO83*VLOOKUP('Données projet'!$B$11,Paramètres!$A$1:$I$89,3,0)*0.475*44/12</f>
        <v>71.668253712296618</v>
      </c>
      <c r="BS83" s="22">
        <f t="shared" si="63"/>
        <v>325.62166905770772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66.128427666116778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66.128427666116778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66.128427666116778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66.128427666116778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66.128427666116778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66.128427666116778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66.128427666116778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3.14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11.513333333333334</v>
      </c>
      <c r="H84" s="67">
        <f t="shared" si="56"/>
        <v>210.61333333333332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66.195590790570606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1.064108801074326E-13</v>
      </c>
      <c r="P84" s="13">
        <f t="shared" si="87"/>
        <v>1.5870730813698654E-12</v>
      </c>
      <c r="Q84" s="20">
        <f t="shared" si="54"/>
        <v>2.9494845662396269E-12</v>
      </c>
      <c r="R84" s="59">
        <f t="shared" si="55"/>
        <v>279.38383289876185</v>
      </c>
      <c r="S84" s="59">
        <f ca="1">AVERAGE(OFFSET($R$3,0,0,'Données projet'!$E$9+1,1))-AVERAGE(OFFSET($H$3,0,0,'Données projet'!$E$9+1,1))</f>
        <v>302.99089313578685</v>
      </c>
      <c r="T84" s="59">
        <f t="shared" si="88"/>
        <v>335.51949678160906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63.657278144862183</v>
      </c>
      <c r="AA84" s="21">
        <f>EXP(-LN(2)/25)*AA83+(1-EXP(-LN(2)/25))/(LN(2)/25)*Calculateur!V84*Calculateur!X84*VLOOKUP('Données projet'!$B$9,Paramètres!$A$1:$I$89,3,0)*0.475*44/12</f>
        <v>25.59350405176934</v>
      </c>
      <c r="AB84" s="21">
        <f>EXP(-LN(2)/2)*AB83+(1-EXP(-LN(2)/2))/(LN(2)/2)*V84*Y84*VLOOKUP('Données projet'!$B$9,Paramètres!$A$1:$I$89,3,0)*0.475*44/12</f>
        <v>3.5112409554975779E-3</v>
      </c>
      <c r="AC84" s="22">
        <f t="shared" si="57"/>
        <v>89.254293437587023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66.195590790570606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66.195590790570606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1.1368683772161603E-13</v>
      </c>
      <c r="BE84" s="13">
        <f>BD84*VLOOKUP('Données projet'!$B$11,Paramètres!$A$1:$I$89,3,0)*VLOOKUP('Données projet'!$B$11,Paramètres!$A$1:$I$89,5,0)</f>
        <v>4.5815795601811263E-14</v>
      </c>
      <c r="BF84" s="13">
        <f t="shared" si="91"/>
        <v>7.5374618042508364E-13</v>
      </c>
      <c r="BG84" s="20">
        <f t="shared" si="61"/>
        <v>1.392570441580175E-12</v>
      </c>
      <c r="BH84" s="59">
        <f t="shared" si="62"/>
        <v>279.38383289876026</v>
      </c>
      <c r="BI84" s="59">
        <f ca="1">AVERAGE(OFFSET($BH$3,0,0,'Données projet'!$E$11+1,1))-AVERAGE(OFFSET($H$3,0,0,'Données projet'!$E$11+1,1))</f>
        <v>377.91408971696819</v>
      </c>
      <c r="BJ84" s="59">
        <f t="shared" si="92"/>
        <v>321.68797596002366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184.7068170743502</v>
      </c>
      <c r="BQ84" s="21">
        <f>EXP(-LN(2)/25)*BQ83+(1-EXP(-LN(2)/25))/(LN(2)/25)*Calculateur!BL84*Calculateur!BN84*VLOOKUP('Données projet'!$B$11,Paramètres!$A$1:$I$89,3,0)*0.475*44/12</f>
        <v>63.759637268681452</v>
      </c>
      <c r="BR84" s="21">
        <f>EXP(-LN(2)/2)*BR83+(1-EXP(-LN(2)/2))/(LN(2)/2)*BL84*BO84*VLOOKUP('Données projet'!$B$11,Paramètres!$A$1:$I$89,3,0)*0.475*44/12</f>
        <v>50.677108195762898</v>
      </c>
      <c r="BS84" s="22">
        <f t="shared" si="63"/>
        <v>299.14356253879453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66.195590790570606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66.195590790570606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66.195590790570606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66.195590790570606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66.195590790570606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66.195590790570606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66.195590790570606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3.14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11.513333333333334</v>
      </c>
      <c r="H85" s="67">
        <f t="shared" si="56"/>
        <v>210.61333333333332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66.261588784969419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1.064108801074326E-13</v>
      </c>
      <c r="P85" s="13">
        <f t="shared" si="87"/>
        <v>1.5870730813698654E-12</v>
      </c>
      <c r="Q85" s="20">
        <f t="shared" si="54"/>
        <v>2.9494845662396269E-12</v>
      </c>
      <c r="R85" s="59">
        <f t="shared" si="55"/>
        <v>279.6258255448908</v>
      </c>
      <c r="S85" s="59">
        <f ca="1">AVERAGE(OFFSET($R$3,0,0,'Données projet'!$E$9+1,1))-AVERAGE(OFFSET($H$3,0,0,'Données projet'!$E$9+1,1))</f>
        <v>302.99089313578685</v>
      </c>
      <c r="T85" s="59">
        <f t="shared" si="88"/>
        <v>335.51949678160906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62.408997747547247</v>
      </c>
      <c r="AA85" s="21">
        <f>EXP(-LN(2)/25)*AA84+(1-EXP(-LN(2)/25))/(LN(2)/25)*Calculateur!V85*Calculateur!X85*VLOOKUP('Données projet'!$B$9,Paramètres!$A$1:$I$89,3,0)*0.475*44/12</f>
        <v>24.893648337569825</v>
      </c>
      <c r="AB85" s="21">
        <f>EXP(-LN(2)/2)*AB84+(1-EXP(-LN(2)/2))/(LN(2)/2)*V85*Y85*VLOOKUP('Données projet'!$B$9,Paramètres!$A$1:$I$89,3,0)*0.475*44/12</f>
        <v>2.4828222900122698E-3</v>
      </c>
      <c r="AC85" s="22">
        <f t="shared" si="57"/>
        <v>87.305128907407081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66.261588784969419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66.261588784969419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1.1368683772161603E-13</v>
      </c>
      <c r="BE85" s="13">
        <f>BD85*VLOOKUP('Données projet'!$B$11,Paramètres!$A$1:$I$89,3,0)*VLOOKUP('Données projet'!$B$11,Paramètres!$A$1:$I$89,5,0)</f>
        <v>4.5815795601811263E-14</v>
      </c>
      <c r="BF85" s="13">
        <f t="shared" si="91"/>
        <v>7.5374618042508364E-13</v>
      </c>
      <c r="BG85" s="20">
        <f t="shared" si="61"/>
        <v>1.392570441580175E-12</v>
      </c>
      <c r="BH85" s="59">
        <f t="shared" si="62"/>
        <v>279.62582554488921</v>
      </c>
      <c r="BI85" s="59">
        <f ca="1">AVERAGE(OFFSET($BH$3,0,0,'Données projet'!$E$11+1,1))-AVERAGE(OFFSET($H$3,0,0,'Données projet'!$E$11+1,1))</f>
        <v>377.91408971696819</v>
      </c>
      <c r="BJ85" s="59">
        <f t="shared" si="92"/>
        <v>321.68797596002366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181.08482905155634</v>
      </c>
      <c r="BQ85" s="21">
        <f>EXP(-LN(2)/25)*BQ84+(1-EXP(-LN(2)/25))/(LN(2)/25)*Calculateur!BL85*Calculateur!BN85*VLOOKUP('Données projet'!$B$11,Paramètres!$A$1:$I$89,3,0)*0.475*44/12</f>
        <v>62.016126634595757</v>
      </c>
      <c r="BR85" s="21">
        <f>EXP(-LN(2)/2)*BR84+(1-EXP(-LN(2)/2))/(LN(2)/2)*BL85*BO85*VLOOKUP('Données projet'!$B$11,Paramètres!$A$1:$I$89,3,0)*0.475*44/12</f>
        <v>35.834126856148309</v>
      </c>
      <c r="BS85" s="22">
        <f t="shared" si="63"/>
        <v>278.93508254230039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66.261588784969419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66.261588784969419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66.261588784969419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66.261588784969419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66.261588784969419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66.261588784969419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66.261588784969419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3.14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11.513333333333334</v>
      </c>
      <c r="H86" s="67">
        <f t="shared" si="56"/>
        <v>210.61333333333332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66.326441861714812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1.064108801074326E-13</v>
      </c>
      <c r="P86" s="13">
        <f t="shared" si="87"/>
        <v>1.5870730813698654E-12</v>
      </c>
      <c r="Q86" s="20">
        <f t="shared" si="54"/>
        <v>2.9494845662396269E-12</v>
      </c>
      <c r="R86" s="59">
        <f t="shared" si="55"/>
        <v>279.86362015962396</v>
      </c>
      <c r="S86" s="59">
        <f ca="1">AVERAGE(OFFSET($R$3,0,0,'Données projet'!$E$9+1,1))-AVERAGE(OFFSET($H$3,0,0,'Données projet'!$E$9+1,1))</f>
        <v>302.99089313578685</v>
      </c>
      <c r="T86" s="59">
        <f t="shared" si="88"/>
        <v>335.51949678160906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61.18519536744779</v>
      </c>
      <c r="AA86" s="21">
        <f>EXP(-LN(2)/25)*AA85+(1-EXP(-LN(2)/25))/(LN(2)/25)*Calculateur!V86*Calculateur!X86*VLOOKUP('Données projet'!$B$9,Paramètres!$A$1:$I$89,3,0)*0.475*44/12</f>
        <v>24.212930214678906</v>
      </c>
      <c r="AB86" s="21">
        <f>EXP(-LN(2)/2)*AB85+(1-EXP(-LN(2)/2))/(LN(2)/2)*V86*Y86*VLOOKUP('Données projet'!$B$9,Paramètres!$A$1:$I$89,3,0)*0.475*44/12</f>
        <v>1.7556204777487889E-3</v>
      </c>
      <c r="AC86" s="22">
        <f t="shared" si="57"/>
        <v>85.399881202604448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66.326441861714812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66.326441861714812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1.1368683772161603E-13</v>
      </c>
      <c r="BE86" s="13">
        <f>BD86*VLOOKUP('Données projet'!$B$11,Paramètres!$A$1:$I$89,3,0)*VLOOKUP('Données projet'!$B$11,Paramètres!$A$1:$I$89,5,0)</f>
        <v>4.5815795601811263E-14</v>
      </c>
      <c r="BF86" s="13">
        <f t="shared" si="91"/>
        <v>7.5374618042508364E-13</v>
      </c>
      <c r="BG86" s="20">
        <f t="shared" si="61"/>
        <v>1.392570441580175E-12</v>
      </c>
      <c r="BH86" s="59">
        <f t="shared" si="62"/>
        <v>279.86362015962237</v>
      </c>
      <c r="BI86" s="59">
        <f ca="1">AVERAGE(OFFSET($BH$3,0,0,'Données projet'!$E$11+1,1))-AVERAGE(OFFSET($H$3,0,0,'Données projet'!$E$11+1,1))</f>
        <v>377.91408971696819</v>
      </c>
      <c r="BJ86" s="59">
        <f t="shared" si="92"/>
        <v>321.68797596002366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177.53386600469491</v>
      </c>
      <c r="BQ86" s="21">
        <f>EXP(-LN(2)/25)*BQ85+(1-EXP(-LN(2)/25))/(LN(2)/25)*Calculateur!BL86*Calculateur!BN86*VLOOKUP('Données projet'!$B$11,Paramètres!$A$1:$I$89,3,0)*0.475*44/12</f>
        <v>60.320292390486379</v>
      </c>
      <c r="BR86" s="21">
        <f>EXP(-LN(2)/2)*BR85+(1-EXP(-LN(2)/2))/(LN(2)/2)*BL86*BO86*VLOOKUP('Données projet'!$B$11,Paramètres!$A$1:$I$89,3,0)*0.475*44/12</f>
        <v>25.338554097881449</v>
      </c>
      <c r="BS86" s="22">
        <f t="shared" si="63"/>
        <v>263.19271249306274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66.326441861714812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66.326441861714812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66.326441861714812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66.326441861714812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66.326441861714812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66.326441861714812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66.326441861714812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3.14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11.513333333333334</v>
      </c>
      <c r="H87" s="67">
        <f t="shared" si="56"/>
        <v>210.61333333333332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66.390169882568443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1.064108801074326E-13</v>
      </c>
      <c r="P87" s="13">
        <f t="shared" si="87"/>
        <v>1.5870730813698654E-12</v>
      </c>
      <c r="Q87" s="20">
        <f t="shared" si="54"/>
        <v>2.9494845662396269E-12</v>
      </c>
      <c r="R87" s="59">
        <f t="shared" si="55"/>
        <v>280.09728956942058</v>
      </c>
      <c r="S87" s="59">
        <f ca="1">AVERAGE(OFFSET($R$3,0,0,'Données projet'!$E$9+1,1))-AVERAGE(OFFSET($H$3,0,0,'Données projet'!$E$9+1,1))</f>
        <v>302.99089313578685</v>
      </c>
      <c r="T87" s="59">
        <f t="shared" si="88"/>
        <v>335.51949678160906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59.985391005576339</v>
      </c>
      <c r="AA87" s="21">
        <f>EXP(-LN(2)/25)*AA86+(1-EXP(-LN(2)/25))/(LN(2)/25)*Calculateur!V87*Calculateur!X87*VLOOKUP('Données projet'!$B$9,Paramètres!$A$1:$I$89,3,0)*0.475*44/12</f>
        <v>23.550826364655851</v>
      </c>
      <c r="AB87" s="21">
        <f>EXP(-LN(2)/2)*AB86+(1-EXP(-LN(2)/2))/(LN(2)/2)*V87*Y87*VLOOKUP('Données projet'!$B$9,Paramètres!$A$1:$I$89,3,0)*0.475*44/12</f>
        <v>1.2414111450061349E-3</v>
      </c>
      <c r="AC87" s="22">
        <f t="shared" si="57"/>
        <v>83.537458781377197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66.390169882568443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66.390169882568443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1.1368683772161603E-13</v>
      </c>
      <c r="BE87" s="13">
        <f>BD87*VLOOKUP('Données projet'!$B$11,Paramètres!$A$1:$I$89,3,0)*VLOOKUP('Données projet'!$B$11,Paramètres!$A$1:$I$89,5,0)</f>
        <v>4.5815795601811263E-14</v>
      </c>
      <c r="BF87" s="13">
        <f t="shared" si="91"/>
        <v>7.5374618042508364E-13</v>
      </c>
      <c r="BG87" s="20">
        <f t="shared" si="61"/>
        <v>1.392570441580175E-12</v>
      </c>
      <c r="BH87" s="59">
        <f t="shared" si="62"/>
        <v>280.09728956941899</v>
      </c>
      <c r="BI87" s="59">
        <f ca="1">AVERAGE(OFFSET($BH$3,0,0,'Données projet'!$E$11+1,1))-AVERAGE(OFFSET($H$3,0,0,'Données projet'!$E$11+1,1))</f>
        <v>377.91408971696819</v>
      </c>
      <c r="BJ87" s="59">
        <f t="shared" si="92"/>
        <v>321.68797596002366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174.05253517730887</v>
      </c>
      <c r="BQ87" s="21">
        <f>EXP(-LN(2)/25)*BQ86+(1-EXP(-LN(2)/25))/(LN(2)/25)*Calculateur!BL87*Calculateur!BN87*VLOOKUP('Données projet'!$B$11,Paramètres!$A$1:$I$89,3,0)*0.475*44/12</f>
        <v>58.670830822962216</v>
      </c>
      <c r="BR87" s="21">
        <f>EXP(-LN(2)/2)*BR86+(1-EXP(-LN(2)/2))/(LN(2)/2)*BL87*BO87*VLOOKUP('Données projet'!$B$11,Paramètres!$A$1:$I$89,3,0)*0.475*44/12</f>
        <v>17.917063428074155</v>
      </c>
      <c r="BS87" s="22">
        <f t="shared" si="63"/>
        <v>250.64042942834524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66.390169882568443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66.390169882568443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66.390169882568443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66.390169882568443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66.390169882568443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66.390169882568443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66.390169882568443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3.14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11.513333333333334</v>
      </c>
      <c r="H88" s="67">
        <f t="shared" si="56"/>
        <v>210.61333333333332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66.452792364734762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1.064108801074326E-13</v>
      </c>
      <c r="P88" s="13">
        <f t="shared" si="87"/>
        <v>1.5870730813698654E-12</v>
      </c>
      <c r="Q88" s="20">
        <f t="shared" si="54"/>
        <v>2.9494845662396269E-12</v>
      </c>
      <c r="R88" s="59">
        <f t="shared" si="55"/>
        <v>280.32690533736377</v>
      </c>
      <c r="S88" s="59">
        <f ca="1">AVERAGE(OFFSET($R$3,0,0,'Données projet'!$E$9+1,1))-AVERAGE(OFFSET($H$3,0,0,'Données projet'!$E$9+1,1))</f>
        <v>302.99089313578685</v>
      </c>
      <c r="T88" s="59">
        <f t="shared" si="88"/>
        <v>335.51949678160906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58.809114075432788</v>
      </c>
      <c r="AA88" s="21">
        <f>EXP(-LN(2)/25)*AA87+(1-EXP(-LN(2)/25))/(LN(2)/25)*Calculateur!V88*Calculateur!X88*VLOOKUP('Données projet'!$B$9,Paramètres!$A$1:$I$89,3,0)*0.475*44/12</f>
        <v>22.906827779230206</v>
      </c>
      <c r="AB88" s="21">
        <f>EXP(-LN(2)/2)*AB87+(1-EXP(-LN(2)/2))/(LN(2)/2)*V88*Y88*VLOOKUP('Données projet'!$B$9,Paramètres!$A$1:$I$89,3,0)*0.475*44/12</f>
        <v>8.7781023887439447E-4</v>
      </c>
      <c r="AC88" s="22">
        <f t="shared" si="57"/>
        <v>81.716819664901863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66.452792364734762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66.452792364734762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1.1368683772161603E-13</v>
      </c>
      <c r="BE88" s="13">
        <f>BD88*VLOOKUP('Données projet'!$B$11,Paramètres!$A$1:$I$89,3,0)*VLOOKUP('Données projet'!$B$11,Paramètres!$A$1:$I$89,5,0)</f>
        <v>4.5815795601811263E-14</v>
      </c>
      <c r="BF88" s="13">
        <f t="shared" si="91"/>
        <v>7.5374618042508364E-13</v>
      </c>
      <c r="BG88" s="20">
        <f t="shared" si="61"/>
        <v>1.392570441580175E-12</v>
      </c>
      <c r="BH88" s="59">
        <f t="shared" si="62"/>
        <v>280.32690533736218</v>
      </c>
      <c r="BI88" s="59">
        <f ca="1">AVERAGE(OFFSET($BH$3,0,0,'Données projet'!$E$11+1,1))-AVERAGE(OFFSET($H$3,0,0,'Données projet'!$E$11+1,1))</f>
        <v>377.91408971696819</v>
      </c>
      <c r="BJ88" s="59">
        <f t="shared" si="92"/>
        <v>321.68797596002366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170.63947112404571</v>
      </c>
      <c r="BQ88" s="21">
        <f>EXP(-LN(2)/25)*BQ87+(1-EXP(-LN(2)/25))/(LN(2)/25)*Calculateur!BL88*Calculateur!BN88*VLOOKUP('Données projet'!$B$11,Paramètres!$A$1:$I$89,3,0)*0.475*44/12</f>
        <v>57.066473868743415</v>
      </c>
      <c r="BR88" s="21">
        <f>EXP(-LN(2)/2)*BR87+(1-EXP(-LN(2)/2))/(LN(2)/2)*BL88*BO88*VLOOKUP('Données projet'!$B$11,Paramètres!$A$1:$I$89,3,0)*0.475*44/12</f>
        <v>12.669277048940724</v>
      </c>
      <c r="BS88" s="22">
        <f t="shared" si="63"/>
        <v>240.37522204172984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66.452792364734762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66.452792364734762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66.452792364734762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66.452792364734762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66.452792364734762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66.452792364734762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66.452792364734762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3.14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11.513333333333334</v>
      </c>
      <c r="H89" s="67">
        <f t="shared" si="56"/>
        <v>210.61333333333332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66.514328486838394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1.064108801074326E-13</v>
      </c>
      <c r="P89" s="13">
        <f t="shared" si="87"/>
        <v>1.5870730813698654E-12</v>
      </c>
      <c r="Q89" s="20">
        <f t="shared" si="54"/>
        <v>2.9494845662396269E-12</v>
      </c>
      <c r="R89" s="59">
        <f t="shared" si="55"/>
        <v>280.55253778507705</v>
      </c>
      <c r="S89" s="59">
        <f ca="1">AVERAGE(OFFSET($R$3,0,0,'Données projet'!$E$9+1,1))-AVERAGE(OFFSET($H$3,0,0,'Données projet'!$E$9+1,1))</f>
        <v>302.99089313578685</v>
      </c>
      <c r="T89" s="59">
        <f t="shared" si="88"/>
        <v>335.51949678160906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57.65590321843127</v>
      </c>
      <c r="AA89" s="21">
        <f>EXP(-LN(2)/25)*AA88+(1-EXP(-LN(2)/25))/(LN(2)/25)*Calculateur!V89*Calculateur!X89*VLOOKUP('Données projet'!$B$9,Paramètres!$A$1:$I$89,3,0)*0.475*44/12</f>
        <v>22.280439368989438</v>
      </c>
      <c r="AB89" s="21">
        <f>EXP(-LN(2)/2)*AB88+(1-EXP(-LN(2)/2))/(LN(2)/2)*V89*Y89*VLOOKUP('Données projet'!$B$9,Paramètres!$A$1:$I$89,3,0)*0.475*44/12</f>
        <v>6.2070557250306746E-4</v>
      </c>
      <c r="AC89" s="22">
        <f t="shared" si="57"/>
        <v>79.936963292993212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66.514328486838394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66.514328486838394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1.1368683772161603E-13</v>
      </c>
      <c r="BE89" s="13">
        <f>BD89*VLOOKUP('Données projet'!$B$11,Paramètres!$A$1:$I$89,3,0)*VLOOKUP('Données projet'!$B$11,Paramètres!$A$1:$I$89,5,0)</f>
        <v>4.5815795601811263E-14</v>
      </c>
      <c r="BF89" s="13">
        <f t="shared" si="91"/>
        <v>7.5374618042508364E-13</v>
      </c>
      <c r="BG89" s="20">
        <f t="shared" si="61"/>
        <v>1.392570441580175E-12</v>
      </c>
      <c r="BH89" s="59">
        <f t="shared" si="62"/>
        <v>280.55253778507546</v>
      </c>
      <c r="BI89" s="59">
        <f ca="1">AVERAGE(OFFSET($BH$3,0,0,'Données projet'!$E$11+1,1))-AVERAGE(OFFSET($H$3,0,0,'Données projet'!$E$11+1,1))</f>
        <v>377.91408971696819</v>
      </c>
      <c r="BJ89" s="59">
        <f t="shared" si="92"/>
        <v>321.68797596002366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167.29333517510352</v>
      </c>
      <c r="BQ89" s="21">
        <f>EXP(-LN(2)/25)*BQ88+(1-EXP(-LN(2)/25))/(LN(2)/25)*Calculateur!BL89*Calculateur!BN89*VLOOKUP('Données projet'!$B$11,Paramètres!$A$1:$I$89,3,0)*0.475*44/12</f>
        <v>55.505988139807194</v>
      </c>
      <c r="BR89" s="21">
        <f>EXP(-LN(2)/2)*BR88+(1-EXP(-LN(2)/2))/(LN(2)/2)*BL89*BO89*VLOOKUP('Données projet'!$B$11,Paramètres!$A$1:$I$89,3,0)*0.475*44/12</f>
        <v>8.9585317140370773</v>
      </c>
      <c r="BS89" s="22">
        <f t="shared" si="63"/>
        <v>231.75785502894777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66.514328486838394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66.514328486838394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66.514328486838394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66.514328486838394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66.514328486838394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66.514328486838394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66.514328486838394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3.14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11.513333333333334</v>
      </c>
      <c r="H90" s="67">
        <f t="shared" si="56"/>
        <v>210.61333333333332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66.574797094797688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1.064108801074326E-13</v>
      </c>
      <c r="P90" s="13">
        <f t="shared" si="87"/>
        <v>1.5870730813698654E-12</v>
      </c>
      <c r="Q90" s="20">
        <f t="shared" si="54"/>
        <v>2.9494845662396269E-12</v>
      </c>
      <c r="R90" s="59">
        <f t="shared" si="55"/>
        <v>280.77425601426114</v>
      </c>
      <c r="S90" s="59">
        <f ca="1">AVERAGE(OFFSET($R$3,0,0,'Données projet'!$E$9+1,1))-AVERAGE(OFFSET($H$3,0,0,'Données projet'!$E$9+1,1))</f>
        <v>302.99089313578685</v>
      </c>
      <c r="T90" s="59">
        <f t="shared" si="88"/>
        <v>335.51949678160906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56.525306122946382</v>
      </c>
      <c r="AA90" s="21">
        <f>EXP(-LN(2)/25)*AA89+(1-EXP(-LN(2)/25))/(LN(2)/25)*Calculateur!V90*Calculateur!X90*VLOOKUP('Données projet'!$B$9,Paramètres!$A$1:$I$89,3,0)*0.475*44/12</f>
        <v>21.671179582767039</v>
      </c>
      <c r="AB90" s="21">
        <f>EXP(-LN(2)/2)*AB89+(1-EXP(-LN(2)/2))/(LN(2)/2)*V90*Y90*VLOOKUP('Données projet'!$B$9,Paramètres!$A$1:$I$89,3,0)*0.475*44/12</f>
        <v>4.3890511943719723E-4</v>
      </c>
      <c r="AC90" s="22">
        <f t="shared" si="57"/>
        <v>78.196924610832866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66.574797094797688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66.574797094797688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1.1368683772161603E-13</v>
      </c>
      <c r="BE90" s="13">
        <f>BD90*VLOOKUP('Données projet'!$B$11,Paramètres!$A$1:$I$89,3,0)*VLOOKUP('Données projet'!$B$11,Paramètres!$A$1:$I$89,5,0)</f>
        <v>4.5815795601811263E-14</v>
      </c>
      <c r="BF90" s="13">
        <f t="shared" si="91"/>
        <v>7.5374618042508364E-13</v>
      </c>
      <c r="BG90" s="20">
        <f t="shared" si="61"/>
        <v>1.392570441580175E-12</v>
      </c>
      <c r="BH90" s="59">
        <f t="shared" si="62"/>
        <v>280.77425601425955</v>
      </c>
      <c r="BI90" s="59">
        <f ca="1">AVERAGE(OFFSET($BH$3,0,0,'Données projet'!$E$11+1,1))-AVERAGE(OFFSET($H$3,0,0,'Données projet'!$E$11+1,1))</f>
        <v>377.91408971696819</v>
      </c>
      <c r="BJ90" s="59">
        <f t="shared" si="92"/>
        <v>321.68797596002366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164.01281491117871</v>
      </c>
      <c r="BQ90" s="21">
        <f>EXP(-LN(2)/25)*BQ89+(1-EXP(-LN(2)/25))/(LN(2)/25)*Calculateur!BL90*Calculateur!BN90*VLOOKUP('Données projet'!$B$11,Paramètres!$A$1:$I$89,3,0)*0.475*44/12</f>
        <v>53.98817397519111</v>
      </c>
      <c r="BR90" s="21">
        <f>EXP(-LN(2)/2)*BR89+(1-EXP(-LN(2)/2))/(LN(2)/2)*BL90*BO90*VLOOKUP('Données projet'!$B$11,Paramètres!$A$1:$I$89,3,0)*0.475*44/12</f>
        <v>6.3346385244703622</v>
      </c>
      <c r="BS90" s="22">
        <f t="shared" si="63"/>
        <v>224.33562741084017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66.574797094797688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66.574797094797688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66.574797094797688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66.574797094797688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66.574797094797688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66.574797094797688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66.574797094797688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3.14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11.513333333333334</v>
      </c>
      <c r="H91" s="67">
        <f t="shared" si="56"/>
        <v>210.61333333333332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66.634216707596451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1.064108801074326E-13</v>
      </c>
      <c r="P91" s="13">
        <f t="shared" si="87"/>
        <v>1.5870730813698654E-12</v>
      </c>
      <c r="Q91" s="20">
        <f t="shared" si="54"/>
        <v>2.9494845662396269E-12</v>
      </c>
      <c r="R91" s="59">
        <f t="shared" si="55"/>
        <v>280.99212792785664</v>
      </c>
      <c r="S91" s="59">
        <f ca="1">AVERAGE(OFFSET($R$3,0,0,'Données projet'!$E$9+1,1))-AVERAGE(OFFSET($H$3,0,0,'Données projet'!$E$9+1,1))</f>
        <v>302.99089313578685</v>
      </c>
      <c r="T91" s="59">
        <f t="shared" si="88"/>
        <v>335.51949678160906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55.416879346907812</v>
      </c>
      <c r="AA91" s="21">
        <f>EXP(-LN(2)/25)*AA90+(1-EXP(-LN(2)/25))/(LN(2)/25)*Calculateur!V91*Calculateur!X91*VLOOKUP('Données projet'!$B$9,Paramètres!$A$1:$I$89,3,0)*0.475*44/12</f>
        <v>21.078580037438471</v>
      </c>
      <c r="AB91" s="21">
        <f>EXP(-LN(2)/2)*AB90+(1-EXP(-LN(2)/2))/(LN(2)/2)*V91*Y91*VLOOKUP('Données projet'!$B$9,Paramètres!$A$1:$I$89,3,0)*0.475*44/12</f>
        <v>3.1035278625153373E-4</v>
      </c>
      <c r="AC91" s="22">
        <f t="shared" si="57"/>
        <v>76.495769737132534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66.634216707596451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66.634216707596451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1.1368683772161603E-13</v>
      </c>
      <c r="BE91" s="13">
        <f>BD91*VLOOKUP('Données projet'!$B$11,Paramètres!$A$1:$I$89,3,0)*VLOOKUP('Données projet'!$B$11,Paramètres!$A$1:$I$89,5,0)</f>
        <v>4.5815795601811263E-14</v>
      </c>
      <c r="BF91" s="13">
        <f t="shared" si="91"/>
        <v>7.5374618042508364E-13</v>
      </c>
      <c r="BG91" s="20">
        <f t="shared" si="61"/>
        <v>1.392570441580175E-12</v>
      </c>
      <c r="BH91" s="59">
        <f t="shared" si="62"/>
        <v>280.99212792785505</v>
      </c>
      <c r="BI91" s="59">
        <f ca="1">AVERAGE(OFFSET($BH$3,0,0,'Données projet'!$E$11+1,1))-AVERAGE(OFFSET($H$3,0,0,'Données projet'!$E$11+1,1))</f>
        <v>377.91408971696819</v>
      </c>
      <c r="BJ91" s="59">
        <f t="shared" si="92"/>
        <v>321.68797596002366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160.79662364870967</v>
      </c>
      <c r="BQ91" s="21">
        <f>EXP(-LN(2)/25)*BQ90+(1-EXP(-LN(2)/25))/(LN(2)/25)*Calculateur!BL91*Calculateur!BN91*VLOOKUP('Données projet'!$B$11,Paramètres!$A$1:$I$89,3,0)*0.475*44/12</f>
        <v>52.511864518724835</v>
      </c>
      <c r="BR91" s="21">
        <f>EXP(-LN(2)/2)*BR90+(1-EXP(-LN(2)/2))/(LN(2)/2)*BL91*BO91*VLOOKUP('Données projet'!$B$11,Paramètres!$A$1:$I$89,3,0)*0.475*44/12</f>
        <v>4.4792658570185386</v>
      </c>
      <c r="BS91" s="22">
        <f t="shared" si="63"/>
        <v>217.78775402445305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66.634216707596451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66.634216707596451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66.634216707596451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66.634216707596451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66.634216707596451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66.634216707596451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66.634216707596451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3.14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11.513333333333334</v>
      </c>
      <c r="H92" s="67">
        <f t="shared" si="56"/>
        <v>210.61333333333332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66.692605522955489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1.064108801074326E-13</v>
      </c>
      <c r="P92" s="13">
        <f t="shared" si="87"/>
        <v>1.5870730813698654E-12</v>
      </c>
      <c r="Q92" s="20">
        <f t="shared" si="54"/>
        <v>2.9494845662396269E-12</v>
      </c>
      <c r="R92" s="59">
        <f t="shared" si="55"/>
        <v>281.20622025083975</v>
      </c>
      <c r="S92" s="59">
        <f ca="1">AVERAGE(OFFSET($R$3,0,0,'Données projet'!$E$9+1,1))-AVERAGE(OFFSET($H$3,0,0,'Données projet'!$E$9+1,1))</f>
        <v>302.99089313578685</v>
      </c>
      <c r="T92" s="59">
        <f t="shared" si="88"/>
        <v>335.51949678160906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54.330188143873784</v>
      </c>
      <c r="AA92" s="21">
        <f>EXP(-LN(2)/25)*AA91+(1-EXP(-LN(2)/25))/(LN(2)/25)*Calculateur!V92*Calculateur!X92*VLOOKUP('Données projet'!$B$9,Paramètres!$A$1:$I$89,3,0)*0.475*44/12</f>
        <v>20.502185157840366</v>
      </c>
      <c r="AB92" s="21">
        <f>EXP(-LN(2)/2)*AB91+(1-EXP(-LN(2)/2))/(LN(2)/2)*V92*Y92*VLOOKUP('Données projet'!$B$9,Paramètres!$A$1:$I$89,3,0)*0.475*44/12</f>
        <v>2.1945255971859862E-4</v>
      </c>
      <c r="AC92" s="22">
        <f t="shared" si="57"/>
        <v>74.832592754273861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66.692605522955489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66.692605522955489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1.1368683772161603E-13</v>
      </c>
      <c r="BE92" s="13">
        <f>BD92*VLOOKUP('Données projet'!$B$11,Paramètres!$A$1:$I$89,3,0)*VLOOKUP('Données projet'!$B$11,Paramètres!$A$1:$I$89,5,0)</f>
        <v>4.5815795601811263E-14</v>
      </c>
      <c r="BF92" s="13">
        <f t="shared" si="91"/>
        <v>7.5374618042508364E-13</v>
      </c>
      <c r="BG92" s="20">
        <f t="shared" si="61"/>
        <v>1.392570441580175E-12</v>
      </c>
      <c r="BH92" s="59">
        <f t="shared" si="62"/>
        <v>281.20622025083816</v>
      </c>
      <c r="BI92" s="59">
        <f ca="1">AVERAGE(OFFSET($BH$3,0,0,'Données projet'!$E$11+1,1))-AVERAGE(OFFSET($H$3,0,0,'Données projet'!$E$11+1,1))</f>
        <v>377.91408971696819</v>
      </c>
      <c r="BJ92" s="59">
        <f t="shared" si="92"/>
        <v>321.68797596002366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157.64349993521466</v>
      </c>
      <c r="BQ92" s="21">
        <f>EXP(-LN(2)/25)*BQ91+(1-EXP(-LN(2)/25))/(LN(2)/25)*Calculateur!BL92*Calculateur!BN92*VLOOKUP('Données projet'!$B$11,Paramètres!$A$1:$I$89,3,0)*0.475*44/12</f>
        <v>51.075924821981367</v>
      </c>
      <c r="BR92" s="21">
        <f>EXP(-LN(2)/2)*BR91+(1-EXP(-LN(2)/2))/(LN(2)/2)*BL92*BO92*VLOOKUP('Données projet'!$B$11,Paramètres!$A$1:$I$89,3,0)*0.475*44/12</f>
        <v>3.1673192622351811</v>
      </c>
      <c r="BS92" s="22">
        <f t="shared" si="63"/>
        <v>211.88674401943121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66.692605522955489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66.692605522955489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66.692605522955489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66.692605522955489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66.692605522955489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66.692605522955489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66.692605522955489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3.14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11.513333333333334</v>
      </c>
      <c r="H93" s="67">
        <f t="shared" si="56"/>
        <v>210.61333333333332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66.749981422905904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1.064108801074326E-13</v>
      </c>
      <c r="P93" s="13">
        <f t="shared" si="87"/>
        <v>1.5870730813698654E-12</v>
      </c>
      <c r="Q93" s="20">
        <f t="shared" si="54"/>
        <v>2.9494845662396269E-12</v>
      </c>
      <c r="R93" s="59">
        <f t="shared" si="55"/>
        <v>281.41659855065797</v>
      </c>
      <c r="S93" s="59">
        <f ca="1">AVERAGE(OFFSET($R$3,0,0,'Données projet'!$E$9+1,1))-AVERAGE(OFFSET($H$3,0,0,'Données projet'!$E$9+1,1))</f>
        <v>302.99089313578685</v>
      </c>
      <c r="T93" s="59">
        <f t="shared" si="88"/>
        <v>335.51949678160906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53.264806292515068</v>
      </c>
      <c r="AA93" s="21">
        <f>EXP(-LN(2)/25)*AA92+(1-EXP(-LN(2)/25))/(LN(2)/25)*Calculateur!V93*Calculateur!X93*VLOOKUP('Données projet'!$B$9,Paramètres!$A$1:$I$89,3,0)*0.475*44/12</f>
        <v>19.941551826536163</v>
      </c>
      <c r="AB93" s="21">
        <f>EXP(-LN(2)/2)*AB92+(1-EXP(-LN(2)/2))/(LN(2)/2)*V93*Y93*VLOOKUP('Données projet'!$B$9,Paramètres!$A$1:$I$89,3,0)*0.475*44/12</f>
        <v>1.5517639312576686E-4</v>
      </c>
      <c r="AC93" s="22">
        <f t="shared" si="57"/>
        <v>73.206513295444353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66.749981422905904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66.749981422905904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1.1368683772161603E-13</v>
      </c>
      <c r="BE93" s="13">
        <f>BD93*VLOOKUP('Données projet'!$B$11,Paramètres!$A$1:$I$89,3,0)*VLOOKUP('Données projet'!$B$11,Paramètres!$A$1:$I$89,5,0)</f>
        <v>4.5815795601811263E-14</v>
      </c>
      <c r="BF93" s="13">
        <f t="shared" si="91"/>
        <v>7.5374618042508364E-13</v>
      </c>
      <c r="BG93" s="20">
        <f t="shared" si="61"/>
        <v>1.392570441580175E-12</v>
      </c>
      <c r="BH93" s="59">
        <f t="shared" si="62"/>
        <v>281.41659855065637</v>
      </c>
      <c r="BI93" s="59">
        <f ca="1">AVERAGE(OFFSET($BH$3,0,0,'Données projet'!$E$11+1,1))-AVERAGE(OFFSET($H$3,0,0,'Données projet'!$E$11+1,1))</f>
        <v>377.91408971696819</v>
      </c>
      <c r="BJ93" s="59">
        <f t="shared" si="92"/>
        <v>321.68797596002366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154.55220705452575</v>
      </c>
      <c r="BQ93" s="21">
        <f>EXP(-LN(2)/25)*BQ92+(1-EXP(-LN(2)/25))/(LN(2)/25)*Calculateur!BL93*Calculateur!BN93*VLOOKUP('Données projet'!$B$11,Paramètres!$A$1:$I$89,3,0)*0.475*44/12</f>
        <v>49.679250971758137</v>
      </c>
      <c r="BR93" s="21">
        <f>EXP(-LN(2)/2)*BR92+(1-EXP(-LN(2)/2))/(LN(2)/2)*BL93*BO93*VLOOKUP('Données projet'!$B$11,Paramètres!$A$1:$I$89,3,0)*0.475*44/12</f>
        <v>2.2396329285092693</v>
      </c>
      <c r="BS93" s="22">
        <f t="shared" si="63"/>
        <v>206.47109095479317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66.749981422905904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66.749981422905904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66.749981422905904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66.749981422905904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66.749981422905904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66.749981422905904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66.749981422905904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3.14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11.513333333333334</v>
      </c>
      <c r="H94" s="67">
        <f t="shared" si="56"/>
        <v>210.61333333333332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66.806361979265461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1.064108801074326E-13</v>
      </c>
      <c r="P94" s="13">
        <f t="shared" si="87"/>
        <v>1.5870730813698654E-12</v>
      </c>
      <c r="Q94" s="20">
        <f t="shared" si="54"/>
        <v>2.9494845662396269E-12</v>
      </c>
      <c r="R94" s="59">
        <f t="shared" si="55"/>
        <v>281.62332725730965</v>
      </c>
      <c r="S94" s="59">
        <f ca="1">AVERAGE(OFFSET($R$3,0,0,'Données projet'!$E$9+1,1))-AVERAGE(OFFSET($H$3,0,0,'Données projet'!$E$9+1,1))</f>
        <v>302.99089313578685</v>
      </c>
      <c r="T94" s="59">
        <f t="shared" si="88"/>
        <v>335.51949678160906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52.220315929442734</v>
      </c>
      <c r="AA94" s="21">
        <f>EXP(-LN(2)/25)*AA93+(1-EXP(-LN(2)/25))/(LN(2)/25)*Calculateur!V94*Calculateur!X94*VLOOKUP('Données projet'!$B$9,Paramètres!$A$1:$I$89,3,0)*0.475*44/12</f>
        <v>19.396249043158896</v>
      </c>
      <c r="AB94" s="21">
        <f>EXP(-LN(2)/2)*AB93+(1-EXP(-LN(2)/2))/(LN(2)/2)*V94*Y94*VLOOKUP('Données projet'!$B$9,Paramètres!$A$1:$I$89,3,0)*0.475*44/12</f>
        <v>1.0972627985929931E-4</v>
      </c>
      <c r="AC94" s="22">
        <f t="shared" si="57"/>
        <v>71.616674698881482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66.806361979265461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66.806361979265461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1.1368683772161603E-13</v>
      </c>
      <c r="BE94" s="13">
        <f>BD94*VLOOKUP('Données projet'!$B$11,Paramètres!$A$1:$I$89,3,0)*VLOOKUP('Données projet'!$B$11,Paramètres!$A$1:$I$89,5,0)</f>
        <v>4.5815795601811263E-14</v>
      </c>
      <c r="BF94" s="13">
        <f t="shared" si="91"/>
        <v>7.5374618042508364E-13</v>
      </c>
      <c r="BG94" s="20">
        <f t="shared" si="61"/>
        <v>1.392570441580175E-12</v>
      </c>
      <c r="BH94" s="59">
        <f t="shared" si="62"/>
        <v>281.62332725730806</v>
      </c>
      <c r="BI94" s="59">
        <f ca="1">AVERAGE(OFFSET($BH$3,0,0,'Données projet'!$E$11+1,1))-AVERAGE(OFFSET($H$3,0,0,'Données projet'!$E$11+1,1))</f>
        <v>377.91408971696819</v>
      </c>
      <c r="BJ94" s="59">
        <f t="shared" si="92"/>
        <v>321.68797596002366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151.52153254172467</v>
      </c>
      <c r="BQ94" s="21">
        <f>EXP(-LN(2)/25)*BQ93+(1-EXP(-LN(2)/25))/(LN(2)/25)*Calculateur!BL94*Calculateur!BN94*VLOOKUP('Données projet'!$B$11,Paramètres!$A$1:$I$89,3,0)*0.475*44/12</f>
        <v>48.320769241417146</v>
      </c>
      <c r="BR94" s="21">
        <f>EXP(-LN(2)/2)*BR93+(1-EXP(-LN(2)/2))/(LN(2)/2)*BL94*BO94*VLOOKUP('Données projet'!$B$11,Paramètres!$A$1:$I$89,3,0)*0.475*44/12</f>
        <v>1.5836596311175906</v>
      </c>
      <c r="BS94" s="22">
        <f t="shared" si="63"/>
        <v>201.4259614142594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66.806361979265461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66.806361979265461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66.806361979265461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66.806361979265461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66.806361979265461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66.806361979265461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66.806361979265461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3.14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11.513333333333334</v>
      </c>
      <c r="H95" s="67">
        <f t="shared" si="56"/>
        <v>210.61333333333332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66.861764459020236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1.064108801074326E-13</v>
      </c>
      <c r="P95" s="13">
        <f t="shared" si="87"/>
        <v>1.5870730813698654E-12</v>
      </c>
      <c r="Q95" s="20">
        <f t="shared" si="54"/>
        <v>2.9494845662396269E-12</v>
      </c>
      <c r="R95" s="59">
        <f t="shared" si="55"/>
        <v>281.82646968307716</v>
      </c>
      <c r="S95" s="59">
        <f ca="1">AVERAGE(OFFSET($R$3,0,0,'Données projet'!$E$9+1,1))-AVERAGE(OFFSET($H$3,0,0,'Données projet'!$E$9+1,1))</f>
        <v>302.99089313578685</v>
      </c>
      <c r="T95" s="59">
        <f t="shared" si="88"/>
        <v>335.51949678160906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51.196307385314029</v>
      </c>
      <c r="AA95" s="21">
        <f>EXP(-LN(2)/25)*AA94+(1-EXP(-LN(2)/25))/(LN(2)/25)*Calculateur!V95*Calculateur!X95*VLOOKUP('Données projet'!$B$9,Paramètres!$A$1:$I$89,3,0)*0.475*44/12</f>
        <v>18.865857593069311</v>
      </c>
      <c r="AB95" s="21">
        <f>EXP(-LN(2)/2)*AB94+(1-EXP(-LN(2)/2))/(LN(2)/2)*V95*Y95*VLOOKUP('Données projet'!$B$9,Paramètres!$A$1:$I$89,3,0)*0.475*44/12</f>
        <v>7.7588196562883432E-5</v>
      </c>
      <c r="AC95" s="22">
        <f t="shared" si="57"/>
        <v>70.062242566579897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66.861764459020236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66.861764459020236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1.1368683772161603E-13</v>
      </c>
      <c r="BE95" s="13">
        <f>BD95*VLOOKUP('Données projet'!$B$11,Paramètres!$A$1:$I$89,3,0)*VLOOKUP('Données projet'!$B$11,Paramètres!$A$1:$I$89,5,0)</f>
        <v>4.5815795601811263E-14</v>
      </c>
      <c r="BF95" s="13">
        <f t="shared" si="91"/>
        <v>7.5374618042508364E-13</v>
      </c>
      <c r="BG95" s="20">
        <f t="shared" si="61"/>
        <v>1.392570441580175E-12</v>
      </c>
      <c r="BH95" s="59">
        <f t="shared" si="62"/>
        <v>281.82646968307557</v>
      </c>
      <c r="BI95" s="59">
        <f ca="1">AVERAGE(OFFSET($BH$3,0,0,'Données projet'!$E$11+1,1))-AVERAGE(OFFSET($H$3,0,0,'Données projet'!$E$11+1,1))</f>
        <v>377.91408971696819</v>
      </c>
      <c r="BJ95" s="59">
        <f t="shared" si="92"/>
        <v>321.68797596002366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148.55028770759068</v>
      </c>
      <c r="BQ95" s="21">
        <f>EXP(-LN(2)/25)*BQ94+(1-EXP(-LN(2)/25))/(LN(2)/25)*Calculateur!BL95*Calculateur!BN95*VLOOKUP('Données projet'!$B$11,Paramètres!$A$1:$I$89,3,0)*0.475*44/12</f>
        <v>46.999435265431778</v>
      </c>
      <c r="BR95" s="21">
        <f>EXP(-LN(2)/2)*BR94+(1-EXP(-LN(2)/2))/(LN(2)/2)*BL95*BO95*VLOOKUP('Données projet'!$B$11,Paramètres!$A$1:$I$89,3,0)*0.475*44/12</f>
        <v>1.1198164642546347</v>
      </c>
      <c r="BS95" s="22">
        <f t="shared" si="63"/>
        <v>196.66953943727708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66.861764459020236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66.861764459020236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66.861764459020236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66.861764459020236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66.861764459020236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66.861764459020236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66.861764459020236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3.14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11.513333333333334</v>
      </c>
      <c r="H96" s="67">
        <f t="shared" si="56"/>
        <v>210.61333333333332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66.916205829612636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1.064108801074326E-13</v>
      </c>
      <c r="P96" s="13">
        <f t="shared" si="87"/>
        <v>1.5870730813698654E-12</v>
      </c>
      <c r="Q96" s="20">
        <f t="shared" si="54"/>
        <v>2.9494845662396269E-12</v>
      </c>
      <c r="R96" s="59">
        <f t="shared" si="55"/>
        <v>282.02608804191595</v>
      </c>
      <c r="S96" s="59">
        <f ca="1">AVERAGE(OFFSET($R$3,0,0,'Données projet'!$E$9+1,1))-AVERAGE(OFFSET($H$3,0,0,'Données projet'!$E$9+1,1))</f>
        <v>302.99089313578685</v>
      </c>
      <c r="T96" s="59">
        <f t="shared" si="88"/>
        <v>335.51949678160906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50.192379024152146</v>
      </c>
      <c r="AA96" s="21">
        <f>EXP(-LN(2)/25)*AA95+(1-EXP(-LN(2)/25))/(LN(2)/25)*Calculateur!V96*Calculateur!X96*VLOOKUP('Données projet'!$B$9,Paramètres!$A$1:$I$89,3,0)*0.475*44/12</f>
        <v>18.349969725074498</v>
      </c>
      <c r="AB96" s="21">
        <f>EXP(-LN(2)/2)*AB95+(1-EXP(-LN(2)/2))/(LN(2)/2)*V96*Y96*VLOOKUP('Données projet'!$B$9,Paramètres!$A$1:$I$89,3,0)*0.475*44/12</f>
        <v>5.4863139929649654E-5</v>
      </c>
      <c r="AC96" s="22">
        <f t="shared" si="57"/>
        <v>68.54240361236657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66.916205829612636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66.916205829612636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1.1368683772161603E-13</v>
      </c>
      <c r="BE96" s="13">
        <f>BD96*VLOOKUP('Données projet'!$B$11,Paramètres!$A$1:$I$89,3,0)*VLOOKUP('Données projet'!$B$11,Paramètres!$A$1:$I$89,5,0)</f>
        <v>4.5815795601811263E-14</v>
      </c>
      <c r="BF96" s="13">
        <f t="shared" si="91"/>
        <v>7.5374618042508364E-13</v>
      </c>
      <c r="BG96" s="20">
        <f t="shared" si="61"/>
        <v>1.392570441580175E-12</v>
      </c>
      <c r="BH96" s="59">
        <f t="shared" si="62"/>
        <v>282.02608804191436</v>
      </c>
      <c r="BI96" s="59">
        <f ca="1">AVERAGE(OFFSET($BH$3,0,0,'Données projet'!$E$11+1,1))-AVERAGE(OFFSET($H$3,0,0,'Données projet'!$E$11+1,1))</f>
        <v>377.91408971696819</v>
      </c>
      <c r="BJ96" s="59">
        <f t="shared" si="92"/>
        <v>321.68797596002366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145.63730717237365</v>
      </c>
      <c r="BQ96" s="21">
        <f>EXP(-LN(2)/25)*BQ95+(1-EXP(-LN(2)/25))/(LN(2)/25)*Calculateur!BL96*Calculateur!BN96*VLOOKUP('Données projet'!$B$11,Paramètres!$A$1:$I$89,3,0)*0.475*44/12</f>
        <v>45.714233236505663</v>
      </c>
      <c r="BR96" s="21">
        <f>EXP(-LN(2)/2)*BR95+(1-EXP(-LN(2)/2))/(LN(2)/2)*BL96*BO96*VLOOKUP('Données projet'!$B$11,Paramètres!$A$1:$I$89,3,0)*0.475*44/12</f>
        <v>0.79182981555879528</v>
      </c>
      <c r="BS96" s="22">
        <f t="shared" si="63"/>
        <v>192.14337022443812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66.916205829612636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66.916205829612636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66.916205829612636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66.916205829612636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66.916205829612636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66.916205829612636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66.916205829612636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3.14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11.513333333333334</v>
      </c>
      <c r="H97" s="67">
        <f t="shared" si="56"/>
        <v>210.61333333333332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66.969702764137935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1.064108801074326E-13</v>
      </c>
      <c r="P97" s="13">
        <f t="shared" si="87"/>
        <v>1.5870730813698654E-12</v>
      </c>
      <c r="Q97" s="20">
        <f t="shared" si="54"/>
        <v>2.9494845662396269E-12</v>
      </c>
      <c r="R97" s="59">
        <f t="shared" si="55"/>
        <v>282.22224346850868</v>
      </c>
      <c r="S97" s="59">
        <f ca="1">AVERAGE(OFFSET($R$3,0,0,'Données projet'!$E$9+1,1))-AVERAGE(OFFSET($H$3,0,0,'Données projet'!$E$9+1,1))</f>
        <v>302.99089313578685</v>
      </c>
      <c r="T97" s="59">
        <f t="shared" si="88"/>
        <v>335.51949678160906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49.208137085816816</v>
      </c>
      <c r="AA97" s="21">
        <f>EXP(-LN(2)/25)*AA96+(1-EXP(-LN(2)/25))/(LN(2)/25)*Calculateur!V97*Calculateur!X97*VLOOKUP('Données projet'!$B$9,Paramètres!$A$1:$I$89,3,0)*0.475*44/12</f>
        <v>17.848188837959366</v>
      </c>
      <c r="AB97" s="21">
        <f>EXP(-LN(2)/2)*AB96+(1-EXP(-LN(2)/2))/(LN(2)/2)*V97*Y97*VLOOKUP('Données projet'!$B$9,Paramètres!$A$1:$I$89,3,0)*0.475*44/12</f>
        <v>3.8794098281441716E-5</v>
      </c>
      <c r="AC97" s="22">
        <f t="shared" si="57"/>
        <v>67.056364717874473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66.969702764137935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66.969702764137935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1.1368683772161603E-13</v>
      </c>
      <c r="BE97" s="13">
        <f>BD97*VLOOKUP('Données projet'!$B$11,Paramètres!$A$1:$I$89,3,0)*VLOOKUP('Données projet'!$B$11,Paramètres!$A$1:$I$89,5,0)</f>
        <v>4.5815795601811263E-14</v>
      </c>
      <c r="BF97" s="13">
        <f t="shared" si="91"/>
        <v>7.5374618042508364E-13</v>
      </c>
      <c r="BG97" s="20">
        <f t="shared" si="61"/>
        <v>1.392570441580175E-12</v>
      </c>
      <c r="BH97" s="59">
        <f t="shared" si="62"/>
        <v>282.22224346850709</v>
      </c>
      <c r="BI97" s="59">
        <f ca="1">AVERAGE(OFFSET($BH$3,0,0,'Données projet'!$E$11+1,1))-AVERAGE(OFFSET($H$3,0,0,'Données projet'!$E$11+1,1))</f>
        <v>377.91408971696819</v>
      </c>
      <c r="BJ97" s="59">
        <f t="shared" si="92"/>
        <v>321.68797596002366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142.78144840870954</v>
      </c>
      <c r="BQ97" s="21">
        <f>EXP(-LN(2)/25)*BQ96+(1-EXP(-LN(2)/25))/(LN(2)/25)*Calculateur!BL97*Calculateur!BN97*VLOOKUP('Données projet'!$B$11,Paramètres!$A$1:$I$89,3,0)*0.475*44/12</f>
        <v>44.464175124646374</v>
      </c>
      <c r="BR97" s="21">
        <f>EXP(-LN(2)/2)*BR96+(1-EXP(-LN(2)/2))/(LN(2)/2)*BL97*BO97*VLOOKUP('Données projet'!$B$11,Paramètres!$A$1:$I$89,3,0)*0.475*44/12</f>
        <v>0.55990823212731733</v>
      </c>
      <c r="BS97" s="22">
        <f t="shared" si="63"/>
        <v>187.80553176548324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66.969702764137935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66.969702764137935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66.969702764137935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66.969702764137935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66.969702764137935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66.969702764137935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66.969702764137935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3.14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11.513333333333334</v>
      </c>
      <c r="H98" s="67">
        <f t="shared" si="56"/>
        <v>210.61333333333332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67.022271646450463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1.064108801074326E-13</v>
      </c>
      <c r="P98" s="13">
        <f t="shared" si="87"/>
        <v>1.5870730813698654E-12</v>
      </c>
      <c r="Q98" s="20">
        <f t="shared" si="54"/>
        <v>2.9494845662396269E-12</v>
      </c>
      <c r="R98" s="59">
        <f t="shared" si="55"/>
        <v>282.41499603698799</v>
      </c>
      <c r="S98" s="59">
        <f ca="1">AVERAGE(OFFSET($R$3,0,0,'Données projet'!$E$9+1,1))-AVERAGE(OFFSET($H$3,0,0,'Données projet'!$E$9+1,1))</f>
        <v>302.99089313578685</v>
      </c>
      <c r="T98" s="59">
        <f t="shared" si="88"/>
        <v>335.51949678160906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48.243195531563934</v>
      </c>
      <c r="AA98" s="21">
        <f>EXP(-LN(2)/25)*AA97+(1-EXP(-LN(2)/25))/(LN(2)/25)*Calculateur!V98*Calculateur!X98*VLOOKUP('Données projet'!$B$9,Paramètres!$A$1:$I$89,3,0)*0.475*44/12</f>
        <v>17.360129175589908</v>
      </c>
      <c r="AB98" s="21">
        <f>EXP(-LN(2)/2)*AB97+(1-EXP(-LN(2)/2))/(LN(2)/2)*V98*Y98*VLOOKUP('Données projet'!$B$9,Paramètres!$A$1:$I$89,3,0)*0.475*44/12</f>
        <v>2.7431569964824827E-5</v>
      </c>
      <c r="AC98" s="22">
        <f t="shared" si="57"/>
        <v>65.603352138723807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67.022271646450463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67.022271646450463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1.1368683772161603E-13</v>
      </c>
      <c r="BE98" s="13">
        <f>BD98*VLOOKUP('Données projet'!$B$11,Paramètres!$A$1:$I$89,3,0)*VLOOKUP('Données projet'!$B$11,Paramètres!$A$1:$I$89,5,0)</f>
        <v>4.5815795601811263E-14</v>
      </c>
      <c r="BF98" s="13">
        <f t="shared" si="91"/>
        <v>7.5374618042508364E-13</v>
      </c>
      <c r="BG98" s="20">
        <f t="shared" si="61"/>
        <v>1.392570441580175E-12</v>
      </c>
      <c r="BH98" s="59">
        <f t="shared" si="62"/>
        <v>282.41499603698639</v>
      </c>
      <c r="BI98" s="59">
        <f ca="1">AVERAGE(OFFSET($BH$3,0,0,'Données projet'!$E$11+1,1))-AVERAGE(OFFSET($H$3,0,0,'Données projet'!$E$11+1,1))</f>
        <v>377.91408971696819</v>
      </c>
      <c r="BJ98" s="59">
        <f t="shared" si="92"/>
        <v>321.68797596002366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139.98159129349904</v>
      </c>
      <c r="BQ98" s="21">
        <f>EXP(-LN(2)/25)*BQ97+(1-EXP(-LN(2)/25))/(LN(2)/25)*Calculateur!BL98*Calculateur!BN98*VLOOKUP('Données projet'!$B$11,Paramètres!$A$1:$I$89,3,0)*0.475*44/12</f>
        <v>43.24829991759357</v>
      </c>
      <c r="BR98" s="21">
        <f>EXP(-LN(2)/2)*BR97+(1-EXP(-LN(2)/2))/(LN(2)/2)*BL98*BO98*VLOOKUP('Données projet'!$B$11,Paramètres!$A$1:$I$89,3,0)*0.475*44/12</f>
        <v>0.39591490777939764</v>
      </c>
      <c r="BS98" s="22">
        <f t="shared" si="63"/>
        <v>183.62580611887199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67.022271646450463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67.022271646450463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67.022271646450463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67.022271646450463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67.022271646450463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67.022271646450463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67.022271646450463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3.14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11.513333333333334</v>
      </c>
      <c r="H99" s="67">
        <f t="shared" si="56"/>
        <v>210.61333333333332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67.07392857618126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1.064108801074326E-13</v>
      </c>
      <c r="P99" s="13">
        <f t="shared" si="87"/>
        <v>1.5870730813698654E-12</v>
      </c>
      <c r="Q99" s="20">
        <f t="shared" ref="Q99:Q130" si="107">(O99+P99)*0.475*44/12</f>
        <v>2.9494845662396269E-12</v>
      </c>
      <c r="R99" s="59">
        <f t="shared" si="55"/>
        <v>282.60440477933423</v>
      </c>
      <c r="S99" s="59">
        <f ca="1">AVERAGE(OFFSET($R$3,0,0,'Données projet'!$E$9+1,1))-AVERAGE(OFFSET($H$3,0,0,'Données projet'!$E$9+1,1))</f>
        <v>302.99089313578685</v>
      </c>
      <c r="T99" s="59">
        <f t="shared" si="88"/>
        <v>335.51949678160906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47.297175892633717</v>
      </c>
      <c r="AA99" s="21">
        <f>EXP(-LN(2)/25)*AA98+(1-EXP(-LN(2)/25))/(LN(2)/25)*Calculateur!V99*Calculateur!X99*VLOOKUP('Données projet'!$B$9,Paramètres!$A$1:$I$89,3,0)*0.475*44/12</f>
        <v>16.885415530353885</v>
      </c>
      <c r="AB99" s="21">
        <f>EXP(-LN(2)/2)*AB98+(1-EXP(-LN(2)/2))/(LN(2)/2)*V99*Y99*VLOOKUP('Données projet'!$B$9,Paramètres!$A$1:$I$89,3,0)*0.475*44/12</f>
        <v>1.9397049140720858E-5</v>
      </c>
      <c r="AC99" s="22">
        <f t="shared" si="57"/>
        <v>64.182610820036743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67.07392857618126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67.07392857618126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1.1368683772161603E-13</v>
      </c>
      <c r="BE99" s="13">
        <f>BD99*VLOOKUP('Données projet'!$B$11,Paramètres!$A$1:$I$89,3,0)*VLOOKUP('Données projet'!$B$11,Paramètres!$A$1:$I$89,5,0)</f>
        <v>4.5815795601811263E-14</v>
      </c>
      <c r="BF99" s="13">
        <f t="shared" si="91"/>
        <v>7.5374618042508364E-13</v>
      </c>
      <c r="BG99" s="20">
        <f t="shared" si="61"/>
        <v>1.392570441580175E-12</v>
      </c>
      <c r="BH99" s="59">
        <f t="shared" si="62"/>
        <v>282.60440477933264</v>
      </c>
      <c r="BI99" s="59">
        <f ca="1">AVERAGE(OFFSET($BH$3,0,0,'Données projet'!$E$11+1,1))-AVERAGE(OFFSET($H$3,0,0,'Données projet'!$E$11+1,1))</f>
        <v>377.91408971696819</v>
      </c>
      <c r="BJ99" s="59">
        <f t="shared" si="92"/>
        <v>321.68797596002366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137.23663766857359</v>
      </c>
      <c r="BQ99" s="21">
        <f>EXP(-LN(2)/25)*BQ98+(1-EXP(-LN(2)/25))/(LN(2)/25)*Calculateur!BL99*Calculateur!BN99*VLOOKUP('Données projet'!$B$11,Paramètres!$A$1:$I$89,3,0)*0.475*44/12</f>
        <v>42.065672882017729</v>
      </c>
      <c r="BR99" s="21">
        <f>EXP(-LN(2)/2)*BR98+(1-EXP(-LN(2)/2))/(LN(2)/2)*BL99*BO99*VLOOKUP('Données projet'!$B$11,Paramètres!$A$1:$I$89,3,0)*0.475*44/12</f>
        <v>0.27995411606365866</v>
      </c>
      <c r="BS99" s="22">
        <f t="shared" si="63"/>
        <v>179.58226466665499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67.07392857618126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67.07392857618126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67.07392857618126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67.07392857618126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67.07392857618126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67.07392857618126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67.07392857618126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3.14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11.513333333333334</v>
      </c>
      <c r="H100" s="67">
        <f t="shared" si="56"/>
        <v>210.61333333333332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67.124689373668843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1.064108801074326E-13</v>
      </c>
      <c r="P100" s="13">
        <f t="shared" si="87"/>
        <v>1.5870730813698654E-12</v>
      </c>
      <c r="Q100" s="20">
        <f t="shared" si="107"/>
        <v>2.9494845662396269E-12</v>
      </c>
      <c r="R100" s="59">
        <f t="shared" si="55"/>
        <v>282.79052770345538</v>
      </c>
      <c r="S100" s="59">
        <f ca="1">AVERAGE(OFFSET($R$3,0,0,'Données projet'!$E$9+1,1))-AVERAGE(OFFSET($H$3,0,0,'Données projet'!$E$9+1,1))</f>
        <v>302.99089313578685</v>
      </c>
      <c r="T100" s="59">
        <f t="shared" si="88"/>
        <v>335.51949678160906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46.36970712180792</v>
      </c>
      <c r="AA100" s="21">
        <f>EXP(-LN(2)/25)*AA99+(1-EXP(-LN(2)/25))/(LN(2)/25)*Calculateur!V100*Calculateur!X100*VLOOKUP('Données projet'!$B$9,Paramètres!$A$1:$I$89,3,0)*0.475*44/12</f>
        <v>16.423682954710948</v>
      </c>
      <c r="AB100" s="21">
        <f>EXP(-LN(2)/2)*AB99+(1-EXP(-LN(2)/2))/(LN(2)/2)*V100*Y100*VLOOKUP('Données projet'!$B$9,Paramètres!$A$1:$I$89,3,0)*0.475*44/12</f>
        <v>1.3715784982412414E-5</v>
      </c>
      <c r="AC100" s="22">
        <f t="shared" si="57"/>
        <v>62.793403792303849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67.124689373668843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67.124689373668843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1.1368683772161603E-13</v>
      </c>
      <c r="BE100" s="13">
        <f>BD100*VLOOKUP('Données projet'!$B$11,Paramètres!$A$1:$I$89,3,0)*VLOOKUP('Données projet'!$B$11,Paramètres!$A$1:$I$89,5,0)</f>
        <v>4.5815795601811263E-14</v>
      </c>
      <c r="BF100" s="13">
        <f t="shared" si="91"/>
        <v>7.5374618042508364E-13</v>
      </c>
      <c r="BG100" s="20">
        <f t="shared" si="61"/>
        <v>1.392570441580175E-12</v>
      </c>
      <c r="BH100" s="59">
        <f t="shared" si="62"/>
        <v>282.79052770345379</v>
      </c>
      <c r="BI100" s="59">
        <f ca="1">AVERAGE(OFFSET($BH$3,0,0,'Données projet'!$E$11+1,1))-AVERAGE(OFFSET($H$3,0,0,'Données projet'!$E$11+1,1))</f>
        <v>377.91408971696819</v>
      </c>
      <c r="BJ100" s="59">
        <f t="shared" si="92"/>
        <v>321.68797596002366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134.54551090997654</v>
      </c>
      <c r="BQ100" s="21">
        <f>EXP(-LN(2)/25)*BQ99+(1-EXP(-LN(2)/25))/(LN(2)/25)*Calculateur!BL100*Calculateur!BN100*VLOOKUP('Données projet'!$B$11,Paramètres!$A$1:$I$89,3,0)*0.475*44/12</f>
        <v>40.915384844921363</v>
      </c>
      <c r="BR100" s="21">
        <f>EXP(-LN(2)/2)*BR99+(1-EXP(-LN(2)/2))/(LN(2)/2)*BL100*BO100*VLOOKUP('Données projet'!$B$11,Paramètres!$A$1:$I$89,3,0)*0.475*44/12</f>
        <v>0.19795745388969882</v>
      </c>
      <c r="BS100" s="22">
        <f t="shared" si="63"/>
        <v>175.6588532087876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67.124689373668843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67.124689373668843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67.124689373668843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67.124689373668843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67.124689373668843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67.124689373668843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67.124689373668843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3.14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11.513333333333334</v>
      </c>
      <c r="H101" s="67">
        <f t="shared" si="56"/>
        <v>210.61333333333332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67.174569584804146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1.064108801074326E-13</v>
      </c>
      <c r="P101" s="13">
        <f t="shared" si="87"/>
        <v>1.5870730813698654E-12</v>
      </c>
      <c r="Q101" s="20">
        <f t="shared" si="107"/>
        <v>2.9494845662396269E-12</v>
      </c>
      <c r="R101" s="59">
        <f t="shared" si="55"/>
        <v>282.97342181095149</v>
      </c>
      <c r="S101" s="59">
        <f ca="1">AVERAGE(OFFSET($R$3,0,0,'Données projet'!$E$9+1,1))-AVERAGE(OFFSET($H$3,0,0,'Données projet'!$E$9+1,1))</f>
        <v>302.99089313578685</v>
      </c>
      <c r="T101" s="59">
        <f t="shared" si="88"/>
        <v>335.51949678160906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45.460425447877924</v>
      </c>
      <c r="AA101" s="21">
        <f>EXP(-LN(2)/25)*AA100+(1-EXP(-LN(2)/25))/(LN(2)/25)*Calculateur!V101*Calculateur!X101*VLOOKUP('Données projet'!$B$9,Paramètres!$A$1:$I$89,3,0)*0.475*44/12</f>
        <v>15.974576480630427</v>
      </c>
      <c r="AB101" s="21">
        <f>EXP(-LN(2)/2)*AB100+(1-EXP(-LN(2)/2))/(LN(2)/2)*V101*Y101*VLOOKUP('Données projet'!$B$9,Paramètres!$A$1:$I$89,3,0)*0.475*44/12</f>
        <v>9.698524570360429E-6</v>
      </c>
      <c r="AC101" s="22">
        <f t="shared" si="57"/>
        <v>61.435011627032921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67.174569584804146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67.174569584804146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1.1368683772161603E-13</v>
      </c>
      <c r="BE101" s="13">
        <f>BD101*VLOOKUP('Données projet'!$B$11,Paramètres!$A$1:$I$89,3,0)*VLOOKUP('Données projet'!$B$11,Paramètres!$A$1:$I$89,5,0)</f>
        <v>4.5815795601811263E-14</v>
      </c>
      <c r="BF101" s="13">
        <f t="shared" si="91"/>
        <v>7.5374618042508364E-13</v>
      </c>
      <c r="BG101" s="20">
        <f t="shared" si="61"/>
        <v>1.392570441580175E-12</v>
      </c>
      <c r="BH101" s="59">
        <f t="shared" si="62"/>
        <v>282.9734218109499</v>
      </c>
      <c r="BI101" s="59">
        <f ca="1">AVERAGE(OFFSET($BH$3,0,0,'Données projet'!$E$11+1,1))-AVERAGE(OFFSET($H$3,0,0,'Données projet'!$E$11+1,1))</f>
        <v>377.91408971696819</v>
      </c>
      <c r="BJ101" s="59">
        <f t="shared" si="92"/>
        <v>321.68797596002366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131.90715550569035</v>
      </c>
      <c r="BQ101" s="21">
        <f>EXP(-LN(2)/25)*BQ100+(1-EXP(-LN(2)/25))/(LN(2)/25)*Calculateur!BL101*Calculateur!BN101*VLOOKUP('Données projet'!$B$11,Paramètres!$A$1:$I$89,3,0)*0.475*44/12</f>
        <v>39.796551494690412</v>
      </c>
      <c r="BR101" s="21">
        <f>EXP(-LN(2)/2)*BR100+(1-EXP(-LN(2)/2))/(LN(2)/2)*BL101*BO101*VLOOKUP('Données projet'!$B$11,Paramètres!$A$1:$I$89,3,0)*0.475*44/12</f>
        <v>0.13997705803182933</v>
      </c>
      <c r="BS101" s="22">
        <f t="shared" si="63"/>
        <v>171.84368405841261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67.174569584804146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67.174569584804146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67.174569584804146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67.174569584804146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67.174569584804146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67.174569584804146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67.174569584804146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3.14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11.513333333333334</v>
      </c>
      <c r="H102" s="67">
        <f t="shared" si="56"/>
        <v>210.61333333333332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67.22358448579169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1.064108801074326E-13</v>
      </c>
      <c r="P102" s="13">
        <f t="shared" si="87"/>
        <v>1.5870730813698654E-12</v>
      </c>
      <c r="Q102" s="20">
        <f t="shared" si="107"/>
        <v>2.9494845662396269E-12</v>
      </c>
      <c r="R102" s="59">
        <f t="shared" si="55"/>
        <v>283.15314311457252</v>
      </c>
      <c r="S102" s="59">
        <f ca="1">AVERAGE(OFFSET($R$3,0,0,'Données projet'!$E$9+1,1))-AVERAGE(OFFSET($H$3,0,0,'Données projet'!$E$9+1,1))</f>
        <v>302.99089313578685</v>
      </c>
      <c r="T102" s="59">
        <f t="shared" si="88"/>
        <v>335.51949678160906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44.568974232966639</v>
      </c>
      <c r="AA102" s="21">
        <f>EXP(-LN(2)/25)*AA101+(1-EXP(-LN(2)/25))/(LN(2)/25)*Calculateur!V102*Calculateur!X102*VLOOKUP('Données projet'!$B$9,Paramètres!$A$1:$I$89,3,0)*0.475*44/12</f>
        <v>15.537750846701121</v>
      </c>
      <c r="AB102" s="21">
        <f>EXP(-LN(2)/2)*AB101+(1-EXP(-LN(2)/2))/(LN(2)/2)*V102*Y102*VLOOKUP('Données projet'!$B$9,Paramètres!$A$1:$I$89,3,0)*0.475*44/12</f>
        <v>6.8578924912062068E-6</v>
      </c>
      <c r="AC102" s="22">
        <f t="shared" si="57"/>
        <v>60.106731937560255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67.22358448579169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67.22358448579169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1.1368683772161603E-13</v>
      </c>
      <c r="BE102" s="13">
        <f>BD102*VLOOKUP('Données projet'!$B$11,Paramètres!$A$1:$I$89,3,0)*VLOOKUP('Données projet'!$B$11,Paramètres!$A$1:$I$89,5,0)</f>
        <v>4.5815795601811263E-14</v>
      </c>
      <c r="BF102" s="13">
        <f t="shared" si="91"/>
        <v>7.5374618042508364E-13</v>
      </c>
      <c r="BG102" s="20">
        <f t="shared" si="61"/>
        <v>1.392570441580175E-12</v>
      </c>
      <c r="BH102" s="59">
        <f t="shared" si="62"/>
        <v>283.15314311457092</v>
      </c>
      <c r="BI102" s="59">
        <f ca="1">AVERAGE(OFFSET($BH$3,0,0,'Données projet'!$E$11+1,1))-AVERAGE(OFFSET($H$3,0,0,'Données projet'!$E$11+1,1))</f>
        <v>377.91408971696819</v>
      </c>
      <c r="BJ102" s="59">
        <f t="shared" si="92"/>
        <v>321.68797596002366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129.32053664164431</v>
      </c>
      <c r="BQ102" s="21">
        <f>EXP(-LN(2)/25)*BQ101+(1-EXP(-LN(2)/25))/(LN(2)/25)*Calculateur!BL102*Calculateur!BN102*VLOOKUP('Données projet'!$B$11,Paramètres!$A$1:$I$89,3,0)*0.475*44/12</f>
        <v>38.708312701258414</v>
      </c>
      <c r="BR102" s="21">
        <f>EXP(-LN(2)/2)*BR101+(1-EXP(-LN(2)/2))/(LN(2)/2)*BL102*BO102*VLOOKUP('Données projet'!$B$11,Paramètres!$A$1:$I$89,3,0)*0.475*44/12</f>
        <v>9.897872694484941E-2</v>
      </c>
      <c r="BS102" s="22">
        <f t="shared" si="63"/>
        <v>168.12782806984757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67.22358448579169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67.22358448579169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67.22358448579169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67.22358448579169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67.22358448579169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67.22358448579169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67.22358448579169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3.14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11.513333333333334</v>
      </c>
      <c r="H103" s="67">
        <f t="shared" si="56"/>
        <v>210.61333333333332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67.271749087827999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1.064108801074326E-13</v>
      </c>
      <c r="P103" s="13">
        <f t="shared" si="87"/>
        <v>1.5870730813698654E-12</v>
      </c>
      <c r="Q103" s="20">
        <f t="shared" si="107"/>
        <v>2.9494845662396269E-12</v>
      </c>
      <c r="R103" s="59">
        <f t="shared" si="55"/>
        <v>283.32974665537228</v>
      </c>
      <c r="S103" s="59">
        <f ca="1">AVERAGE(OFFSET($R$3,0,0,'Données projet'!$E$9+1,1))-AVERAGE(OFFSET($H$3,0,0,'Données projet'!$E$9+1,1))</f>
        <v>302.99089313578685</v>
      </c>
      <c r="T103" s="59">
        <f t="shared" si="88"/>
        <v>335.51949678160906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43.695003832648212</v>
      </c>
      <c r="AA103" s="21">
        <f>EXP(-LN(2)/25)*AA102+(1-EXP(-LN(2)/25))/(LN(2)/25)*Calculateur!V103*Calculateur!X103*VLOOKUP('Données projet'!$B$9,Paramètres!$A$1:$I$89,3,0)*0.475*44/12</f>
        <v>15.112870232703273</v>
      </c>
      <c r="AB103" s="21">
        <f>EXP(-LN(2)/2)*AB102+(1-EXP(-LN(2)/2))/(LN(2)/2)*V103*Y103*VLOOKUP('Données projet'!$B$9,Paramètres!$A$1:$I$89,3,0)*0.475*44/12</f>
        <v>4.8492622851802145E-6</v>
      </c>
      <c r="AC103" s="22">
        <f t="shared" si="57"/>
        <v>58.807878914613767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67.271749087827999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67.271749087827999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1.1368683772161603E-13</v>
      </c>
      <c r="BE103" s="13">
        <f>BD103*VLOOKUP('Données projet'!$B$11,Paramètres!$A$1:$I$89,3,0)*VLOOKUP('Données projet'!$B$11,Paramètres!$A$1:$I$89,5,0)</f>
        <v>4.5815795601811263E-14</v>
      </c>
      <c r="BF103" s="13">
        <f t="shared" si="91"/>
        <v>7.5374618042508364E-13</v>
      </c>
      <c r="BG103" s="20">
        <f t="shared" si="61"/>
        <v>1.392570441580175E-12</v>
      </c>
      <c r="BH103" s="59">
        <f t="shared" si="62"/>
        <v>283.32974665537068</v>
      </c>
      <c r="BI103" s="59">
        <f ca="1">AVERAGE(OFFSET($BH$3,0,0,'Données projet'!$E$11+1,1))-AVERAGE(OFFSET($H$3,0,0,'Données projet'!$E$11+1,1))</f>
        <v>377.91408971696819</v>
      </c>
      <c r="BJ103" s="59">
        <f t="shared" si="92"/>
        <v>321.68797596002366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126.78463979584049</v>
      </c>
      <c r="BQ103" s="21">
        <f>EXP(-LN(2)/25)*BQ102+(1-EXP(-LN(2)/25))/(LN(2)/25)*Calculateur!BL103*Calculateur!BN103*VLOOKUP('Données projet'!$B$11,Paramètres!$A$1:$I$89,3,0)*0.475*44/12</f>
        <v>37.649831854860807</v>
      </c>
      <c r="BR103" s="21">
        <f>EXP(-LN(2)/2)*BR102+(1-EXP(-LN(2)/2))/(LN(2)/2)*BL103*BO103*VLOOKUP('Données projet'!$B$11,Paramètres!$A$1:$I$89,3,0)*0.475*44/12</f>
        <v>6.9988529015914666E-2</v>
      </c>
      <c r="BS103" s="22">
        <f t="shared" si="63"/>
        <v>164.50446017971723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67.271749087827999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67.271749087827999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67.271749087827999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67.271749087827999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67.271749087827999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67.271749087827999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67.271749087827999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3.14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11.513333333333334</v>
      </c>
      <c r="H104" s="67">
        <f t="shared" si="56"/>
        <v>210.61333333333332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67.319078141698924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1.064108801074326E-13</v>
      </c>
      <c r="P104" s="13">
        <f t="shared" si="87"/>
        <v>1.5870730813698654E-12</v>
      </c>
      <c r="Q104" s="20">
        <f t="shared" si="107"/>
        <v>2.9494845662396269E-12</v>
      </c>
      <c r="R104" s="59">
        <f t="shared" si="55"/>
        <v>283.50328651956568</v>
      </c>
      <c r="S104" s="59">
        <f ca="1">AVERAGE(OFFSET($R$3,0,0,'Données projet'!$E$9+1,1))-AVERAGE(OFFSET($H$3,0,0,'Données projet'!$E$9+1,1))</f>
        <v>302.99089313578685</v>
      </c>
      <c r="T104" s="59">
        <f t="shared" si="88"/>
        <v>335.51949678160906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42.83817145881072</v>
      </c>
      <c r="AA104" s="21">
        <f>EXP(-LN(2)/25)*AA103+(1-EXP(-LN(2)/25))/(LN(2)/25)*Calculateur!V104*Calculateur!X104*VLOOKUP('Données projet'!$B$9,Paramètres!$A$1:$I$89,3,0)*0.475*44/12</f>
        <v>14.699608001438698</v>
      </c>
      <c r="AB104" s="21">
        <f>EXP(-LN(2)/2)*AB103+(1-EXP(-LN(2)/2))/(LN(2)/2)*V104*Y104*VLOOKUP('Données projet'!$B$9,Paramètres!$A$1:$I$89,3,0)*0.475*44/12</f>
        <v>3.4289462456031034E-6</v>
      </c>
      <c r="AC104" s="22">
        <f t="shared" si="57"/>
        <v>57.537782889195661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67.319078141698924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67.319078141698924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1.1368683772161603E-13</v>
      </c>
      <c r="BE104" s="13">
        <f>BD104*VLOOKUP('Données projet'!$B$11,Paramètres!$A$1:$I$89,3,0)*VLOOKUP('Données projet'!$B$11,Paramètres!$A$1:$I$89,5,0)</f>
        <v>4.5815795601811263E-14</v>
      </c>
      <c r="BF104" s="13">
        <f t="shared" si="91"/>
        <v>7.5374618042508364E-13</v>
      </c>
      <c r="BG104" s="20">
        <f t="shared" si="61"/>
        <v>1.392570441580175E-12</v>
      </c>
      <c r="BH104" s="59">
        <f t="shared" si="62"/>
        <v>283.50328651956409</v>
      </c>
      <c r="BI104" s="59">
        <f ca="1">AVERAGE(OFFSET($BH$3,0,0,'Données projet'!$E$11+1,1))-AVERAGE(OFFSET($H$3,0,0,'Données projet'!$E$11+1,1))</f>
        <v>377.91408971696819</v>
      </c>
      <c r="BJ104" s="59">
        <f t="shared" si="92"/>
        <v>321.68797596002366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124.29847034043853</v>
      </c>
      <c r="BQ104" s="21">
        <f>EXP(-LN(2)/25)*BQ103+(1-EXP(-LN(2)/25))/(LN(2)/25)*Calculateur!BL104*Calculateur!BN104*VLOOKUP('Données projet'!$B$11,Paramètres!$A$1:$I$89,3,0)*0.475*44/12</f>
        <v>36.620295222871029</v>
      </c>
      <c r="BR104" s="21">
        <f>EXP(-LN(2)/2)*BR103+(1-EXP(-LN(2)/2))/(LN(2)/2)*BL104*BO104*VLOOKUP('Données projet'!$B$11,Paramètres!$A$1:$I$89,3,0)*0.475*44/12</f>
        <v>4.9489363472424705E-2</v>
      </c>
      <c r="BS104" s="22">
        <f t="shared" si="63"/>
        <v>160.96825492678198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67.319078141698924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67.319078141698924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67.319078141698924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67.319078141698924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67.319078141698924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67.319078141698924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67.319078141698924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3.14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11.513333333333334</v>
      </c>
      <c r="H105" s="67">
        <f t="shared" si="56"/>
        <v>210.61333333333332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67.365586142297076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1.064108801074326E-13</v>
      </c>
      <c r="P105" s="13">
        <f t="shared" si="87"/>
        <v>1.5870730813698654E-12</v>
      </c>
      <c r="Q105" s="20">
        <f t="shared" si="107"/>
        <v>2.9494845662396269E-12</v>
      </c>
      <c r="R105" s="59">
        <f t="shared" si="55"/>
        <v>283.67381585509224</v>
      </c>
      <c r="S105" s="59">
        <f ca="1">AVERAGE(OFFSET($R$3,0,0,'Données projet'!$E$9+1,1))-AVERAGE(OFFSET($H$3,0,0,'Données projet'!$E$9+1,1))</f>
        <v>302.99089313578685</v>
      </c>
      <c r="T105" s="59">
        <f t="shared" si="88"/>
        <v>335.51949678160906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41.998141045208037</v>
      </c>
      <c r="AA105" s="21">
        <f>EXP(-LN(2)/25)*AA104+(1-EXP(-LN(2)/25))/(LN(2)/25)*Calculateur!V105*Calculateur!X105*VLOOKUP('Données projet'!$B$9,Paramètres!$A$1:$I$89,3,0)*0.475*44/12</f>
        <v>14.297646447620568</v>
      </c>
      <c r="AB105" s="21">
        <f>EXP(-LN(2)/2)*AB104+(1-EXP(-LN(2)/2))/(LN(2)/2)*V105*Y105*VLOOKUP('Données projet'!$B$9,Paramètres!$A$1:$I$89,3,0)*0.475*44/12</f>
        <v>2.4246311425901072E-6</v>
      </c>
      <c r="AC105" s="22">
        <f t="shared" si="57"/>
        <v>56.29578991745975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67.365586142297076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67.365586142297076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1.1368683772161603E-13</v>
      </c>
      <c r="BE105" s="13">
        <f>BD105*VLOOKUP('Données projet'!$B$11,Paramètres!$A$1:$I$89,3,0)*VLOOKUP('Données projet'!$B$11,Paramètres!$A$1:$I$89,5,0)</f>
        <v>4.5815795601811263E-14</v>
      </c>
      <c r="BF105" s="13">
        <f t="shared" si="91"/>
        <v>7.5374618042508364E-13</v>
      </c>
      <c r="BG105" s="20">
        <f t="shared" si="61"/>
        <v>1.392570441580175E-12</v>
      </c>
      <c r="BH105" s="59">
        <f t="shared" si="62"/>
        <v>283.67381585509065</v>
      </c>
      <c r="BI105" s="59">
        <f ca="1">AVERAGE(OFFSET($BH$3,0,0,'Données projet'!$E$11+1,1))-AVERAGE(OFFSET($H$3,0,0,'Données projet'!$E$11+1,1))</f>
        <v>377.91408971696819</v>
      </c>
      <c r="BJ105" s="59">
        <f t="shared" si="92"/>
        <v>321.68797596002366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121.86105315164336</v>
      </c>
      <c r="BQ105" s="21">
        <f>EXP(-LN(2)/25)*BQ104+(1-EXP(-LN(2)/25))/(LN(2)/25)*Calculateur!BL105*Calculateur!BN105*VLOOKUP('Données projet'!$B$11,Paramètres!$A$1:$I$89,3,0)*0.475*44/12</f>
        <v>35.618911324223994</v>
      </c>
      <c r="BR105" s="21">
        <f>EXP(-LN(2)/2)*BR104+(1-EXP(-LN(2)/2))/(LN(2)/2)*BL105*BO105*VLOOKUP('Données projet'!$B$11,Paramètres!$A$1:$I$89,3,0)*0.475*44/12</f>
        <v>3.4994264507957333E-2</v>
      </c>
      <c r="BS105" s="22">
        <f t="shared" si="63"/>
        <v>157.51495874037531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67.365586142297076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67.365586142297076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67.365586142297076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67.365586142297076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67.365586142297076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67.365586142297076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67.365586142297076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3.14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11.513333333333334</v>
      </c>
      <c r="H106" s="67">
        <f t="shared" si="56"/>
        <v>210.61333333333332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67.411287333061182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1.064108801074326E-13</v>
      </c>
      <c r="P106" s="13">
        <f t="shared" si="87"/>
        <v>1.5870730813698654E-12</v>
      </c>
      <c r="Q106" s="20">
        <f t="shared" si="107"/>
        <v>2.9494845662396269E-12</v>
      </c>
      <c r="R106" s="59">
        <f t="shared" si="55"/>
        <v>283.84138688789398</v>
      </c>
      <c r="S106" s="59">
        <f ca="1">AVERAGE(OFFSET($R$3,0,0,'Données projet'!$E$9+1,1))-AVERAGE(OFFSET($H$3,0,0,'Données projet'!$E$9+1,1))</f>
        <v>302.99089313578685</v>
      </c>
      <c r="T106" s="59">
        <f t="shared" si="88"/>
        <v>335.51949678160906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41.17458311564814</v>
      </c>
      <c r="AA106" s="21">
        <f>EXP(-LN(2)/25)*AA105+(1-EXP(-LN(2)/25))/(LN(2)/25)*Calculateur!V106*Calculateur!X106*VLOOKUP('Données projet'!$B$9,Paramètres!$A$1:$I$89,3,0)*0.475*44/12</f>
        <v>13.906676553629834</v>
      </c>
      <c r="AB106" s="21">
        <f>EXP(-LN(2)/2)*AB105+(1-EXP(-LN(2)/2))/(LN(2)/2)*V106*Y106*VLOOKUP('Données projet'!$B$9,Paramètres!$A$1:$I$89,3,0)*0.475*44/12</f>
        <v>1.7144731228015517E-6</v>
      </c>
      <c r="AC106" s="22">
        <f t="shared" si="57"/>
        <v>55.081261383751098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67.411287333061182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67.411287333061182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1.1368683772161603E-13</v>
      </c>
      <c r="BE106" s="13">
        <f>BD106*VLOOKUP('Données projet'!$B$11,Paramètres!$A$1:$I$89,3,0)*VLOOKUP('Données projet'!$B$11,Paramètres!$A$1:$I$89,5,0)</f>
        <v>4.5815795601811263E-14</v>
      </c>
      <c r="BF106" s="13">
        <f t="shared" si="91"/>
        <v>7.5374618042508364E-13</v>
      </c>
      <c r="BG106" s="20">
        <f t="shared" si="61"/>
        <v>1.392570441580175E-12</v>
      </c>
      <c r="BH106" s="59">
        <f t="shared" si="62"/>
        <v>283.84138688789238</v>
      </c>
      <c r="BI106" s="59">
        <f ca="1">AVERAGE(OFFSET($BH$3,0,0,'Données projet'!$E$11+1,1))-AVERAGE(OFFSET($H$3,0,0,'Données projet'!$E$11+1,1))</f>
        <v>377.91408971696819</v>
      </c>
      <c r="BJ106" s="59">
        <f t="shared" si="92"/>
        <v>321.68797596002366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119.47143222724279</v>
      </c>
      <c r="BQ106" s="21">
        <f>EXP(-LN(2)/25)*BQ105+(1-EXP(-LN(2)/25))/(LN(2)/25)*Calculateur!BL106*Calculateur!BN106*VLOOKUP('Données projet'!$B$11,Paramètres!$A$1:$I$89,3,0)*0.475*44/12</f>
        <v>34.644910320945954</v>
      </c>
      <c r="BR106" s="21">
        <f>EXP(-LN(2)/2)*BR105+(1-EXP(-LN(2)/2))/(LN(2)/2)*BL106*BO106*VLOOKUP('Données projet'!$B$11,Paramètres!$A$1:$I$89,3,0)*0.475*44/12</f>
        <v>2.4744681736212353E-2</v>
      </c>
      <c r="BS106" s="22">
        <f t="shared" si="63"/>
        <v>154.14108722992498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67.411287333061182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67.411287333061182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67.411287333061182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67.411287333061182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67.411287333061182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67.411287333061182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67.411287333061182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3.14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11.513333333333334</v>
      </c>
      <c r="H107" s="67">
        <f t="shared" si="56"/>
        <v>210.61333333333332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67.456195710338079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1.064108801074326E-13</v>
      </c>
      <c r="P107" s="13">
        <f t="shared" si="87"/>
        <v>1.5870730813698654E-12</v>
      </c>
      <c r="Q107" s="20">
        <f t="shared" si="107"/>
        <v>2.9494845662396269E-12</v>
      </c>
      <c r="R107" s="59">
        <f t="shared" si="55"/>
        <v>284.00605093790927</v>
      </c>
      <c r="S107" s="59">
        <f ca="1">AVERAGE(OFFSET($R$3,0,0,'Données projet'!$E$9+1,1))-AVERAGE(OFFSET($H$3,0,0,'Données projet'!$E$9+1,1))</f>
        <v>302.99089313578685</v>
      </c>
      <c r="T107" s="59">
        <f t="shared" si="88"/>
        <v>335.51949678160906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40.367174654766174</v>
      </c>
      <c r="AA107" s="21">
        <f>EXP(-LN(2)/25)*AA106+(1-EXP(-LN(2)/25))/(LN(2)/25)*Calculateur!V107*Calculateur!X107*VLOOKUP('Données projet'!$B$9,Paramètres!$A$1:$I$89,3,0)*0.475*44/12</f>
        <v>13.526397751950491</v>
      </c>
      <c r="AB107" s="21">
        <f>EXP(-LN(2)/2)*AB106+(1-EXP(-LN(2)/2))/(LN(2)/2)*V107*Y107*VLOOKUP('Données projet'!$B$9,Paramètres!$A$1:$I$89,3,0)*0.475*44/12</f>
        <v>1.2123155712950536E-6</v>
      </c>
      <c r="AC107" s="22">
        <f t="shared" si="57"/>
        <v>53.893573619032239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67.456195710338079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67.456195710338079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1.1368683772161603E-13</v>
      </c>
      <c r="BE107" s="13">
        <f>BD107*VLOOKUP('Données projet'!$B$11,Paramètres!$A$1:$I$89,3,0)*VLOOKUP('Données projet'!$B$11,Paramètres!$A$1:$I$89,5,0)</f>
        <v>4.5815795601811263E-14</v>
      </c>
      <c r="BF107" s="13">
        <f t="shared" si="91"/>
        <v>7.5374618042508364E-13</v>
      </c>
      <c r="BG107" s="20">
        <f t="shared" si="61"/>
        <v>1.392570441580175E-12</v>
      </c>
      <c r="BH107" s="59">
        <f t="shared" si="62"/>
        <v>284.00605093790767</v>
      </c>
      <c r="BI107" s="59">
        <f ca="1">AVERAGE(OFFSET($BH$3,0,0,'Données projet'!$E$11+1,1))-AVERAGE(OFFSET($H$3,0,0,'Données projet'!$E$11+1,1))</f>
        <v>377.91408971696819</v>
      </c>
      <c r="BJ107" s="59">
        <f t="shared" si="92"/>
        <v>321.68797596002366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117.12867031164487</v>
      </c>
      <c r="BQ107" s="21">
        <f>EXP(-LN(2)/25)*BQ106+(1-EXP(-LN(2)/25))/(LN(2)/25)*Calculateur!BL107*Calculateur!BN107*VLOOKUP('Données projet'!$B$11,Paramètres!$A$1:$I$89,3,0)*0.475*44/12</f>
        <v>33.697543426323037</v>
      </c>
      <c r="BR107" s="21">
        <f>EXP(-LN(2)/2)*BR106+(1-EXP(-LN(2)/2))/(LN(2)/2)*BL107*BO107*VLOOKUP('Données projet'!$B$11,Paramètres!$A$1:$I$89,3,0)*0.475*44/12</f>
        <v>1.7497132253978667E-2</v>
      </c>
      <c r="BS107" s="22">
        <f t="shared" si="63"/>
        <v>150.84371087022188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67.456195710338079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67.456195710338079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67.456195710338079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67.456195710338079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67.456195710338079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67.456195710338079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67.456195710338079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3.14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11.513333333333334</v>
      </c>
      <c r="H108" s="67">
        <f t="shared" si="56"/>
        <v>210.61333333333332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67.500325027669305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1.064108801074326E-13</v>
      </c>
      <c r="P108" s="13">
        <f t="shared" si="87"/>
        <v>1.5870730813698654E-12</v>
      </c>
      <c r="Q108" s="20">
        <f t="shared" si="107"/>
        <v>2.9494845662396269E-12</v>
      </c>
      <c r="R108" s="59">
        <f t="shared" si="55"/>
        <v>284.16785843479039</v>
      </c>
      <c r="S108" s="59">
        <f ca="1">AVERAGE(OFFSET($R$3,0,0,'Données projet'!$E$9+1,1))-AVERAGE(OFFSET($H$3,0,0,'Données projet'!$E$9+1,1))</f>
        <v>302.99089313578685</v>
      </c>
      <c r="T108" s="59">
        <f t="shared" si="88"/>
        <v>335.51949678160906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39.575598981331574</v>
      </c>
      <c r="AA108" s="21">
        <f>EXP(-LN(2)/25)*AA107+(1-EXP(-LN(2)/25))/(LN(2)/25)*Calculateur!V108*Calculateur!X108*VLOOKUP('Données projet'!$B$9,Paramètres!$A$1:$I$89,3,0)*0.475*44/12</f>
        <v>13.156517694101062</v>
      </c>
      <c r="AB108" s="21">
        <f>EXP(-LN(2)/2)*AB107+(1-EXP(-LN(2)/2))/(LN(2)/2)*V108*Y108*VLOOKUP('Données projet'!$B$9,Paramètres!$A$1:$I$89,3,0)*0.475*44/12</f>
        <v>8.5723656140077585E-7</v>
      </c>
      <c r="AC108" s="22">
        <f t="shared" si="57"/>
        <v>52.7321175326692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67.500325027669305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67.500325027669305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1.1368683772161603E-13</v>
      </c>
      <c r="BE108" s="13">
        <f>BD108*VLOOKUP('Données projet'!$B$11,Paramètres!$A$1:$I$89,3,0)*VLOOKUP('Données projet'!$B$11,Paramètres!$A$1:$I$89,5,0)</f>
        <v>4.5815795601811263E-14</v>
      </c>
      <c r="BF108" s="13">
        <f t="shared" si="91"/>
        <v>7.5374618042508364E-13</v>
      </c>
      <c r="BG108" s="20">
        <f t="shared" si="61"/>
        <v>1.392570441580175E-12</v>
      </c>
      <c r="BH108" s="59">
        <f t="shared" si="62"/>
        <v>284.1678584347888</v>
      </c>
      <c r="BI108" s="59">
        <f ca="1">AVERAGE(OFFSET($BH$3,0,0,'Données projet'!$E$11+1,1))-AVERAGE(OFFSET($H$3,0,0,'Données projet'!$E$11+1,1))</f>
        <v>377.91408971696819</v>
      </c>
      <c r="BJ108" s="59">
        <f t="shared" si="92"/>
        <v>321.68797596002366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114.83184852826814</v>
      </c>
      <c r="BQ108" s="21">
        <f>EXP(-LN(2)/25)*BQ107+(1-EXP(-LN(2)/25))/(LN(2)/25)*Calculateur!BL108*Calculateur!BN108*VLOOKUP('Données projet'!$B$11,Paramètres!$A$1:$I$89,3,0)*0.475*44/12</f>
        <v>32.776082329253441</v>
      </c>
      <c r="BR108" s="21">
        <f>EXP(-LN(2)/2)*BR107+(1-EXP(-LN(2)/2))/(LN(2)/2)*BL108*BO108*VLOOKUP('Données projet'!$B$11,Paramètres!$A$1:$I$89,3,0)*0.475*44/12</f>
        <v>1.2372340868106176E-2</v>
      </c>
      <c r="BS108" s="22">
        <f t="shared" si="63"/>
        <v>147.62030319838968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67.500325027669305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67.500325027669305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67.500325027669305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67.500325027669305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67.500325027669305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67.500325027669305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67.500325027669305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3.14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11.513333333333334</v>
      </c>
      <c r="H109" s="67">
        <f t="shared" si="56"/>
        <v>210.61333333333332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67.543688800003196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1.064108801074326E-13</v>
      </c>
      <c r="P109" s="13">
        <f t="shared" si="87"/>
        <v>1.5870730813698654E-12</v>
      </c>
      <c r="Q109" s="20">
        <f t="shared" si="107"/>
        <v>2.9494845662396269E-12</v>
      </c>
      <c r="R109" s="59">
        <f t="shared" si="55"/>
        <v>284.32685893334798</v>
      </c>
      <c r="S109" s="59">
        <f ca="1">AVERAGE(OFFSET($R$3,0,0,'Données projet'!$E$9+1,1))-AVERAGE(OFFSET($H$3,0,0,'Données projet'!$E$9+1,1))</f>
        <v>302.99089313578685</v>
      </c>
      <c r="T109" s="59">
        <f t="shared" si="88"/>
        <v>335.51949678160906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38.799545624039538</v>
      </c>
      <c r="AA109" s="21">
        <f>EXP(-LN(2)/25)*AA108+(1-EXP(-LN(2)/25))/(LN(2)/25)*Calculateur!V109*Calculateur!X109*VLOOKUP('Données projet'!$B$9,Paramètres!$A$1:$I$89,3,0)*0.475*44/12</f>
        <v>12.796752025884672</v>
      </c>
      <c r="AB109" s="21">
        <f>EXP(-LN(2)/2)*AB108+(1-EXP(-LN(2)/2))/(LN(2)/2)*V109*Y109*VLOOKUP('Données projet'!$B$9,Paramètres!$A$1:$I$89,3,0)*0.475*44/12</f>
        <v>6.0615778564752681E-7</v>
      </c>
      <c r="AC109" s="22">
        <f t="shared" si="57"/>
        <v>51.596298256081994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67.543688800003196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67.543688800003196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1.1368683772161603E-13</v>
      </c>
      <c r="BE109" s="13">
        <f>BD109*VLOOKUP('Données projet'!$B$11,Paramètres!$A$1:$I$89,3,0)*VLOOKUP('Données projet'!$B$11,Paramètres!$A$1:$I$89,5,0)</f>
        <v>4.5815795601811263E-14</v>
      </c>
      <c r="BF109" s="13">
        <f t="shared" si="91"/>
        <v>7.5374618042508364E-13</v>
      </c>
      <c r="BG109" s="20">
        <f t="shared" si="61"/>
        <v>1.392570441580175E-12</v>
      </c>
      <c r="BH109" s="59">
        <f t="shared" si="62"/>
        <v>284.32685893334639</v>
      </c>
      <c r="BI109" s="59">
        <f ca="1">AVERAGE(OFFSET($BH$3,0,0,'Données projet'!$E$11+1,1))-AVERAGE(OFFSET($H$3,0,0,'Données projet'!$E$11+1,1))</f>
        <v>377.91408971696819</v>
      </c>
      <c r="BJ109" s="59">
        <f t="shared" si="92"/>
        <v>321.68797596002366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112.58006601914047</v>
      </c>
      <c r="BQ109" s="21">
        <f>EXP(-LN(2)/25)*BQ108+(1-EXP(-LN(2)/25))/(LN(2)/25)*Calculateur!BL109*Calculateur!BN109*VLOOKUP('Données projet'!$B$11,Paramètres!$A$1:$I$89,3,0)*0.475*44/12</f>
        <v>31.879818634340747</v>
      </c>
      <c r="BR109" s="21">
        <f>EXP(-LN(2)/2)*BR108+(1-EXP(-LN(2)/2))/(LN(2)/2)*BL109*BO109*VLOOKUP('Données projet'!$B$11,Paramètres!$A$1:$I$89,3,0)*0.475*44/12</f>
        <v>8.7485661269893333E-3</v>
      </c>
      <c r="BS109" s="22">
        <f t="shared" si="63"/>
        <v>144.46863321960822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67.543688800003196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67.543688800003196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67.543688800003196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67.543688800003196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67.543688800003196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67.543688800003196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67.543688800003196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3.14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11.513333333333334</v>
      </c>
      <c r="H110" s="67">
        <f t="shared" si="56"/>
        <v>210.61333333333332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67.586300307833994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1.064108801074326E-13</v>
      </c>
      <c r="P110" s="13">
        <f t="shared" si="87"/>
        <v>1.5870730813698654E-12</v>
      </c>
      <c r="Q110" s="20">
        <f t="shared" si="107"/>
        <v>2.9494845662396269E-12</v>
      </c>
      <c r="R110" s="59">
        <f t="shared" si="55"/>
        <v>284.48310112872758</v>
      </c>
      <c r="S110" s="59">
        <f ca="1">AVERAGE(OFFSET($R$3,0,0,'Données projet'!$E$9+1,1))-AVERAGE(OFFSET($H$3,0,0,'Données projet'!$E$9+1,1))</f>
        <v>302.99089313578685</v>
      </c>
      <c r="T110" s="59">
        <f t="shared" si="88"/>
        <v>335.51949678160906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38.03871019973819</v>
      </c>
      <c r="AA110" s="21">
        <f>EXP(-LN(2)/25)*AA109+(1-EXP(-LN(2)/25))/(LN(2)/25)*Calculateur!V110*Calculateur!X110*VLOOKUP('Données projet'!$B$9,Paramètres!$A$1:$I$89,3,0)*0.475*44/12</f>
        <v>12.446824168784914</v>
      </c>
      <c r="AB110" s="21">
        <f>EXP(-LN(2)/2)*AB109+(1-EXP(-LN(2)/2))/(LN(2)/2)*V110*Y110*VLOOKUP('Données projet'!$B$9,Paramètres!$A$1:$I$89,3,0)*0.475*44/12</f>
        <v>4.2861828070038792E-7</v>
      </c>
      <c r="AC110" s="22">
        <f t="shared" si="57"/>
        <v>50.485534797141383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67.586300307833994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67.586300307833994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1.1368683772161603E-13</v>
      </c>
      <c r="BE110" s="13">
        <f>BD110*VLOOKUP('Données projet'!$B$11,Paramètres!$A$1:$I$89,3,0)*VLOOKUP('Données projet'!$B$11,Paramètres!$A$1:$I$89,5,0)</f>
        <v>4.5815795601811263E-14</v>
      </c>
      <c r="BF110" s="13">
        <f t="shared" si="91"/>
        <v>7.5374618042508364E-13</v>
      </c>
      <c r="BG110" s="20">
        <f t="shared" si="61"/>
        <v>1.392570441580175E-12</v>
      </c>
      <c r="BH110" s="59">
        <f t="shared" si="62"/>
        <v>284.48310112872599</v>
      </c>
      <c r="BI110" s="59">
        <f ca="1">AVERAGE(OFFSET($BH$3,0,0,'Données projet'!$E$11+1,1))-AVERAGE(OFFSET($H$3,0,0,'Données projet'!$E$11+1,1))</f>
        <v>377.91408971696819</v>
      </c>
      <c r="BJ110" s="59">
        <f t="shared" si="92"/>
        <v>321.68797596002366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110.3724395915651</v>
      </c>
      <c r="BQ110" s="21">
        <f>EXP(-LN(2)/25)*BQ109+(1-EXP(-LN(2)/25))/(LN(2)/25)*Calculateur!BL110*Calculateur!BN110*VLOOKUP('Données projet'!$B$11,Paramètres!$A$1:$I$89,3,0)*0.475*44/12</f>
        <v>31.0080633172979</v>
      </c>
      <c r="BR110" s="21">
        <f>EXP(-LN(2)/2)*BR109+(1-EXP(-LN(2)/2))/(LN(2)/2)*BL110*BO110*VLOOKUP('Données projet'!$B$11,Paramètres!$A$1:$I$89,3,0)*0.475*44/12</f>
        <v>6.1861704340530881E-3</v>
      </c>
      <c r="BS110" s="22">
        <f t="shared" si="63"/>
        <v>141.38668907929707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67.586300307833994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67.586300307833994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67.586300307833994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67.586300307833994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67.586300307833994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67.586300307833994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67.586300307833994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3.14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11.513333333333334</v>
      </c>
      <c r="H111" s="67">
        <f t="shared" si="56"/>
        <v>210.61333333333332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67.628172601268972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1.064108801074326E-13</v>
      </c>
      <c r="P111" s="13">
        <f t="shared" si="87"/>
        <v>1.5870730813698654E-12</v>
      </c>
      <c r="Q111" s="20">
        <f t="shared" si="107"/>
        <v>2.9494845662396269E-12</v>
      </c>
      <c r="R111" s="59">
        <f t="shared" si="55"/>
        <v>284.63663287132255</v>
      </c>
      <c r="S111" s="59">
        <f ca="1">AVERAGE(OFFSET($R$3,0,0,'Données projet'!$E$9+1,1))-AVERAGE(OFFSET($H$3,0,0,'Données projet'!$E$9+1,1))</f>
        <v>302.99089313578685</v>
      </c>
      <c r="T111" s="59">
        <f t="shared" si="88"/>
        <v>335.51949678160906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37.292794294043603</v>
      </c>
      <c r="AA111" s="21">
        <f>EXP(-LN(2)/25)*AA110+(1-EXP(-LN(2)/25))/(LN(2)/25)*Calculateur!V111*Calculateur!X111*VLOOKUP('Données projet'!$B$9,Paramètres!$A$1:$I$89,3,0)*0.475*44/12</f>
        <v>12.106465107339455</v>
      </c>
      <c r="AB111" s="21">
        <f>EXP(-LN(2)/2)*AB110+(1-EXP(-LN(2)/2))/(LN(2)/2)*V111*Y111*VLOOKUP('Données projet'!$B$9,Paramètres!$A$1:$I$89,3,0)*0.475*44/12</f>
        <v>3.0307889282376341E-7</v>
      </c>
      <c r="AC111" s="22">
        <f t="shared" si="57"/>
        <v>49.399259704461947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67.628172601268972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67.628172601268972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1.1368683772161603E-13</v>
      </c>
      <c r="BE111" s="13">
        <f>BD111*VLOOKUP('Données projet'!$B$11,Paramètres!$A$1:$I$89,3,0)*VLOOKUP('Données projet'!$B$11,Paramètres!$A$1:$I$89,5,0)</f>
        <v>4.5815795601811263E-14</v>
      </c>
      <c r="BF111" s="13">
        <f t="shared" si="91"/>
        <v>7.5374618042508364E-13</v>
      </c>
      <c r="BG111" s="20">
        <f t="shared" si="61"/>
        <v>1.392570441580175E-12</v>
      </c>
      <c r="BH111" s="59">
        <f t="shared" si="62"/>
        <v>284.63663287132096</v>
      </c>
      <c r="BI111" s="59">
        <f ca="1">AVERAGE(OFFSET($BH$3,0,0,'Données projet'!$E$11+1,1))-AVERAGE(OFFSET($H$3,0,0,'Données projet'!$E$11+1,1))</f>
        <v>377.91408971696819</v>
      </c>
      <c r="BJ111" s="59">
        <f t="shared" si="92"/>
        <v>321.68797596002366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108.20810337171531</v>
      </c>
      <c r="BQ111" s="21">
        <f>EXP(-LN(2)/25)*BQ110+(1-EXP(-LN(2)/25))/(LN(2)/25)*Calculateur!BL111*Calculateur!BN111*VLOOKUP('Données projet'!$B$11,Paramètres!$A$1:$I$89,3,0)*0.475*44/12</f>
        <v>30.160146195243208</v>
      </c>
      <c r="BR111" s="21">
        <f>EXP(-LN(2)/2)*BR110+(1-EXP(-LN(2)/2))/(LN(2)/2)*BL111*BO111*VLOOKUP('Données projet'!$B$11,Paramètres!$A$1:$I$89,3,0)*0.475*44/12</f>
        <v>4.3742830634946666E-3</v>
      </c>
      <c r="BS111" s="22">
        <f t="shared" si="63"/>
        <v>138.37262385002202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67.628172601268972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67.628172601268972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67.628172601268972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67.628172601268972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67.628172601268972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67.628172601268972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67.628172601268972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3.14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11.513333333333334</v>
      </c>
      <c r="H112" s="67">
        <f t="shared" si="56"/>
        <v>210.61333333333332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67.669318504025284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1.064108801074326E-13</v>
      </c>
      <c r="P112" s="13">
        <f t="shared" si="87"/>
        <v>1.5870730813698654E-12</v>
      </c>
      <c r="Q112" s="20">
        <f t="shared" si="107"/>
        <v>2.9494845662396269E-12</v>
      </c>
      <c r="R112" s="59">
        <f t="shared" si="55"/>
        <v>284.78750118142898</v>
      </c>
      <c r="S112" s="59">
        <f ca="1">AVERAGE(OFFSET($R$3,0,0,'Données projet'!$E$9+1,1))-AVERAGE(OFFSET($H$3,0,0,'Données projet'!$E$9+1,1))</f>
        <v>302.99089313578685</v>
      </c>
      <c r="T112" s="59">
        <f t="shared" si="88"/>
        <v>335.51949678160906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36.561505344295909</v>
      </c>
      <c r="AA112" s="21">
        <f>EXP(-LN(2)/25)*AA111+(1-EXP(-LN(2)/25))/(LN(2)/25)*Calculateur!V112*Calculateur!X112*VLOOKUP('Données projet'!$B$9,Paramètres!$A$1:$I$89,3,0)*0.475*44/12</f>
        <v>11.775413182327927</v>
      </c>
      <c r="AB112" s="21">
        <f>EXP(-LN(2)/2)*AB111+(1-EXP(-LN(2)/2))/(LN(2)/2)*V112*Y112*VLOOKUP('Données projet'!$B$9,Paramètres!$A$1:$I$89,3,0)*0.475*44/12</f>
        <v>2.1430914035019396E-7</v>
      </c>
      <c r="AC112" s="22">
        <f t="shared" si="57"/>
        <v>48.336918740932973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67.669318504025284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67.669318504025284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1.1368683772161603E-13</v>
      </c>
      <c r="BE112" s="13">
        <f>BD112*VLOOKUP('Données projet'!$B$11,Paramètres!$A$1:$I$89,3,0)*VLOOKUP('Données projet'!$B$11,Paramètres!$A$1:$I$89,5,0)</f>
        <v>4.5815795601811263E-14</v>
      </c>
      <c r="BF112" s="13">
        <f t="shared" si="91"/>
        <v>7.5374618042508364E-13</v>
      </c>
      <c r="BG112" s="20">
        <f t="shared" si="61"/>
        <v>1.392570441580175E-12</v>
      </c>
      <c r="BH112" s="59">
        <f t="shared" si="62"/>
        <v>284.78750118142739</v>
      </c>
      <c r="BI112" s="59">
        <f ca="1">AVERAGE(OFFSET($BH$3,0,0,'Données projet'!$E$11+1,1))-AVERAGE(OFFSET($H$3,0,0,'Données projet'!$E$11+1,1))</f>
        <v>377.91408971696819</v>
      </c>
      <c r="BJ112" s="59">
        <f t="shared" si="92"/>
        <v>321.68797596002366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106.08620846502203</v>
      </c>
      <c r="BQ112" s="21">
        <f>EXP(-LN(2)/25)*BQ111+(1-EXP(-LN(2)/25))/(LN(2)/25)*Calculateur!BL112*Calculateur!BN112*VLOOKUP('Données projet'!$B$11,Paramètres!$A$1:$I$89,3,0)*0.475*44/12</f>
        <v>29.335415411481126</v>
      </c>
      <c r="BR112" s="21">
        <f>EXP(-LN(2)/2)*BR111+(1-EXP(-LN(2)/2))/(LN(2)/2)*BL112*BO112*VLOOKUP('Données projet'!$B$11,Paramètres!$A$1:$I$89,3,0)*0.475*44/12</f>
        <v>3.0930852170265441E-3</v>
      </c>
      <c r="BS112" s="22">
        <f t="shared" si="63"/>
        <v>135.42471696172018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67.669318504025284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67.669318504025284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67.669318504025284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67.669318504025284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67.669318504025284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67.669318504025284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67.669318504025284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3.14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11.513333333333334</v>
      </c>
      <c r="H113" s="67">
        <f t="shared" si="56"/>
        <v>210.61333333333332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67.70975061735723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1.064108801074326E-13</v>
      </c>
      <c r="P113" s="13">
        <f t="shared" si="87"/>
        <v>1.5870730813698654E-12</v>
      </c>
      <c r="Q113" s="20">
        <f t="shared" si="107"/>
        <v>2.9494845662396269E-12</v>
      </c>
      <c r="R113" s="59">
        <f t="shared" si="55"/>
        <v>284.93575226364612</v>
      </c>
      <c r="S113" s="59">
        <f ca="1">AVERAGE(OFFSET($R$3,0,0,'Données projet'!$E$9+1,1))-AVERAGE(OFFSET($H$3,0,0,'Données projet'!$E$9+1,1))</f>
        <v>302.99089313578685</v>
      </c>
      <c r="T113" s="59">
        <f t="shared" si="88"/>
        <v>335.51949678160906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35.844556524810557</v>
      </c>
      <c r="AA113" s="21">
        <f>EXP(-LN(2)/25)*AA112+(1-EXP(-LN(2)/25))/(LN(2)/25)*Calculateur!V113*Calculateur!X113*VLOOKUP('Données projet'!$B$9,Paramètres!$A$1:$I$89,3,0)*0.475*44/12</f>
        <v>11.453413889615105</v>
      </c>
      <c r="AB113" s="21">
        <f>EXP(-LN(2)/2)*AB112+(1-EXP(-LN(2)/2))/(LN(2)/2)*V113*Y113*VLOOKUP('Données projet'!$B$9,Paramètres!$A$1:$I$89,3,0)*0.475*44/12</f>
        <v>1.515394464118817E-7</v>
      </c>
      <c r="AC113" s="22">
        <f t="shared" si="57"/>
        <v>47.297970565965109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67.70975061735723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67.70975061735723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1.1368683772161603E-13</v>
      </c>
      <c r="BE113" s="13">
        <f>BD113*VLOOKUP('Données projet'!$B$11,Paramètres!$A$1:$I$89,3,0)*VLOOKUP('Données projet'!$B$11,Paramètres!$A$1:$I$89,5,0)</f>
        <v>4.5815795601811263E-14</v>
      </c>
      <c r="BF113" s="13">
        <f t="shared" si="91"/>
        <v>7.5374618042508364E-13</v>
      </c>
      <c r="BG113" s="20">
        <f t="shared" si="61"/>
        <v>1.392570441580175E-12</v>
      </c>
      <c r="BH113" s="59">
        <f t="shared" si="62"/>
        <v>284.93575226364453</v>
      </c>
      <c r="BI113" s="59">
        <f ca="1">AVERAGE(OFFSET($BH$3,0,0,'Données projet'!$E$11+1,1))-AVERAGE(OFFSET($H$3,0,0,'Données projet'!$E$11+1,1))</f>
        <v>377.91408971696819</v>
      </c>
      <c r="BJ113" s="59">
        <f t="shared" si="92"/>
        <v>321.68797596002366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104.0059226232209</v>
      </c>
      <c r="BQ113" s="21">
        <f>EXP(-LN(2)/25)*BQ112+(1-EXP(-LN(2)/25))/(LN(2)/25)*Calculateur!BL113*Calculateur!BN113*VLOOKUP('Données projet'!$B$11,Paramètres!$A$1:$I$89,3,0)*0.475*44/12</f>
        <v>28.533236934371725</v>
      </c>
      <c r="BR113" s="21">
        <f>EXP(-LN(2)/2)*BR112+(1-EXP(-LN(2)/2))/(LN(2)/2)*BL113*BO113*VLOOKUP('Données projet'!$B$11,Paramètres!$A$1:$I$89,3,0)*0.475*44/12</f>
        <v>2.1871415317473333E-3</v>
      </c>
      <c r="BS113" s="22">
        <f t="shared" si="63"/>
        <v>132.54134669912438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67.70975061735723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67.70975061735723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67.70975061735723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67.70975061735723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67.70975061735723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67.70975061735723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67.70975061735723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3.14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11.513333333333334</v>
      </c>
      <c r="H114" s="67">
        <f t="shared" si="56"/>
        <v>210.61333333333332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67.749481323915518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1.064108801074326E-13</v>
      </c>
      <c r="P114" s="13">
        <f t="shared" si="87"/>
        <v>1.5870730813698654E-12</v>
      </c>
      <c r="Q114" s="20">
        <f t="shared" si="107"/>
        <v>2.9494845662396269E-12</v>
      </c>
      <c r="R114" s="59">
        <f t="shared" si="55"/>
        <v>285.08143152102656</v>
      </c>
      <c r="S114" s="59">
        <f ca="1">AVERAGE(OFFSET($R$3,0,0,'Données projet'!$E$9+1,1))-AVERAGE(OFFSET($H$3,0,0,'Données projet'!$E$9+1,1))</f>
        <v>302.99089313578685</v>
      </c>
      <c r="T114" s="59">
        <f t="shared" si="88"/>
        <v>335.51949678160906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35.14166663437971</v>
      </c>
      <c r="AA114" s="21">
        <f>EXP(-LN(2)/25)*AA113+(1-EXP(-LN(2)/25))/(LN(2)/25)*Calculateur!V114*Calculateur!X114*VLOOKUP('Données projet'!$B$9,Paramètres!$A$1:$I$89,3,0)*0.475*44/12</f>
        <v>11.140219684494721</v>
      </c>
      <c r="AB114" s="21">
        <f>EXP(-LN(2)/2)*AB113+(1-EXP(-LN(2)/2))/(LN(2)/2)*V114*Y114*VLOOKUP('Données projet'!$B$9,Paramètres!$A$1:$I$89,3,0)*0.475*44/12</f>
        <v>1.0715457017509698E-7</v>
      </c>
      <c r="AC114" s="22">
        <f t="shared" si="57"/>
        <v>46.281886426028997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67.749481323915518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67.749481323915518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1.1368683772161603E-13</v>
      </c>
      <c r="BE114" s="13">
        <f>BD114*VLOOKUP('Données projet'!$B$11,Paramètres!$A$1:$I$89,3,0)*VLOOKUP('Données projet'!$B$11,Paramètres!$A$1:$I$89,5,0)</f>
        <v>4.5815795601811263E-14</v>
      </c>
      <c r="BF114" s="13">
        <f t="shared" si="91"/>
        <v>7.5374618042508364E-13</v>
      </c>
      <c r="BG114" s="20">
        <f t="shared" si="61"/>
        <v>1.392570441580175E-12</v>
      </c>
      <c r="BH114" s="59">
        <f t="shared" si="62"/>
        <v>285.08143152102497</v>
      </c>
      <c r="BI114" s="59">
        <f ca="1">AVERAGE(OFFSET($BH$3,0,0,'Données projet'!$E$11+1,1))-AVERAGE(OFFSET($H$3,0,0,'Données projet'!$E$11+1,1))</f>
        <v>377.91408971696819</v>
      </c>
      <c r="BJ114" s="59">
        <f t="shared" si="92"/>
        <v>321.68797596002366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101.96642991792842</v>
      </c>
      <c r="BQ114" s="21">
        <f>EXP(-LN(2)/25)*BQ113+(1-EXP(-LN(2)/25))/(LN(2)/25)*Calculateur!BL114*Calculateur!BN114*VLOOKUP('Données projet'!$B$11,Paramètres!$A$1:$I$89,3,0)*0.475*44/12</f>
        <v>27.752994069903615</v>
      </c>
      <c r="BR114" s="21">
        <f>EXP(-LN(2)/2)*BR113+(1-EXP(-LN(2)/2))/(LN(2)/2)*BL114*BO114*VLOOKUP('Données projet'!$B$11,Paramètres!$A$1:$I$89,3,0)*0.475*44/12</f>
        <v>1.546542608513272E-3</v>
      </c>
      <c r="BS114" s="22">
        <f t="shared" si="63"/>
        <v>129.72097053044055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67.749481323915518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67.749481323915518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67.749481323915518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67.749481323915518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67.749481323915518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67.749481323915518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67.749481323915518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3.14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11.513333333333334</v>
      </c>
      <c r="H115" s="67">
        <f t="shared" si="56"/>
        <v>210.61333333333332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67.788522791539592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1.064108801074326E-13</v>
      </c>
      <c r="P115" s="13">
        <f t="shared" si="87"/>
        <v>1.5870730813698654E-12</v>
      </c>
      <c r="Q115" s="20">
        <f t="shared" si="107"/>
        <v>2.9494845662396269E-12</v>
      </c>
      <c r="R115" s="59">
        <f t="shared" si="55"/>
        <v>285.22458356898147</v>
      </c>
      <c r="S115" s="59">
        <f ca="1">AVERAGE(OFFSET($R$3,0,0,'Données projet'!$E$9+1,1))-AVERAGE(OFFSET($H$3,0,0,'Données projet'!$E$9+1,1))</f>
        <v>302.99089313578685</v>
      </c>
      <c r="T115" s="59">
        <f t="shared" si="88"/>
        <v>335.51949678160906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34.452559985979711</v>
      </c>
      <c r="AA115" s="21">
        <f>EXP(-LN(2)/25)*AA114+(1-EXP(-LN(2)/25))/(LN(2)/25)*Calculateur!V115*Calculateur!X115*VLOOKUP('Données projet'!$B$9,Paramètres!$A$1:$I$89,3,0)*0.475*44/12</f>
        <v>10.835589791383521</v>
      </c>
      <c r="AB115" s="21">
        <f>EXP(-LN(2)/2)*AB114+(1-EXP(-LN(2)/2))/(LN(2)/2)*V115*Y115*VLOOKUP('Données projet'!$B$9,Paramètres!$A$1:$I$89,3,0)*0.475*44/12</f>
        <v>7.5769723205940851E-8</v>
      </c>
      <c r="AC115" s="22">
        <f t="shared" si="57"/>
        <v>45.288149853132957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67.788522791539592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67.788522791539592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1.1368683772161603E-13</v>
      </c>
      <c r="BE115" s="13">
        <f>BD115*VLOOKUP('Données projet'!$B$11,Paramètres!$A$1:$I$89,3,0)*VLOOKUP('Données projet'!$B$11,Paramètres!$A$1:$I$89,5,0)</f>
        <v>4.5815795601811263E-14</v>
      </c>
      <c r="BF115" s="13">
        <f t="shared" si="91"/>
        <v>7.5374618042508364E-13</v>
      </c>
      <c r="BG115" s="20">
        <f t="shared" si="61"/>
        <v>1.392570441580175E-12</v>
      </c>
      <c r="BH115" s="59">
        <f t="shared" si="62"/>
        <v>285.22458356897988</v>
      </c>
      <c r="BI115" s="59">
        <f ca="1">AVERAGE(OFFSET($BH$3,0,0,'Données projet'!$E$11+1,1))-AVERAGE(OFFSET($H$3,0,0,'Données projet'!$E$11+1,1))</f>
        <v>377.91408971696819</v>
      </c>
      <c r="BJ115" s="59">
        <f t="shared" si="92"/>
        <v>321.68797596002366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99.966930420619008</v>
      </c>
      <c r="BQ115" s="21">
        <f>EXP(-LN(2)/25)*BQ114+(1-EXP(-LN(2)/25))/(LN(2)/25)*Calculateur!BL115*Calculateur!BN115*VLOOKUP('Données projet'!$B$11,Paramètres!$A$1:$I$89,3,0)*0.475*44/12</f>
        <v>26.994086987595573</v>
      </c>
      <c r="BR115" s="21">
        <f>EXP(-LN(2)/2)*BR114+(1-EXP(-LN(2)/2))/(LN(2)/2)*BL115*BO115*VLOOKUP('Données projet'!$B$11,Paramètres!$A$1:$I$89,3,0)*0.475*44/12</f>
        <v>1.0935707658736667E-3</v>
      </c>
      <c r="BS115" s="22">
        <f t="shared" si="63"/>
        <v>126.96211097898046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67.788522791539592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67.788522791539592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67.788522791539592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67.788522791539592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67.788522791539592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67.788522791539592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67.788522791539592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3.14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11.513333333333334</v>
      </c>
      <c r="H116" s="67">
        <f t="shared" si="56"/>
        <v>210.61333333333332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67.826886976984028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1.064108801074326E-13</v>
      </c>
      <c r="P116" s="13">
        <f t="shared" si="87"/>
        <v>1.5870730813698654E-12</v>
      </c>
      <c r="Q116" s="20">
        <f t="shared" si="107"/>
        <v>2.9494845662396269E-12</v>
      </c>
      <c r="R116" s="59">
        <f t="shared" si="55"/>
        <v>285.36525224894439</v>
      </c>
      <c r="S116" s="59">
        <f ca="1">AVERAGE(OFFSET($R$3,0,0,'Données projet'!$E$9+1,1))-AVERAGE(OFFSET($H$3,0,0,'Données projet'!$E$9+1,1))</f>
        <v>302.99089313578685</v>
      </c>
      <c r="T116" s="59">
        <f t="shared" si="88"/>
        <v>335.51949678160906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33.776966298641284</v>
      </c>
      <c r="AA116" s="21">
        <f>EXP(-LN(2)/25)*AA115+(1-EXP(-LN(2)/25))/(LN(2)/25)*Calculateur!V116*Calculateur!X116*VLOOKUP('Données projet'!$B$9,Paramètres!$A$1:$I$89,3,0)*0.475*44/12</f>
        <v>10.539290018719237</v>
      </c>
      <c r="AB116" s="21">
        <f>EXP(-LN(2)/2)*AB115+(1-EXP(-LN(2)/2))/(LN(2)/2)*V116*Y116*VLOOKUP('Données projet'!$B$9,Paramètres!$A$1:$I$89,3,0)*0.475*44/12</f>
        <v>5.357728508754849E-8</v>
      </c>
      <c r="AC116" s="22">
        <f t="shared" si="57"/>
        <v>44.316256370937808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67.826886976984028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67.826886976984028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1.1368683772161603E-13</v>
      </c>
      <c r="BE116" s="13">
        <f>BD116*VLOOKUP('Données projet'!$B$11,Paramètres!$A$1:$I$89,3,0)*VLOOKUP('Données projet'!$B$11,Paramètres!$A$1:$I$89,5,0)</f>
        <v>4.5815795601811263E-14</v>
      </c>
      <c r="BF116" s="13">
        <f t="shared" si="91"/>
        <v>7.5374618042508364E-13</v>
      </c>
      <c r="BG116" s="20">
        <f t="shared" si="61"/>
        <v>1.392570441580175E-12</v>
      </c>
      <c r="BH116" s="59">
        <f t="shared" si="62"/>
        <v>285.3652522489428</v>
      </c>
      <c r="BI116" s="59">
        <f ca="1">AVERAGE(OFFSET($BH$3,0,0,'Données projet'!$E$11+1,1))-AVERAGE(OFFSET($H$3,0,0,'Données projet'!$E$11+1,1))</f>
        <v>377.91408971696819</v>
      </c>
      <c r="BJ116" s="59">
        <f t="shared" si="92"/>
        <v>321.68797596002366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98.006639888877558</v>
      </c>
      <c r="BQ116" s="21">
        <f>EXP(-LN(2)/25)*BQ115+(1-EXP(-LN(2)/25))/(LN(2)/25)*Calculateur!BL116*Calculateur!BN116*VLOOKUP('Données projet'!$B$11,Paramètres!$A$1:$I$89,3,0)*0.475*44/12</f>
        <v>26.255932259362432</v>
      </c>
      <c r="BR116" s="21">
        <f>EXP(-LN(2)/2)*BR115+(1-EXP(-LN(2)/2))/(LN(2)/2)*BL116*BO116*VLOOKUP('Données projet'!$B$11,Paramètres!$A$1:$I$89,3,0)*0.475*44/12</f>
        <v>7.7327130425663602E-4</v>
      </c>
      <c r="BS116" s="22">
        <f t="shared" si="63"/>
        <v>124.26334541954425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67.826886976984028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67.826886976984028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67.826886976984028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67.826886976984028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67.826886976984028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67.826886976984028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67.826886976984028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3.14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11.513333333333334</v>
      </c>
      <c r="H117" s="67">
        <f t="shared" si="56"/>
        <v>210.61333333333332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67.864585629580461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1.064108801074326E-13</v>
      </c>
      <c r="P117" s="13">
        <f t="shared" si="87"/>
        <v>1.5870730813698654E-12</v>
      </c>
      <c r="Q117" s="20">
        <f t="shared" si="107"/>
        <v>2.9494845662396269E-12</v>
      </c>
      <c r="R117" s="59">
        <f t="shared" si="55"/>
        <v>285.50348064179798</v>
      </c>
      <c r="S117" s="59">
        <f ca="1">AVERAGE(OFFSET($R$3,0,0,'Données projet'!$E$9+1,1))-AVERAGE(OFFSET($H$3,0,0,'Données projet'!$E$9+1,1))</f>
        <v>302.99089313578685</v>
      </c>
      <c r="T117" s="59">
        <f t="shared" si="88"/>
        <v>335.51949678160906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33.114620591440101</v>
      </c>
      <c r="AA117" s="21">
        <f>EXP(-LN(2)/25)*AA116+(1-EXP(-LN(2)/25))/(LN(2)/25)*Calculateur!V117*Calculateur!X117*VLOOKUP('Données projet'!$B$9,Paramètres!$A$1:$I$89,3,0)*0.475*44/12</f>
        <v>10.251092578920185</v>
      </c>
      <c r="AB117" s="21">
        <f>EXP(-LN(2)/2)*AB116+(1-EXP(-LN(2)/2))/(LN(2)/2)*V117*Y117*VLOOKUP('Données projet'!$B$9,Paramètres!$A$1:$I$89,3,0)*0.475*44/12</f>
        <v>3.7884861602970426E-8</v>
      </c>
      <c r="AC117" s="22">
        <f t="shared" si="57"/>
        <v>43.365713208245147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67.864585629580461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67.864585629580461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1.1368683772161603E-13</v>
      </c>
      <c r="BE117" s="13">
        <f>BD117*VLOOKUP('Données projet'!$B$11,Paramètres!$A$1:$I$89,3,0)*VLOOKUP('Données projet'!$B$11,Paramètres!$A$1:$I$89,5,0)</f>
        <v>4.5815795601811263E-14</v>
      </c>
      <c r="BF117" s="13">
        <f t="shared" si="91"/>
        <v>7.5374618042508364E-13</v>
      </c>
      <c r="BG117" s="20">
        <f t="shared" si="61"/>
        <v>1.392570441580175E-12</v>
      </c>
      <c r="BH117" s="59">
        <f t="shared" si="62"/>
        <v>285.50348064179639</v>
      </c>
      <c r="BI117" s="59">
        <f ca="1">AVERAGE(OFFSET($BH$3,0,0,'Données projet'!$E$11+1,1))-AVERAGE(OFFSET($H$3,0,0,'Données projet'!$E$11+1,1))</f>
        <v>377.91408971696819</v>
      </c>
      <c r="BJ117" s="59">
        <f t="shared" si="92"/>
        <v>321.68797596002366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96.084789458804394</v>
      </c>
      <c r="BQ117" s="21">
        <f>EXP(-LN(2)/25)*BQ116+(1-EXP(-LN(2)/25))/(LN(2)/25)*Calculateur!BL117*Calculateur!BN117*VLOOKUP('Données projet'!$B$11,Paramètres!$A$1:$I$89,3,0)*0.475*44/12</f>
        <v>25.537962410990698</v>
      </c>
      <c r="BR117" s="21">
        <f>EXP(-LN(2)/2)*BR116+(1-EXP(-LN(2)/2))/(LN(2)/2)*BL117*BO117*VLOOKUP('Données projet'!$B$11,Paramètres!$A$1:$I$89,3,0)*0.475*44/12</f>
        <v>5.4678538293683333E-4</v>
      </c>
      <c r="BS117" s="22">
        <f t="shared" si="63"/>
        <v>121.62329865517803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67.864585629580461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67.864585629580461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67.864585629580461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67.864585629580461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67.864585629580461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67.864585629580461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67.864585629580461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3.14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11.513333333333334</v>
      </c>
      <c r="H118" s="67">
        <f t="shared" si="56"/>
        <v>210.61333333333332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67.901630294835925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1.064108801074326E-13</v>
      </c>
      <c r="P118" s="13">
        <f t="shared" si="87"/>
        <v>1.5870730813698654E-12</v>
      </c>
      <c r="Q118" s="20">
        <f t="shared" si="107"/>
        <v>2.9494845662396269E-12</v>
      </c>
      <c r="R118" s="59">
        <f t="shared" si="55"/>
        <v>285.639311081068</v>
      </c>
      <c r="S118" s="59">
        <f ca="1">AVERAGE(OFFSET($R$3,0,0,'Données projet'!$E$9+1,1))-AVERAGE(OFFSET($H$3,0,0,'Données projet'!$E$9+1,1))</f>
        <v>302.99089313578685</v>
      </c>
      <c r="T118" s="59">
        <f t="shared" si="88"/>
        <v>335.51949678160906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32.465263079566142</v>
      </c>
      <c r="AA118" s="21">
        <f>EXP(-LN(2)/25)*AA117+(1-EXP(-LN(2)/25))/(LN(2)/25)*Calculateur!V118*Calculateur!X118*VLOOKUP('Données projet'!$B$9,Paramètres!$A$1:$I$89,3,0)*0.475*44/12</f>
        <v>9.9707759132680831</v>
      </c>
      <c r="AB118" s="21">
        <f>EXP(-LN(2)/2)*AB117+(1-EXP(-LN(2)/2))/(LN(2)/2)*V118*Y118*VLOOKUP('Données projet'!$B$9,Paramètres!$A$1:$I$89,3,0)*0.475*44/12</f>
        <v>2.6788642543774245E-8</v>
      </c>
      <c r="AC118" s="22">
        <f t="shared" si="57"/>
        <v>42.436039019622868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67.901630294835925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67.901630294835925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1.1368683772161603E-13</v>
      </c>
      <c r="BE118" s="13">
        <f>BD118*VLOOKUP('Données projet'!$B$11,Paramètres!$A$1:$I$89,3,0)*VLOOKUP('Données projet'!$B$11,Paramètres!$A$1:$I$89,5,0)</f>
        <v>4.5815795601811263E-14</v>
      </c>
      <c r="BF118" s="13">
        <f t="shared" si="91"/>
        <v>7.5374618042508364E-13</v>
      </c>
      <c r="BG118" s="20">
        <f t="shared" si="61"/>
        <v>1.392570441580175E-12</v>
      </c>
      <c r="BH118" s="59">
        <f t="shared" si="62"/>
        <v>285.63931108106641</v>
      </c>
      <c r="BI118" s="59">
        <f ca="1">AVERAGE(OFFSET($BH$3,0,0,'Données projet'!$E$11+1,1))-AVERAGE(OFFSET($H$3,0,0,'Données projet'!$E$11+1,1))</f>
        <v>377.91408971696819</v>
      </c>
      <c r="BJ118" s="59">
        <f t="shared" si="92"/>
        <v>321.68797596002366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94.200625343451961</v>
      </c>
      <c r="BQ118" s="21">
        <f>EXP(-LN(2)/25)*BQ117+(1-EXP(-LN(2)/25))/(LN(2)/25)*Calculateur!BL118*Calculateur!BN118*VLOOKUP('Données projet'!$B$11,Paramètres!$A$1:$I$89,3,0)*0.475*44/12</f>
        <v>24.839625485879083</v>
      </c>
      <c r="BR118" s="21">
        <f>EXP(-LN(2)/2)*BR117+(1-EXP(-LN(2)/2))/(LN(2)/2)*BL118*BO118*VLOOKUP('Données projet'!$B$11,Paramètres!$A$1:$I$89,3,0)*0.475*44/12</f>
        <v>3.8663565212831801E-4</v>
      </c>
      <c r="BS118" s="22">
        <f t="shared" si="63"/>
        <v>119.04063746498318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67.901630294835925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67.901630294835925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67.901630294835925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67.901630294835925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67.901630294835925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67.901630294835925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67.901630294835925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3.14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11.513333333333334</v>
      </c>
      <c r="H119" s="67">
        <f t="shared" si="56"/>
        <v>210.61333333333332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67.938032317968663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1.064108801074326E-13</v>
      </c>
      <c r="P119" s="13">
        <f t="shared" si="87"/>
        <v>1.5870730813698654E-12</v>
      </c>
      <c r="Q119" s="20">
        <f t="shared" si="107"/>
        <v>2.9494845662396269E-12</v>
      </c>
      <c r="R119" s="59">
        <f t="shared" si="55"/>
        <v>285.77278516588802</v>
      </c>
      <c r="S119" s="59">
        <f ca="1">AVERAGE(OFFSET($R$3,0,0,'Données projet'!$E$9+1,1))-AVERAGE(OFFSET($H$3,0,0,'Données projet'!$E$9+1,1))</f>
        <v>302.99089313578685</v>
      </c>
      <c r="T119" s="59">
        <f t="shared" si="88"/>
        <v>335.51949678160906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31.828639072431059</v>
      </c>
      <c r="AA119" s="21">
        <f>EXP(-LN(2)/25)*AA118+(1-EXP(-LN(2)/25))/(LN(2)/25)*Calculateur!V119*Calculateur!X119*VLOOKUP('Données projet'!$B$9,Paramètres!$A$1:$I$89,3,0)*0.475*44/12</f>
        <v>9.6981245215794498</v>
      </c>
      <c r="AB119" s="21">
        <f>EXP(-LN(2)/2)*AB118+(1-EXP(-LN(2)/2))/(LN(2)/2)*V119*Y119*VLOOKUP('Données projet'!$B$9,Paramètres!$A$1:$I$89,3,0)*0.475*44/12</f>
        <v>1.8942430801485213E-8</v>
      </c>
      <c r="AC119" s="22">
        <f t="shared" si="57"/>
        <v>41.526763612952941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67.938032317968663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67.938032317968663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1.1368683772161603E-13</v>
      </c>
      <c r="BE119" s="13">
        <f>BD119*VLOOKUP('Données projet'!$B$11,Paramètres!$A$1:$I$89,3,0)*VLOOKUP('Données projet'!$B$11,Paramètres!$A$1:$I$89,5,0)</f>
        <v>4.5815795601811263E-14</v>
      </c>
      <c r="BF119" s="13">
        <f t="shared" si="91"/>
        <v>7.5374618042508364E-13</v>
      </c>
      <c r="BG119" s="20">
        <f t="shared" si="61"/>
        <v>1.392570441580175E-12</v>
      </c>
      <c r="BH119" s="59">
        <f t="shared" si="62"/>
        <v>285.77278516588643</v>
      </c>
      <c r="BI119" s="59">
        <f ca="1">AVERAGE(OFFSET($BH$3,0,0,'Données projet'!$E$11+1,1))-AVERAGE(OFFSET($H$3,0,0,'Données projet'!$E$11+1,1))</f>
        <v>377.91408971696819</v>
      </c>
      <c r="BJ119" s="59">
        <f t="shared" si="92"/>
        <v>321.68797596002366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92.353408537174943</v>
      </c>
      <c r="BQ119" s="21">
        <f>EXP(-LN(2)/25)*BQ118+(1-EXP(-LN(2)/25))/(LN(2)/25)*Calculateur!BL119*Calculateur!BN119*VLOOKUP('Données projet'!$B$11,Paramètres!$A$1:$I$89,3,0)*0.475*44/12</f>
        <v>24.160384620708587</v>
      </c>
      <c r="BR119" s="21">
        <f>EXP(-LN(2)/2)*BR118+(1-EXP(-LN(2)/2))/(LN(2)/2)*BL119*BO119*VLOOKUP('Données projet'!$B$11,Paramètres!$A$1:$I$89,3,0)*0.475*44/12</f>
        <v>2.7339269146841666E-4</v>
      </c>
      <c r="BS119" s="22">
        <f t="shared" si="63"/>
        <v>116.514066550575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67.938032317968663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67.938032317968663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67.938032317968663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67.938032317968663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67.938032317968663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67.938032317968663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67.938032317968663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3.14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11.513333333333334</v>
      </c>
      <c r="H120" s="67">
        <f t="shared" si="56"/>
        <v>210.61333333333332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67.973802847382785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1.064108801074326E-13</v>
      </c>
      <c r="P120" s="13">
        <f t="shared" si="87"/>
        <v>1.5870730813698654E-12</v>
      </c>
      <c r="Q120" s="20">
        <f t="shared" si="107"/>
        <v>2.9494845662396269E-12</v>
      </c>
      <c r="R120" s="59">
        <f t="shared" si="55"/>
        <v>285.90394377373985</v>
      </c>
      <c r="S120" s="59">
        <f ca="1">AVERAGE(OFFSET($R$3,0,0,'Données projet'!$E$9+1,1))-AVERAGE(OFFSET($H$3,0,0,'Données projet'!$E$9+1,1))</f>
        <v>302.99089313578685</v>
      </c>
      <c r="T120" s="59">
        <f t="shared" si="88"/>
        <v>335.51949678160906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31.204498873773591</v>
      </c>
      <c r="AA120" s="21">
        <f>EXP(-LN(2)/25)*AA119+(1-EXP(-LN(2)/25))/(LN(2)/25)*Calculateur!V120*Calculateur!X120*VLOOKUP('Données projet'!$B$9,Paramètres!$A$1:$I$89,3,0)*0.475*44/12</f>
        <v>9.4329287965346573</v>
      </c>
      <c r="AB120" s="21">
        <f>EXP(-LN(2)/2)*AB119+(1-EXP(-LN(2)/2))/(LN(2)/2)*V120*Y120*VLOOKUP('Données projet'!$B$9,Paramètres!$A$1:$I$89,3,0)*0.475*44/12</f>
        <v>1.3394321271887123E-8</v>
      </c>
      <c r="AC120" s="22">
        <f t="shared" si="57"/>
        <v>40.637427683702569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67.973802847382785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67.973802847382785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1.1368683772161603E-13</v>
      </c>
      <c r="BE120" s="13">
        <f>BD120*VLOOKUP('Données projet'!$B$11,Paramètres!$A$1:$I$89,3,0)*VLOOKUP('Données projet'!$B$11,Paramètres!$A$1:$I$89,5,0)</f>
        <v>4.5815795601811263E-14</v>
      </c>
      <c r="BF120" s="13">
        <f t="shared" si="91"/>
        <v>7.5374618042508364E-13</v>
      </c>
      <c r="BG120" s="20">
        <f t="shared" si="61"/>
        <v>1.392570441580175E-12</v>
      </c>
      <c r="BH120" s="59">
        <f t="shared" si="62"/>
        <v>285.90394377373826</v>
      </c>
      <c r="BI120" s="59">
        <f ca="1">AVERAGE(OFFSET($BH$3,0,0,'Données projet'!$E$11+1,1))-AVERAGE(OFFSET($H$3,0,0,'Données projet'!$E$11+1,1))</f>
        <v>377.91408971696819</v>
      </c>
      <c r="BJ120" s="59">
        <f t="shared" si="92"/>
        <v>321.68797596002366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90.542414525778028</v>
      </c>
      <c r="BQ120" s="21">
        <f>EXP(-LN(2)/25)*BQ119+(1-EXP(-LN(2)/25))/(LN(2)/25)*Calculateur!BL120*Calculateur!BN120*VLOOKUP('Données projet'!$B$11,Paramètres!$A$1:$I$89,3,0)*0.475*44/12</f>
        <v>23.499717632715903</v>
      </c>
      <c r="BR120" s="21">
        <f>EXP(-LN(2)/2)*BR119+(1-EXP(-LN(2)/2))/(LN(2)/2)*BL120*BO120*VLOOKUP('Données projet'!$B$11,Paramètres!$A$1:$I$89,3,0)*0.475*44/12</f>
        <v>1.93317826064159E-4</v>
      </c>
      <c r="BS120" s="22">
        <f t="shared" si="63"/>
        <v>114.04232547631999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67.973802847382785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67.973802847382785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67.973802847382785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67.973802847382785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67.973802847382785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67.973802847382785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67.973802847382785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3.14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11.513333333333334</v>
      </c>
      <c r="H121" s="67">
        <f t="shared" si="56"/>
        <v>210.61333333333332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68.008952838082479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1.064108801074326E-13</v>
      </c>
      <c r="P121" s="13">
        <f t="shared" si="87"/>
        <v>1.5870730813698654E-12</v>
      </c>
      <c r="Q121" s="20">
        <f t="shared" si="107"/>
        <v>2.9494845662396269E-12</v>
      </c>
      <c r="R121" s="59">
        <f t="shared" si="55"/>
        <v>286.03282707297205</v>
      </c>
      <c r="S121" s="59">
        <f ca="1">AVERAGE(OFFSET($R$3,0,0,'Données projet'!$E$9+1,1))-AVERAGE(OFFSET($H$3,0,0,'Données projet'!$E$9+1,1))</f>
        <v>302.99089313578685</v>
      </c>
      <c r="T121" s="59">
        <f t="shared" si="88"/>
        <v>335.51949678160906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30.592597683723866</v>
      </c>
      <c r="AA121" s="21">
        <f>EXP(-LN(2)/25)*AA120+(1-EXP(-LN(2)/25))/(LN(2)/25)*Calculateur!V121*Calculateur!X121*VLOOKUP('Données projet'!$B$9,Paramètres!$A$1:$I$89,3,0)*0.475*44/12</f>
        <v>9.1749848625372508</v>
      </c>
      <c r="AB121" s="21">
        <f>EXP(-LN(2)/2)*AB120+(1-EXP(-LN(2)/2))/(LN(2)/2)*V121*Y121*VLOOKUP('Données projet'!$B$9,Paramètres!$A$1:$I$89,3,0)*0.475*44/12</f>
        <v>9.4712154007426064E-9</v>
      </c>
      <c r="AC121" s="22">
        <f t="shared" si="57"/>
        <v>39.767582555732332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68.008952838082479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68.008952838082479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1.1368683772161603E-13</v>
      </c>
      <c r="BE121" s="13">
        <f>BD121*VLOOKUP('Données projet'!$B$11,Paramètres!$A$1:$I$89,3,0)*VLOOKUP('Données projet'!$B$11,Paramètres!$A$1:$I$89,5,0)</f>
        <v>4.5815795601811263E-14</v>
      </c>
      <c r="BF121" s="13">
        <f t="shared" si="91"/>
        <v>7.5374618042508364E-13</v>
      </c>
      <c r="BG121" s="20">
        <f t="shared" si="61"/>
        <v>1.392570441580175E-12</v>
      </c>
      <c r="BH121" s="59">
        <f t="shared" si="62"/>
        <v>286.03282707297046</v>
      </c>
      <c r="BI121" s="59">
        <f ca="1">AVERAGE(OFFSET($BH$3,0,0,'Données projet'!$E$11+1,1))-AVERAGE(OFFSET($H$3,0,0,'Données projet'!$E$11+1,1))</f>
        <v>377.91408971696819</v>
      </c>
      <c r="BJ121" s="59">
        <f t="shared" si="92"/>
        <v>321.68797596002366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88.766933002347329</v>
      </c>
      <c r="BQ121" s="21">
        <f>EXP(-LN(2)/25)*BQ120+(1-EXP(-LN(2)/25))/(LN(2)/25)*Calculateur!BL121*Calculateur!BN121*VLOOKUP('Données projet'!$B$11,Paramètres!$A$1:$I$89,3,0)*0.475*44/12</f>
        <v>22.857116618252846</v>
      </c>
      <c r="BR121" s="21">
        <f>EXP(-LN(2)/2)*BR120+(1-EXP(-LN(2)/2))/(LN(2)/2)*BL121*BO121*VLOOKUP('Données projet'!$B$11,Paramètres!$A$1:$I$89,3,0)*0.475*44/12</f>
        <v>1.3669634573420833E-4</v>
      </c>
      <c r="BS121" s="22">
        <f t="shared" si="63"/>
        <v>111.62418631694591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68.008952838082479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68.008952838082479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68.008952838082479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68.008952838082479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68.008952838082479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68.008952838082479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68.008952838082479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3.14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11.513333333333334</v>
      </c>
      <c r="H122" s="67">
        <f t="shared" si="56"/>
        <v>210.61333333333332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68.043493055027142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1.064108801074326E-13</v>
      </c>
      <c r="P122" s="13">
        <f t="shared" si="87"/>
        <v>1.5870730813698654E-12</v>
      </c>
      <c r="Q122" s="20">
        <f t="shared" si="107"/>
        <v>2.9494845662396269E-12</v>
      </c>
      <c r="R122" s="59">
        <f t="shared" si="55"/>
        <v>286.15947453510245</v>
      </c>
      <c r="S122" s="59">
        <f ca="1">AVERAGE(OFFSET($R$3,0,0,'Données projet'!$E$9+1,1))-AVERAGE(OFFSET($H$3,0,0,'Données projet'!$E$9+1,1))</f>
        <v>302.99089313578685</v>
      </c>
      <c r="T122" s="59">
        <f t="shared" si="88"/>
        <v>335.51949678160906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29.992695502788141</v>
      </c>
      <c r="AA122" s="21">
        <f>EXP(-LN(2)/25)*AA121+(1-EXP(-LN(2)/25))/(LN(2)/25)*Calculateur!V122*Calculateur!X122*VLOOKUP('Données projet'!$B$9,Paramètres!$A$1:$I$89,3,0)*0.475*44/12</f>
        <v>8.9240944189796849</v>
      </c>
      <c r="AB122" s="21">
        <f>EXP(-LN(2)/2)*AB121+(1-EXP(-LN(2)/2))/(LN(2)/2)*V122*Y122*VLOOKUP('Données projet'!$B$9,Paramètres!$A$1:$I$89,3,0)*0.475*44/12</f>
        <v>6.6971606359435613E-9</v>
      </c>
      <c r="AC122" s="22">
        <f t="shared" si="57"/>
        <v>38.916789928464993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68.043493055027142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68.043493055027142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1.1368683772161603E-13</v>
      </c>
      <c r="BE122" s="13">
        <f>BD122*VLOOKUP('Données projet'!$B$11,Paramètres!$A$1:$I$89,3,0)*VLOOKUP('Données projet'!$B$11,Paramètres!$A$1:$I$89,5,0)</f>
        <v>4.5815795601811263E-14</v>
      </c>
      <c r="BF122" s="13">
        <f t="shared" si="91"/>
        <v>7.5374618042508364E-13</v>
      </c>
      <c r="BG122" s="20">
        <f t="shared" si="61"/>
        <v>1.392570441580175E-12</v>
      </c>
      <c r="BH122" s="59">
        <f t="shared" si="62"/>
        <v>286.15947453510086</v>
      </c>
      <c r="BI122" s="59">
        <f ca="1">AVERAGE(OFFSET($BH$3,0,0,'Données projet'!$E$11+1,1))-AVERAGE(OFFSET($H$3,0,0,'Données projet'!$E$11+1,1))</f>
        <v>377.91408971696819</v>
      </c>
      <c r="BJ122" s="59">
        <f t="shared" si="92"/>
        <v>321.68797596002366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87.026267588654306</v>
      </c>
      <c r="BQ122" s="21">
        <f>EXP(-LN(2)/25)*BQ121+(1-EXP(-LN(2)/25))/(LN(2)/25)*Calculateur!BL122*Calculateur!BN122*VLOOKUP('Données projet'!$B$11,Paramètres!$A$1:$I$89,3,0)*0.475*44/12</f>
        <v>22.232087562323198</v>
      </c>
      <c r="BR122" s="21">
        <f>EXP(-LN(2)/2)*BR121+(1-EXP(-LN(2)/2))/(LN(2)/2)*BL122*BO122*VLOOKUP('Données projet'!$B$11,Paramètres!$A$1:$I$89,3,0)*0.475*44/12</f>
        <v>9.6658913032079502E-5</v>
      </c>
      <c r="BS122" s="22">
        <f t="shared" si="63"/>
        <v>109.25845180989054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68.043493055027142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68.043493055027142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68.043493055027142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68.043493055027142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68.043493055027142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68.043493055027142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68.043493055027142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3.14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11.513333333333334</v>
      </c>
      <c r="H123" s="67">
        <f t="shared" si="56"/>
        <v>210.61333333333332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68.077434076428176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1.064108801074326E-13</v>
      </c>
      <c r="P123" s="13">
        <f t="shared" si="87"/>
        <v>1.5870730813698654E-12</v>
      </c>
      <c r="Q123" s="20">
        <f t="shared" si="107"/>
        <v>2.9494845662396269E-12</v>
      </c>
      <c r="R123" s="59">
        <f t="shared" si="55"/>
        <v>286.28392494690627</v>
      </c>
      <c r="S123" s="59">
        <f ca="1">AVERAGE(OFFSET($R$3,0,0,'Données projet'!$E$9+1,1))-AVERAGE(OFFSET($H$3,0,0,'Données projet'!$E$9+1,1))</f>
        <v>302.99089313578685</v>
      </c>
      <c r="T123" s="59">
        <f t="shared" si="88"/>
        <v>335.51949678160906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29.404557037716366</v>
      </c>
      <c r="AA123" s="21">
        <f>EXP(-LN(2)/25)*AA122+(1-EXP(-LN(2)/25))/(LN(2)/25)*Calculateur!V123*Calculateur!X123*VLOOKUP('Données projet'!$B$9,Paramètres!$A$1:$I$89,3,0)*0.475*44/12</f>
        <v>8.6800645877949556</v>
      </c>
      <c r="AB123" s="21">
        <f>EXP(-LN(2)/2)*AB122+(1-EXP(-LN(2)/2))/(LN(2)/2)*V123*Y123*VLOOKUP('Données projet'!$B$9,Paramètres!$A$1:$I$89,3,0)*0.475*44/12</f>
        <v>4.7356077003713032E-9</v>
      </c>
      <c r="AC123" s="22">
        <f t="shared" si="57"/>
        <v>38.084621630246929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68.077434076428176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68.077434076428176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1.1368683772161603E-13</v>
      </c>
      <c r="BE123" s="13">
        <f>BD123*VLOOKUP('Données projet'!$B$11,Paramètres!$A$1:$I$89,3,0)*VLOOKUP('Données projet'!$B$11,Paramètres!$A$1:$I$89,5,0)</f>
        <v>4.5815795601811263E-14</v>
      </c>
      <c r="BF123" s="13">
        <f t="shared" si="91"/>
        <v>7.5374618042508364E-13</v>
      </c>
      <c r="BG123" s="20">
        <f t="shared" si="61"/>
        <v>1.392570441580175E-12</v>
      </c>
      <c r="BH123" s="59">
        <f t="shared" si="62"/>
        <v>286.28392494690468</v>
      </c>
      <c r="BI123" s="59">
        <f ca="1">AVERAGE(OFFSET($BH$3,0,0,'Données projet'!$E$11+1,1))-AVERAGE(OFFSET($H$3,0,0,'Données projet'!$E$11+1,1))</f>
        <v>377.91408971696819</v>
      </c>
      <c r="BJ123" s="59">
        <f t="shared" si="92"/>
        <v>321.68797596002366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85.319735562022728</v>
      </c>
      <c r="BQ123" s="21">
        <f>EXP(-LN(2)/25)*BQ122+(1-EXP(-LN(2)/25))/(LN(2)/25)*Calculateur!BL123*Calculateur!BN123*VLOOKUP('Données projet'!$B$11,Paramètres!$A$1:$I$89,3,0)*0.475*44/12</f>
        <v>21.624149958796796</v>
      </c>
      <c r="BR123" s="21">
        <f>EXP(-LN(2)/2)*BR122+(1-EXP(-LN(2)/2))/(LN(2)/2)*BL123*BO123*VLOOKUP('Données projet'!$B$11,Paramètres!$A$1:$I$89,3,0)*0.475*44/12</f>
        <v>6.8348172867104166E-5</v>
      </c>
      <c r="BS123" s="22">
        <f t="shared" si="63"/>
        <v>106.94395386899238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68.077434076428176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68.077434076428176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68.077434076428176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68.077434076428176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68.077434076428176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68.077434076428176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68.077434076428176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3.14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11.513333333333334</v>
      </c>
      <c r="H124" s="67">
        <f t="shared" si="56"/>
        <v>210.61333333333332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68.110786296988664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1.064108801074326E-13</v>
      </c>
      <c r="P124" s="13">
        <f t="shared" si="87"/>
        <v>1.5870730813698654E-12</v>
      </c>
      <c r="Q124" s="20">
        <f t="shared" si="107"/>
        <v>2.9494845662396269E-12</v>
      </c>
      <c r="R124" s="59">
        <f t="shared" si="55"/>
        <v>286.40621642229473</v>
      </c>
      <c r="S124" s="59">
        <f ca="1">AVERAGE(OFFSET($R$3,0,0,'Données projet'!$E$9+1,1))-AVERAGE(OFFSET($H$3,0,0,'Données projet'!$E$9+1,1))</f>
        <v>302.99089313578685</v>
      </c>
      <c r="T124" s="59">
        <f t="shared" si="88"/>
        <v>335.51949678160906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28.827951609215607</v>
      </c>
      <c r="AA124" s="21">
        <f>EXP(-LN(2)/25)*AA123+(1-EXP(-LN(2)/25))/(LN(2)/25)*Calculateur!V124*Calculateur!X124*VLOOKUP('Données projet'!$B$9,Paramètres!$A$1:$I$89,3,0)*0.475*44/12</f>
        <v>8.4427077651769444</v>
      </c>
      <c r="AB124" s="21">
        <f>EXP(-LN(2)/2)*AB123+(1-EXP(-LN(2)/2))/(LN(2)/2)*V124*Y124*VLOOKUP('Données projet'!$B$9,Paramètres!$A$1:$I$89,3,0)*0.475*44/12</f>
        <v>3.3485803179717807E-9</v>
      </c>
      <c r="AC124" s="22">
        <f t="shared" si="57"/>
        <v>37.270659377741133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68.110786296988664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68.110786296988664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1.1368683772161603E-13</v>
      </c>
      <c r="BE124" s="13">
        <f>BD124*VLOOKUP('Données projet'!$B$11,Paramètres!$A$1:$I$89,3,0)*VLOOKUP('Données projet'!$B$11,Paramètres!$A$1:$I$89,5,0)</f>
        <v>4.5815795601811263E-14</v>
      </c>
      <c r="BF124" s="13">
        <f t="shared" si="91"/>
        <v>7.5374618042508364E-13</v>
      </c>
      <c r="BG124" s="20">
        <f t="shared" si="61"/>
        <v>1.392570441580175E-12</v>
      </c>
      <c r="BH124" s="59">
        <f t="shared" si="62"/>
        <v>286.40621642229314</v>
      </c>
      <c r="BI124" s="59">
        <f ca="1">AVERAGE(OFFSET($BH$3,0,0,'Données projet'!$E$11+1,1))-AVERAGE(OFFSET($H$3,0,0,'Données projet'!$E$11+1,1))</f>
        <v>377.91408971696819</v>
      </c>
      <c r="BJ124" s="59">
        <f t="shared" si="92"/>
        <v>321.68797596002366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83.646667587551647</v>
      </c>
      <c r="BQ124" s="21">
        <f>EXP(-LN(2)/25)*BQ123+(1-EXP(-LN(2)/25))/(LN(2)/25)*Calculateur!BL124*Calculateur!BN124*VLOOKUP('Données projet'!$B$11,Paramètres!$A$1:$I$89,3,0)*0.475*44/12</f>
        <v>21.032836441008875</v>
      </c>
      <c r="BR124" s="21">
        <f>EXP(-LN(2)/2)*BR123+(1-EXP(-LN(2)/2))/(LN(2)/2)*BL124*BO124*VLOOKUP('Données projet'!$B$11,Paramètres!$A$1:$I$89,3,0)*0.475*44/12</f>
        <v>4.8329456516039751E-5</v>
      </c>
      <c r="BS124" s="22">
        <f t="shared" si="63"/>
        <v>104.67955235801705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68.110786296988664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68.110786296988664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68.110786296988664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68.110786296988664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68.110786296988664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68.110786296988664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68.110786296988664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3.14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11.513333333333334</v>
      </c>
      <c r="H125" s="67">
        <f t="shared" si="56"/>
        <v>210.61333333333332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68.143559931086827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1.064108801074326E-13</v>
      </c>
      <c r="P125" s="13">
        <f t="shared" si="87"/>
        <v>1.5870730813698654E-12</v>
      </c>
      <c r="Q125" s="20">
        <f t="shared" si="107"/>
        <v>2.9494845662396269E-12</v>
      </c>
      <c r="R125" s="59">
        <f t="shared" si="55"/>
        <v>286.52638641398795</v>
      </c>
      <c r="S125" s="59">
        <f ca="1">AVERAGE(OFFSET($R$3,0,0,'Données projet'!$E$9+1,1))-AVERAGE(OFFSET($H$3,0,0,'Données projet'!$E$9+1,1))</f>
        <v>302.99089313578685</v>
      </c>
      <c r="T125" s="59">
        <f t="shared" si="88"/>
        <v>335.51949678160906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28.262653061473163</v>
      </c>
      <c r="AA125" s="21">
        <f>EXP(-LN(2)/25)*AA124+(1-EXP(-LN(2)/25))/(LN(2)/25)*Calculateur!V125*Calculateur!X125*VLOOKUP('Données projet'!$B$9,Paramètres!$A$1:$I$89,3,0)*0.475*44/12</f>
        <v>8.2118414773554758</v>
      </c>
      <c r="AB125" s="21">
        <f>EXP(-LN(2)/2)*AB124+(1-EXP(-LN(2)/2))/(LN(2)/2)*V125*Y125*VLOOKUP('Données projet'!$B$9,Paramètres!$A$1:$I$89,3,0)*0.475*44/12</f>
        <v>2.3678038501856516E-9</v>
      </c>
      <c r="AC125" s="22">
        <f t="shared" si="57"/>
        <v>36.474494541196442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68.143559931086827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68.143559931086827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1.1368683772161603E-13</v>
      </c>
      <c r="BE125" s="13">
        <f>BD125*VLOOKUP('Données projet'!$B$11,Paramètres!$A$1:$I$89,3,0)*VLOOKUP('Données projet'!$B$11,Paramètres!$A$1:$I$89,5,0)</f>
        <v>4.5815795601811263E-14</v>
      </c>
      <c r="BF125" s="13">
        <f t="shared" si="91"/>
        <v>7.5374618042508364E-13</v>
      </c>
      <c r="BG125" s="20">
        <f t="shared" si="61"/>
        <v>1.392570441580175E-12</v>
      </c>
      <c r="BH125" s="59">
        <f t="shared" si="62"/>
        <v>286.52638641398636</v>
      </c>
      <c r="BI125" s="59">
        <f ca="1">AVERAGE(OFFSET($BH$3,0,0,'Données projet'!$E$11+1,1))-AVERAGE(OFFSET($H$3,0,0,'Données projet'!$E$11+1,1))</f>
        <v>377.91408971696819</v>
      </c>
      <c r="BJ125" s="59">
        <f t="shared" si="92"/>
        <v>321.68797596002366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82.00640745558924</v>
      </c>
      <c r="BQ125" s="21">
        <f>EXP(-LN(2)/25)*BQ124+(1-EXP(-LN(2)/25))/(LN(2)/25)*Calculateur!BL125*Calculateur!BN125*VLOOKUP('Données projet'!$B$11,Paramètres!$A$1:$I$89,3,0)*0.475*44/12</f>
        <v>20.457692422460692</v>
      </c>
      <c r="BR125" s="21">
        <f>EXP(-LN(2)/2)*BR124+(1-EXP(-LN(2)/2))/(LN(2)/2)*BL125*BO125*VLOOKUP('Données projet'!$B$11,Paramètres!$A$1:$I$89,3,0)*0.475*44/12</f>
        <v>3.4174086433552083E-5</v>
      </c>
      <c r="BS125" s="22">
        <f t="shared" si="63"/>
        <v>102.46413405213637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68.143559931086827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68.143559931086827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68.143559931086827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68.143559931086827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68.143559931086827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68.143559931086827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68.143559931086827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3.14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11.513333333333334</v>
      </c>
      <c r="H126" s="67">
        <f t="shared" si="56"/>
        <v>210.61333333333332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68.175765015904247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1.064108801074326E-13</v>
      </c>
      <c r="P126" s="13">
        <f t="shared" si="87"/>
        <v>1.5870730813698654E-12</v>
      </c>
      <c r="Q126" s="20">
        <f t="shared" si="107"/>
        <v>2.9494845662396269E-12</v>
      </c>
      <c r="R126" s="59">
        <f t="shared" si="55"/>
        <v>286.64447172498518</v>
      </c>
      <c r="S126" s="59">
        <f ca="1">AVERAGE(OFFSET($R$3,0,0,'Données projet'!$E$9+1,1))-AVERAGE(OFFSET($H$3,0,0,'Données projet'!$E$9+1,1))</f>
        <v>302.99089313578685</v>
      </c>
      <c r="T126" s="59">
        <f t="shared" si="88"/>
        <v>335.51949678160906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27.708439673453878</v>
      </c>
      <c r="AA126" s="21">
        <f>EXP(-LN(2)/25)*AA125+(1-EXP(-LN(2)/25))/(LN(2)/25)*Calculateur!V126*Calculateur!X126*VLOOKUP('Données projet'!$B$9,Paramètres!$A$1:$I$89,3,0)*0.475*44/12</f>
        <v>7.9872882403152152</v>
      </c>
      <c r="AB126" s="21">
        <f>EXP(-LN(2)/2)*AB125+(1-EXP(-LN(2)/2))/(LN(2)/2)*V126*Y126*VLOOKUP('Données projet'!$B$9,Paramètres!$A$1:$I$89,3,0)*0.475*44/12</f>
        <v>1.6742901589858903E-9</v>
      </c>
      <c r="AC126" s="22">
        <f t="shared" si="57"/>
        <v>35.695727915443378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68.175765015904247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68.175765015904247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1.1368683772161603E-13</v>
      </c>
      <c r="BE126" s="13">
        <f>BD126*VLOOKUP('Données projet'!$B$11,Paramètres!$A$1:$I$89,3,0)*VLOOKUP('Données projet'!$B$11,Paramètres!$A$1:$I$89,5,0)</f>
        <v>4.5815795601811263E-14</v>
      </c>
      <c r="BF126" s="13">
        <f t="shared" si="91"/>
        <v>7.5374618042508364E-13</v>
      </c>
      <c r="BG126" s="20">
        <f t="shared" si="61"/>
        <v>1.392570441580175E-12</v>
      </c>
      <c r="BH126" s="59">
        <f t="shared" si="62"/>
        <v>286.64447172498359</v>
      </c>
      <c r="BI126" s="59">
        <f ca="1">AVERAGE(OFFSET($BH$3,0,0,'Données projet'!$E$11+1,1))-AVERAGE(OFFSET($H$3,0,0,'Données projet'!$E$11+1,1))</f>
        <v>377.91408971696819</v>
      </c>
      <c r="BJ126" s="59">
        <f t="shared" si="92"/>
        <v>321.68797596002366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80.398311824354721</v>
      </c>
      <c r="BQ126" s="21">
        <f>EXP(-LN(2)/25)*BQ125+(1-EXP(-LN(2)/25))/(LN(2)/25)*Calculateur!BL126*Calculateur!BN126*VLOOKUP('Données projet'!$B$11,Paramètres!$A$1:$I$89,3,0)*0.475*44/12</f>
        <v>19.898275747345217</v>
      </c>
      <c r="BR126" s="21">
        <f>EXP(-LN(2)/2)*BR125+(1-EXP(-LN(2)/2))/(LN(2)/2)*BL126*BO126*VLOOKUP('Données projet'!$B$11,Paramètres!$A$1:$I$89,3,0)*0.475*44/12</f>
        <v>2.4164728258019875E-5</v>
      </c>
      <c r="BS126" s="22">
        <f t="shared" si="63"/>
        <v>100.2966117364282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68.175765015904247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68.175765015904247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68.175765015904247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68.175765015904247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68.175765015904247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68.175765015904247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68.175765015904247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3.14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11.513333333333334</v>
      </c>
      <c r="H127" s="67">
        <f t="shared" si="56"/>
        <v>210.61333333333332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68.207411414499873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1.064108801074326E-13</v>
      </c>
      <c r="P127" s="13">
        <f t="shared" si="87"/>
        <v>1.5870730813698654E-12</v>
      </c>
      <c r="Q127" s="20">
        <f t="shared" si="107"/>
        <v>2.9494845662396269E-12</v>
      </c>
      <c r="R127" s="59">
        <f t="shared" si="55"/>
        <v>286.76050851983581</v>
      </c>
      <c r="S127" s="59">
        <f ca="1">AVERAGE(OFFSET($R$3,0,0,'Données projet'!$E$9+1,1))-AVERAGE(OFFSET($H$3,0,0,'Données projet'!$E$9+1,1))</f>
        <v>302.99089313578685</v>
      </c>
      <c r="T127" s="59">
        <f t="shared" si="88"/>
        <v>335.51949678160906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27.165094071936863</v>
      </c>
      <c r="AA127" s="21">
        <f>EXP(-LN(2)/25)*AA126+(1-EXP(-LN(2)/25))/(LN(2)/25)*Calculateur!V127*Calculateur!X127*VLOOKUP('Données projet'!$B$9,Paramètres!$A$1:$I$89,3,0)*0.475*44/12</f>
        <v>7.7688754233505621</v>
      </c>
      <c r="AB127" s="21">
        <f>EXP(-LN(2)/2)*AB126+(1-EXP(-LN(2)/2))/(LN(2)/2)*V127*Y127*VLOOKUP('Données projet'!$B$9,Paramètres!$A$1:$I$89,3,0)*0.475*44/12</f>
        <v>1.1839019250928258E-9</v>
      </c>
      <c r="AC127" s="22">
        <f t="shared" si="57"/>
        <v>34.933969496471327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68.207411414499873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68.207411414499873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1.1368683772161603E-13</v>
      </c>
      <c r="BE127" s="13">
        <f>BD127*VLOOKUP('Données projet'!$B$11,Paramètres!$A$1:$I$89,3,0)*VLOOKUP('Données projet'!$B$11,Paramètres!$A$1:$I$89,5,0)</f>
        <v>4.5815795601811263E-14</v>
      </c>
      <c r="BF127" s="13">
        <f t="shared" si="91"/>
        <v>7.5374618042508364E-13</v>
      </c>
      <c r="BG127" s="20">
        <f t="shared" si="61"/>
        <v>1.392570441580175E-12</v>
      </c>
      <c r="BH127" s="59">
        <f t="shared" si="62"/>
        <v>286.76050851983422</v>
      </c>
      <c r="BI127" s="59">
        <f ca="1">AVERAGE(OFFSET($BH$3,0,0,'Données projet'!$E$11+1,1))-AVERAGE(OFFSET($H$3,0,0,'Données projet'!$E$11+1,1))</f>
        <v>377.91408971696819</v>
      </c>
      <c r="BJ127" s="59">
        <f t="shared" si="92"/>
        <v>321.68797596002366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78.821749967607218</v>
      </c>
      <c r="BQ127" s="21">
        <f>EXP(-LN(2)/25)*BQ126+(1-EXP(-LN(2)/25))/(LN(2)/25)*Calculateur!BL127*Calculateur!BN127*VLOOKUP('Données projet'!$B$11,Paramètres!$A$1:$I$89,3,0)*0.475*44/12</f>
        <v>19.354156350629218</v>
      </c>
      <c r="BR127" s="21">
        <f>EXP(-LN(2)/2)*BR126+(1-EXP(-LN(2)/2))/(LN(2)/2)*BL127*BO127*VLOOKUP('Données projet'!$B$11,Paramètres!$A$1:$I$89,3,0)*0.475*44/12</f>
        <v>1.7087043216776042E-5</v>
      </c>
      <c r="BS127" s="22">
        <f t="shared" si="63"/>
        <v>98.175923405279647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68.207411414499873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68.207411414499873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68.207411414499873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68.207411414499873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68.207411414499873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68.207411414499873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68.207411414499873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3.14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11.513333333333334</v>
      </c>
      <c r="H128" s="67">
        <f t="shared" si="56"/>
        <v>210.61333333333332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68.23850881883061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1.064108801074326E-13</v>
      </c>
      <c r="P128" s="13">
        <f t="shared" si="87"/>
        <v>1.5870730813698654E-12</v>
      </c>
      <c r="Q128" s="20">
        <f t="shared" si="107"/>
        <v>2.9494845662396269E-12</v>
      </c>
      <c r="R128" s="59">
        <f t="shared" si="55"/>
        <v>286.87453233571517</v>
      </c>
      <c r="S128" s="59">
        <f ca="1">AVERAGE(OFFSET($R$3,0,0,'Données projet'!$E$9+1,1))-AVERAGE(OFFSET($H$3,0,0,'Données projet'!$E$9+1,1))</f>
        <v>302.99089313578685</v>
      </c>
      <c r="T128" s="59">
        <f t="shared" si="88"/>
        <v>335.51949678160906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26.632403146257506</v>
      </c>
      <c r="AA128" s="21">
        <f>EXP(-LN(2)/25)*AA127+(1-EXP(-LN(2)/25))/(LN(2)/25)*Calculateur!V128*Calculateur!X128*VLOOKUP('Données projet'!$B$9,Paramètres!$A$1:$I$89,3,0)*0.475*44/12</f>
        <v>7.5564351163516381</v>
      </c>
      <c r="AB128" s="21">
        <f>EXP(-LN(2)/2)*AB127+(1-EXP(-LN(2)/2))/(LN(2)/2)*V128*Y128*VLOOKUP('Données projet'!$B$9,Paramètres!$A$1:$I$89,3,0)*0.475*44/12</f>
        <v>8.3714507949294516E-10</v>
      </c>
      <c r="AC128" s="22">
        <f t="shared" si="57"/>
        <v>34.188838263446293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68.23850881883061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68.23850881883061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1.1368683772161603E-13</v>
      </c>
      <c r="BE128" s="13">
        <f>BD128*VLOOKUP('Données projet'!$B$11,Paramètres!$A$1:$I$89,3,0)*VLOOKUP('Données projet'!$B$11,Paramètres!$A$1:$I$89,5,0)</f>
        <v>4.5815795601811263E-14</v>
      </c>
      <c r="BF128" s="13">
        <f t="shared" si="91"/>
        <v>7.5374618042508364E-13</v>
      </c>
      <c r="BG128" s="20">
        <f t="shared" si="61"/>
        <v>1.392570441580175E-12</v>
      </c>
      <c r="BH128" s="59">
        <f t="shared" si="62"/>
        <v>286.87453233571358</v>
      </c>
      <c r="BI128" s="59">
        <f ca="1">AVERAGE(OFFSET($BH$3,0,0,'Données projet'!$E$11+1,1))-AVERAGE(OFFSET($H$3,0,0,'Données projet'!$E$11+1,1))</f>
        <v>377.91408971696819</v>
      </c>
      <c r="BJ128" s="59">
        <f t="shared" si="92"/>
        <v>321.68797596002366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77.276103527262762</v>
      </c>
      <c r="BQ128" s="21">
        <f>EXP(-LN(2)/25)*BQ127+(1-EXP(-LN(2)/25))/(LN(2)/25)*Calculateur!BL128*Calculateur!BN128*VLOOKUP('Données projet'!$B$11,Paramètres!$A$1:$I$89,3,0)*0.475*44/12</f>
        <v>18.824915927430414</v>
      </c>
      <c r="BR128" s="21">
        <f>EXP(-LN(2)/2)*BR127+(1-EXP(-LN(2)/2))/(LN(2)/2)*BL128*BO128*VLOOKUP('Données projet'!$B$11,Paramètres!$A$1:$I$89,3,0)*0.475*44/12</f>
        <v>1.2082364129009938E-5</v>
      </c>
      <c r="BS128" s="22">
        <f t="shared" si="63"/>
        <v>96.101031537057295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68.23850881883061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68.23850881883061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68.23850881883061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68.23850881883061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68.23850881883061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68.23850881883061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68.23850881883061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3.14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11.513333333333334</v>
      </c>
      <c r="H129" s="67">
        <f t="shared" si="56"/>
        <v>210.61333333333332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68.269066752719581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1.064108801074326E-13</v>
      </c>
      <c r="P129" s="13">
        <f t="shared" si="87"/>
        <v>1.5870730813698654E-12</v>
      </c>
      <c r="Q129" s="20">
        <f t="shared" si="107"/>
        <v>2.9494845662396269E-12</v>
      </c>
      <c r="R129" s="59">
        <f t="shared" si="55"/>
        <v>286.98657809330808</v>
      </c>
      <c r="S129" s="59">
        <f ca="1">AVERAGE(OFFSET($R$3,0,0,'Données projet'!$E$9+1,1))-AVERAGE(OFFSET($H$3,0,0,'Données projet'!$E$9+1,1))</f>
        <v>302.99089313578685</v>
      </c>
      <c r="T129" s="59">
        <f t="shared" si="88"/>
        <v>335.51949678160906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26.110157964721338</v>
      </c>
      <c r="AA129" s="21">
        <f>EXP(-LN(2)/25)*AA128+(1-EXP(-LN(2)/25))/(LN(2)/25)*Calculateur!V129*Calculateur!X129*VLOOKUP('Données projet'!$B$9,Paramètres!$A$1:$I$89,3,0)*0.475*44/12</f>
        <v>7.3498040007193506</v>
      </c>
      <c r="AB129" s="21">
        <f>EXP(-LN(2)/2)*AB128+(1-EXP(-LN(2)/2))/(LN(2)/2)*V129*Y129*VLOOKUP('Données projet'!$B$9,Paramètres!$A$1:$I$89,3,0)*0.475*44/12</f>
        <v>5.919509625464129E-10</v>
      </c>
      <c r="AC129" s="22">
        <f t="shared" si="57"/>
        <v>33.459961966032644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68.269066752719581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68.269066752719581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1.1368683772161603E-13</v>
      </c>
      <c r="BE129" s="13">
        <f>BD129*VLOOKUP('Données projet'!$B$11,Paramètres!$A$1:$I$89,3,0)*VLOOKUP('Données projet'!$B$11,Paramètres!$A$1:$I$89,5,0)</f>
        <v>4.5815795601811263E-14</v>
      </c>
      <c r="BF129" s="13">
        <f t="shared" si="91"/>
        <v>7.5374618042508364E-13</v>
      </c>
      <c r="BG129" s="20">
        <f t="shared" si="61"/>
        <v>1.392570441580175E-12</v>
      </c>
      <c r="BH129" s="59">
        <f t="shared" si="62"/>
        <v>286.98657809330649</v>
      </c>
      <c r="BI129" s="59">
        <f ca="1">AVERAGE(OFFSET($BH$3,0,0,'Données projet'!$E$11+1,1))-AVERAGE(OFFSET($H$3,0,0,'Données projet'!$E$11+1,1))</f>
        <v>377.91408971696819</v>
      </c>
      <c r="BJ129" s="59">
        <f t="shared" si="92"/>
        <v>321.68797596002366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75.76076627086222</v>
      </c>
      <c r="BQ129" s="21">
        <f>EXP(-LN(2)/25)*BQ128+(1-EXP(-LN(2)/25))/(LN(2)/25)*Calculateur!BL129*Calculateur!BN129*VLOOKUP('Données projet'!$B$11,Paramètres!$A$1:$I$89,3,0)*0.475*44/12</f>
        <v>18.310147611435525</v>
      </c>
      <c r="BR129" s="21">
        <f>EXP(-LN(2)/2)*BR128+(1-EXP(-LN(2)/2))/(LN(2)/2)*BL129*BO129*VLOOKUP('Données projet'!$B$11,Paramètres!$A$1:$I$89,3,0)*0.475*44/12</f>
        <v>8.5435216083880208E-6</v>
      </c>
      <c r="BS129" s="22">
        <f t="shared" si="63"/>
        <v>94.070922425819347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68.269066752719581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68.269066752719581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68.269066752719581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68.269066752719581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68.269066752719581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68.269066752719581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68.269066752719581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3.14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11.513333333333334</v>
      </c>
      <c r="H130" s="67">
        <f t="shared" si="56"/>
        <v>210.61333333333332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68.299094574772894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1.064108801074326E-13</v>
      </c>
      <c r="P130" s="13">
        <f t="shared" si="87"/>
        <v>1.5870730813698654E-12</v>
      </c>
      <c r="Q130" s="20">
        <f t="shared" si="107"/>
        <v>2.9494845662396269E-12</v>
      </c>
      <c r="R130" s="59">
        <f t="shared" si="55"/>
        <v>287.09668010750357</v>
      </c>
      <c r="S130" s="59">
        <f ca="1">AVERAGE(OFFSET($R$3,0,0,'Données projet'!$E$9+1,1))-AVERAGE(OFFSET($H$3,0,0,'Données projet'!$E$9+1,1))</f>
        <v>302.99089313578685</v>
      </c>
      <c r="T130" s="59">
        <f t="shared" si="88"/>
        <v>335.51949678160906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25.598153692656986</v>
      </c>
      <c r="AA130" s="21">
        <f>EXP(-LN(2)/25)*AA129+(1-EXP(-LN(2)/25))/(LN(2)/25)*Calculateur!V130*Calculateur!X130*VLOOKUP('Données projet'!$B$9,Paramètres!$A$1:$I$89,3,0)*0.475*44/12</f>
        <v>7.148823223810286</v>
      </c>
      <c r="AB130" s="21">
        <f>EXP(-LN(2)/2)*AB129+(1-EXP(-LN(2)/2))/(LN(2)/2)*V130*Y130*VLOOKUP('Données projet'!$B$9,Paramètres!$A$1:$I$89,3,0)*0.475*44/12</f>
        <v>4.1857253974647258E-10</v>
      </c>
      <c r="AC130" s="22">
        <f t="shared" si="57"/>
        <v>32.746976916885849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68.299094574772894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68.299094574772894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1.1368683772161603E-13</v>
      </c>
      <c r="BE130" s="13">
        <f>BD130*VLOOKUP('Données projet'!$B$11,Paramètres!$A$1:$I$89,3,0)*VLOOKUP('Données projet'!$B$11,Paramètres!$A$1:$I$89,5,0)</f>
        <v>4.5815795601811263E-14</v>
      </c>
      <c r="BF130" s="13">
        <f t="shared" si="91"/>
        <v>7.5374618042508364E-13</v>
      </c>
      <c r="BG130" s="20">
        <f t="shared" si="61"/>
        <v>1.392570441580175E-12</v>
      </c>
      <c r="BH130" s="59">
        <f t="shared" si="62"/>
        <v>287.09668010750198</v>
      </c>
      <c r="BI130" s="59">
        <f ca="1">AVERAGE(OFFSET($BH$3,0,0,'Données projet'!$E$11+1,1))-AVERAGE(OFFSET($H$3,0,0,'Données projet'!$E$11+1,1))</f>
        <v>377.91408971696819</v>
      </c>
      <c r="BJ130" s="59">
        <f t="shared" si="92"/>
        <v>321.68797596002366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74.275143853795228</v>
      </c>
      <c r="BQ130" s="21">
        <f>EXP(-LN(2)/25)*BQ129+(1-EXP(-LN(2)/25))/(LN(2)/25)*Calculateur!BL130*Calculateur!BN130*VLOOKUP('Données projet'!$B$11,Paramètres!$A$1:$I$89,3,0)*0.475*44/12</f>
        <v>17.809455662112008</v>
      </c>
      <c r="BR130" s="21">
        <f>EXP(-LN(2)/2)*BR129+(1-EXP(-LN(2)/2))/(LN(2)/2)*BL130*BO130*VLOOKUP('Données projet'!$B$11,Paramètres!$A$1:$I$89,3,0)*0.475*44/12</f>
        <v>6.0411820645049689E-6</v>
      </c>
      <c r="BS130" s="22">
        <f t="shared" si="63"/>
        <v>92.08460555708929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68.299094574772894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68.299094574772894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68.299094574772894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68.299094574772894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68.299094574772894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68.299094574772894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68.299094574772894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3.14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11.513333333333334</v>
      </c>
      <c r="H131" s="67">
        <f t="shared" si="56"/>
        <v>210.61333333333332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68.328601481245727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1.064108801074326E-13</v>
      </c>
      <c r="P131" s="13">
        <f t="shared" si="87"/>
        <v>1.5870730813698654E-12</v>
      </c>
      <c r="Q131" s="20">
        <f t="shared" ref="Q131:Q153" si="108">(O131+P131)*0.475*44/12</f>
        <v>2.9494845662396269E-12</v>
      </c>
      <c r="R131" s="59">
        <f t="shared" ref="R131:R194" si="109">Q131+(I131+J131)*44/12</f>
        <v>287.20487209790394</v>
      </c>
      <c r="S131" s="59">
        <f ca="1">AVERAGE(OFFSET($R$3,0,0,'Données projet'!$E$9+1,1))-AVERAGE(OFFSET($H$3,0,0,'Données projet'!$E$9+1,1))</f>
        <v>302.99089313578685</v>
      </c>
      <c r="T131" s="59">
        <f t="shared" si="88"/>
        <v>335.51949678160906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25.096189512076048</v>
      </c>
      <c r="AA131" s="21">
        <f>EXP(-LN(2)/25)*AA130+(1-EXP(-LN(2)/25))/(LN(2)/25)*Calculateur!V131*Calculateur!X131*VLOOKUP('Données projet'!$B$9,Paramètres!$A$1:$I$89,3,0)*0.475*44/12</f>
        <v>6.953338276814919</v>
      </c>
      <c r="AB131" s="21">
        <f>EXP(-LN(2)/2)*AB130+(1-EXP(-LN(2)/2))/(LN(2)/2)*V131*Y131*VLOOKUP('Données projet'!$B$9,Paramètres!$A$1:$I$89,3,0)*0.475*44/12</f>
        <v>2.9597548127320645E-10</v>
      </c>
      <c r="AC131" s="22">
        <f t="shared" si="57"/>
        <v>32.049527789186946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68.328601481245727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68.328601481245727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1.1368683772161603E-13</v>
      </c>
      <c r="BE131" s="13">
        <f>BD131*VLOOKUP('Données projet'!$B$11,Paramètres!$A$1:$I$89,3,0)*VLOOKUP('Données projet'!$B$11,Paramètres!$A$1:$I$89,5,0)</f>
        <v>4.5815795601811263E-14</v>
      </c>
      <c r="BF131" s="13">
        <f t="shared" si="91"/>
        <v>7.5374618042508364E-13</v>
      </c>
      <c r="BG131" s="20">
        <f t="shared" si="61"/>
        <v>1.392570441580175E-12</v>
      </c>
      <c r="BH131" s="59">
        <f t="shared" si="62"/>
        <v>287.20487209790235</v>
      </c>
      <c r="BI131" s="59">
        <f ca="1">AVERAGE(OFFSET($BH$3,0,0,'Données projet'!$E$11+1,1))-AVERAGE(OFFSET($H$3,0,0,'Données projet'!$E$11+1,1))</f>
        <v>377.91408971696819</v>
      </c>
      <c r="BJ131" s="59">
        <f t="shared" si="92"/>
        <v>321.68797596002366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72.818653586186713</v>
      </c>
      <c r="BQ131" s="21">
        <f>EXP(-LN(2)/25)*BQ130+(1-EXP(-LN(2)/25))/(LN(2)/25)*Calculateur!BL131*Calculateur!BN131*VLOOKUP('Données projet'!$B$11,Paramètres!$A$1:$I$89,3,0)*0.475*44/12</f>
        <v>17.322455160472984</v>
      </c>
      <c r="BR131" s="21">
        <f>EXP(-LN(2)/2)*BR130+(1-EXP(-LN(2)/2))/(LN(2)/2)*BL131*BO131*VLOOKUP('Données projet'!$B$11,Paramètres!$A$1:$I$89,3,0)*0.475*44/12</f>
        <v>4.2717608041940104E-6</v>
      </c>
      <c r="BS131" s="22">
        <f t="shared" si="63"/>
        <v>90.141113018420498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68.328601481245727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68.328601481245727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68.328601481245727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68.328601481245727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68.328601481245727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68.328601481245727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68.328601481245727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3.14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11.513333333333334</v>
      </c>
      <c r="H132" s="67">
        <f t="shared" ref="H132:H195" si="110">(B132+E132+F132)*44/12+(C132+D132)*0.475*44/12</f>
        <v>210.61333333333332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68.357596508858819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1.064108801074326E-13</v>
      </c>
      <c r="P132" s="13">
        <f t="shared" si="87"/>
        <v>1.5870730813698654E-12</v>
      </c>
      <c r="Q132" s="20">
        <f t="shared" si="108"/>
        <v>2.9494845662396269E-12</v>
      </c>
      <c r="R132" s="59">
        <f t="shared" si="109"/>
        <v>287.31118719915196</v>
      </c>
      <c r="S132" s="59">
        <f ca="1">AVERAGE(OFFSET($R$3,0,0,'Données projet'!$E$9+1,1))-AVERAGE(OFFSET($H$3,0,0,'Données projet'!$E$9+1,1))</f>
        <v>302.99089313578685</v>
      </c>
      <c r="T132" s="59">
        <f t="shared" si="88"/>
        <v>335.51949678160906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24.604068542908383</v>
      </c>
      <c r="AA132" s="21">
        <f>EXP(-LN(2)/25)*AA131+(1-EXP(-LN(2)/25))/(LN(2)/25)*Calculateur!V132*Calculateur!X132*VLOOKUP('Données projet'!$B$9,Paramètres!$A$1:$I$89,3,0)*0.475*44/12</f>
        <v>6.763198875975247</v>
      </c>
      <c r="AB132" s="21">
        <f>EXP(-LN(2)/2)*AB131+(1-EXP(-LN(2)/2))/(LN(2)/2)*V132*Y132*VLOOKUP('Données projet'!$B$9,Paramètres!$A$1:$I$89,3,0)*0.475*44/12</f>
        <v>2.0928626987323629E-10</v>
      </c>
      <c r="AC132" s="22">
        <f t="shared" ref="AC132:AC153" si="111">SUM(Z132:AB132)</f>
        <v>31.367267419092915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68.357596508858819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68.357596508858819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1.1368683772161603E-13</v>
      </c>
      <c r="BE132" s="13">
        <f>BD132*VLOOKUP('Données projet'!$B$11,Paramètres!$A$1:$I$89,3,0)*VLOOKUP('Données projet'!$B$11,Paramètres!$A$1:$I$89,5,0)</f>
        <v>4.5815795601811263E-14</v>
      </c>
      <c r="BF132" s="13">
        <f t="shared" si="91"/>
        <v>7.5374618042508364E-13</v>
      </c>
      <c r="BG132" s="20">
        <f t="shared" ref="BG132:BG153" si="115">(BE132+BF132)*0.475*44/12</f>
        <v>1.392570441580175E-12</v>
      </c>
      <c r="BH132" s="59">
        <f t="shared" ref="BH132:BH195" si="116">BG132+(AY132+AZ132)*44/12</f>
        <v>287.31118719915037</v>
      </c>
      <c r="BI132" s="59">
        <f ca="1">AVERAGE(OFFSET($BH$3,0,0,'Données projet'!$E$11+1,1))-AVERAGE(OFFSET($H$3,0,0,'Données projet'!$E$11+1,1))</f>
        <v>377.91408971696819</v>
      </c>
      <c r="BJ132" s="59">
        <f t="shared" si="92"/>
        <v>321.68797596002366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71.390724204354669</v>
      </c>
      <c r="BQ132" s="21">
        <f>EXP(-LN(2)/25)*BQ131+(1-EXP(-LN(2)/25))/(LN(2)/25)*Calculateur!BL132*Calculateur!BN132*VLOOKUP('Données projet'!$B$11,Paramètres!$A$1:$I$89,3,0)*0.475*44/12</f>
        <v>16.848771713161526</v>
      </c>
      <c r="BR132" s="21">
        <f>EXP(-LN(2)/2)*BR131+(1-EXP(-LN(2)/2))/(LN(2)/2)*BL132*BO132*VLOOKUP('Données projet'!$B$11,Paramètres!$A$1:$I$89,3,0)*0.475*44/12</f>
        <v>3.0205910322524844E-6</v>
      </c>
      <c r="BS132" s="22">
        <f t="shared" ref="BS132:BS153" si="117">SUM(BP132:BR132)</f>
        <v>88.239498938107232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68.357596508858819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68.357596508858819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68.357596508858819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68.357596508858819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68.357596508858819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68.357596508858819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68.357596508858819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3.14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11.513333333333334</v>
      </c>
      <c r="H133" s="67">
        <f t="shared" si="110"/>
        <v>210.61333333333332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68.38608853756601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1.064108801074326E-13</v>
      </c>
      <c r="P133" s="13">
        <f t="shared" ref="P133:P196" si="141">EXP(-1.0587+0.8836*LN(O133)+0.284)</f>
        <v>1.5870730813698654E-12</v>
      </c>
      <c r="Q133" s="20">
        <f t="shared" si="108"/>
        <v>2.9494845662396269E-12</v>
      </c>
      <c r="R133" s="59">
        <f t="shared" si="109"/>
        <v>287.41565797107836</v>
      </c>
      <c r="S133" s="59">
        <f ca="1">AVERAGE(OFFSET($R$3,0,0,'Données projet'!$E$9+1,1))-AVERAGE(OFFSET($H$3,0,0,'Données projet'!$E$9+1,1))</f>
        <v>302.99089313578685</v>
      </c>
      <c r="T133" s="59">
        <f t="shared" ref="T133:T196" si="142">$T$3</f>
        <v>335.51949678160906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24.121597765781942</v>
      </c>
      <c r="AA133" s="21">
        <f>EXP(-LN(2)/25)*AA132+(1-EXP(-LN(2)/25))/(LN(2)/25)*Calculateur!V133*Calculateur!X133*VLOOKUP('Données projet'!$B$9,Paramètres!$A$1:$I$89,3,0)*0.475*44/12</f>
        <v>6.5782588470505328</v>
      </c>
      <c r="AB133" s="21">
        <f>EXP(-LN(2)/2)*AB132+(1-EXP(-LN(2)/2))/(LN(2)/2)*V133*Y133*VLOOKUP('Données projet'!$B$9,Paramètres!$A$1:$I$89,3,0)*0.475*44/12</f>
        <v>1.4798774063660323E-10</v>
      </c>
      <c r="AC133" s="22">
        <f t="shared" si="111"/>
        <v>30.699856612980465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68.38608853756601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68.38608853756601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1.1368683772161603E-13</v>
      </c>
      <c r="BE133" s="13">
        <f>BD133*VLOOKUP('Données projet'!$B$11,Paramètres!$A$1:$I$89,3,0)*VLOOKUP('Données projet'!$B$11,Paramètres!$A$1:$I$89,5,0)</f>
        <v>4.5815795601811263E-14</v>
      </c>
      <c r="BF133" s="13">
        <f t="shared" ref="BF133:BF153" si="145">EXP(-1.0587+0.8836*LN(BE133)+0.284)</f>
        <v>7.5374618042508364E-13</v>
      </c>
      <c r="BG133" s="20">
        <f t="shared" si="115"/>
        <v>1.392570441580175E-12</v>
      </c>
      <c r="BH133" s="59">
        <f t="shared" si="116"/>
        <v>287.41565797107677</v>
      </c>
      <c r="BI133" s="59">
        <f ca="1">AVERAGE(OFFSET($BH$3,0,0,'Données projet'!$E$11+1,1))-AVERAGE(OFFSET($H$3,0,0,'Données projet'!$E$11+1,1))</f>
        <v>377.91408971696819</v>
      </c>
      <c r="BJ133" s="59">
        <f t="shared" ref="BJ133:BJ196" si="146">$BJ$3</f>
        <v>321.68797596002366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69.990795646749419</v>
      </c>
      <c r="BQ133" s="21">
        <f>EXP(-LN(2)/25)*BQ132+(1-EXP(-LN(2)/25))/(LN(2)/25)*Calculateur!BL133*Calculateur!BN133*VLOOKUP('Données projet'!$B$11,Paramètres!$A$1:$I$89,3,0)*0.475*44/12</f>
        <v>16.388041164626728</v>
      </c>
      <c r="BR133" s="21">
        <f>EXP(-LN(2)/2)*BR132+(1-EXP(-LN(2)/2))/(LN(2)/2)*BL133*BO133*VLOOKUP('Données projet'!$B$11,Paramètres!$A$1:$I$89,3,0)*0.475*44/12</f>
        <v>2.1358804020970052E-6</v>
      </c>
      <c r="BS133" s="22">
        <f t="shared" si="117"/>
        <v>86.378838947256554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68.38608853756601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68.38608853756601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68.38608853756601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68.38608853756601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68.38608853756601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68.38608853756601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68.38608853756601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3.14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11.513333333333334</v>
      </c>
      <c r="H134" s="67">
        <f t="shared" si="110"/>
        <v>210.61333333333332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68.414086293273755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1.064108801074326E-13</v>
      </c>
      <c r="P134" s="13">
        <f t="shared" si="141"/>
        <v>1.5870730813698654E-12</v>
      </c>
      <c r="Q134" s="20">
        <f t="shared" si="108"/>
        <v>2.9494845662396269E-12</v>
      </c>
      <c r="R134" s="59">
        <f t="shared" si="109"/>
        <v>287.5183164086734</v>
      </c>
      <c r="S134" s="59">
        <f ca="1">AVERAGE(OFFSET($R$3,0,0,'Données projet'!$E$9+1,1))-AVERAGE(OFFSET($H$3,0,0,'Données projet'!$E$9+1,1))</f>
        <v>302.99089313578685</v>
      </c>
      <c r="T134" s="59">
        <f t="shared" si="142"/>
        <v>335.51949678160906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23.648587946316834</v>
      </c>
      <c r="AA134" s="21">
        <f>EXP(-LN(2)/25)*AA133+(1-EXP(-LN(2)/25))/(LN(2)/25)*Calculateur!V134*Calculateur!X134*VLOOKUP('Données projet'!$B$9,Paramètres!$A$1:$I$89,3,0)*0.475*44/12</f>
        <v>6.3983760129423377</v>
      </c>
      <c r="AB134" s="21">
        <f>EXP(-LN(2)/2)*AB133+(1-EXP(-LN(2)/2))/(LN(2)/2)*V134*Y134*VLOOKUP('Données projet'!$B$9,Paramètres!$A$1:$I$89,3,0)*0.475*44/12</f>
        <v>1.0464313493661815E-10</v>
      </c>
      <c r="AC134" s="22">
        <f t="shared" si="111"/>
        <v>30.046963959363815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68.414086293273755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68.414086293273755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1.1368683772161603E-13</v>
      </c>
      <c r="BE134" s="13">
        <f>BD134*VLOOKUP('Données projet'!$B$11,Paramètres!$A$1:$I$89,3,0)*VLOOKUP('Données projet'!$B$11,Paramètres!$A$1:$I$89,5,0)</f>
        <v>4.5815795601811263E-14</v>
      </c>
      <c r="BF134" s="13">
        <f t="shared" si="145"/>
        <v>7.5374618042508364E-13</v>
      </c>
      <c r="BG134" s="20">
        <f t="shared" si="115"/>
        <v>1.392570441580175E-12</v>
      </c>
      <c r="BH134" s="59">
        <f t="shared" si="116"/>
        <v>287.51831640867181</v>
      </c>
      <c r="BI134" s="59">
        <f ca="1">AVERAGE(OFFSET($BH$3,0,0,'Données projet'!$E$11+1,1))-AVERAGE(OFFSET($H$3,0,0,'Données projet'!$E$11+1,1))</f>
        <v>377.91408971696819</v>
      </c>
      <c r="BJ134" s="59">
        <f t="shared" si="146"/>
        <v>321.68797596002366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68.618318834286697</v>
      </c>
      <c r="BQ134" s="21">
        <f>EXP(-LN(2)/25)*BQ133+(1-EXP(-LN(2)/25))/(LN(2)/25)*Calculateur!BL134*Calculateur!BN134*VLOOKUP('Données projet'!$B$11,Paramètres!$A$1:$I$89,3,0)*0.475*44/12</f>
        <v>15.939909317170381</v>
      </c>
      <c r="BR134" s="21">
        <f>EXP(-LN(2)/2)*BR133+(1-EXP(-LN(2)/2))/(LN(2)/2)*BL134*BO134*VLOOKUP('Données projet'!$B$11,Paramètres!$A$1:$I$89,3,0)*0.475*44/12</f>
        <v>1.5102955161262422E-6</v>
      </c>
      <c r="BS134" s="22">
        <f t="shared" si="117"/>
        <v>84.558229661752591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68.414086293273755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68.414086293273755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68.414086293273755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68.414086293273755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68.414086293273755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68.414086293273755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68.414086293273755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3.14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11.513333333333334</v>
      </c>
      <c r="H135" s="67">
        <f t="shared" si="110"/>
        <v>210.61333333333332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68.441598350513573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1.064108801074326E-13</v>
      </c>
      <c r="P135" s="13">
        <f t="shared" si="141"/>
        <v>1.5870730813698654E-12</v>
      </c>
      <c r="Q135" s="20">
        <f t="shared" si="108"/>
        <v>2.9494845662396269E-12</v>
      </c>
      <c r="R135" s="59">
        <f t="shared" si="109"/>
        <v>287.61919395188607</v>
      </c>
      <c r="S135" s="59">
        <f ca="1">AVERAGE(OFFSET($R$3,0,0,'Données projet'!$E$9+1,1))-AVERAGE(OFFSET($H$3,0,0,'Données projet'!$E$9+1,1))</f>
        <v>302.99089313578685</v>
      </c>
      <c r="T135" s="59">
        <f t="shared" si="142"/>
        <v>335.51949678160906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23.184853560903935</v>
      </c>
      <c r="AA135" s="21">
        <f>EXP(-LN(2)/25)*AA134+(1-EXP(-LN(2)/25))/(LN(2)/25)*Calculateur!V135*Calculateur!X135*VLOOKUP('Données projet'!$B$9,Paramètres!$A$1:$I$89,3,0)*0.475*44/12</f>
        <v>6.223412084392459</v>
      </c>
      <c r="AB135" s="21">
        <f>EXP(-LN(2)/2)*AB134+(1-EXP(-LN(2)/2))/(LN(2)/2)*V135*Y135*VLOOKUP('Données projet'!$B$9,Paramètres!$A$1:$I$89,3,0)*0.475*44/12</f>
        <v>7.3993870318301613E-11</v>
      </c>
      <c r="AC135" s="22">
        <f t="shared" si="111"/>
        <v>29.408265645370388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68.441598350513573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68.441598350513573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1.1368683772161603E-13</v>
      </c>
      <c r="BE135" s="13">
        <f>BD135*VLOOKUP('Données projet'!$B$11,Paramètres!$A$1:$I$89,3,0)*VLOOKUP('Données projet'!$B$11,Paramètres!$A$1:$I$89,5,0)</f>
        <v>4.5815795601811263E-14</v>
      </c>
      <c r="BF135" s="13">
        <f t="shared" si="145"/>
        <v>7.5374618042508364E-13</v>
      </c>
      <c r="BG135" s="20">
        <f t="shared" si="115"/>
        <v>1.392570441580175E-12</v>
      </c>
      <c r="BH135" s="59">
        <f t="shared" si="116"/>
        <v>287.61919395188448</v>
      </c>
      <c r="BI135" s="59">
        <f ca="1">AVERAGE(OFFSET($BH$3,0,0,'Données projet'!$E$11+1,1))-AVERAGE(OFFSET($H$3,0,0,'Données projet'!$E$11+1,1))</f>
        <v>377.91408971696819</v>
      </c>
      <c r="BJ135" s="59">
        <f t="shared" si="146"/>
        <v>321.68797596002366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67.272755454988186</v>
      </c>
      <c r="BQ135" s="21">
        <f>EXP(-LN(2)/25)*BQ134+(1-EXP(-LN(2)/25))/(LN(2)/25)*Calculateur!BL135*Calculateur!BN135*VLOOKUP('Données projet'!$B$11,Paramètres!$A$1:$I$89,3,0)*0.475*44/12</f>
        <v>15.504031658648957</v>
      </c>
      <c r="BR135" s="21">
        <f>EXP(-LN(2)/2)*BR134+(1-EXP(-LN(2)/2))/(LN(2)/2)*BL135*BO135*VLOOKUP('Données projet'!$B$11,Paramètres!$A$1:$I$89,3,0)*0.475*44/12</f>
        <v>1.0679402010485026E-6</v>
      </c>
      <c r="BS135" s="22">
        <f t="shared" si="117"/>
        <v>82.776788181577345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68.441598350513573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68.441598350513573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68.441598350513573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68.441598350513573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68.441598350513573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68.441598350513573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68.441598350513573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3.14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11.513333333333334</v>
      </c>
      <c r="H136" s="67">
        <f t="shared" si="110"/>
        <v>210.61333333333332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68.468633135068018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1.064108801074326E-13</v>
      </c>
      <c r="P136" s="13">
        <f t="shared" si="141"/>
        <v>1.5870730813698654E-12</v>
      </c>
      <c r="Q136" s="20">
        <f t="shared" si="108"/>
        <v>2.9494845662396269E-12</v>
      </c>
      <c r="R136" s="59">
        <f t="shared" si="109"/>
        <v>287.71832149525238</v>
      </c>
      <c r="S136" s="59">
        <f ca="1">AVERAGE(OFFSET($R$3,0,0,'Données projet'!$E$9+1,1))-AVERAGE(OFFSET($H$3,0,0,'Données projet'!$E$9+1,1))</f>
        <v>302.99089313578685</v>
      </c>
      <c r="T136" s="59">
        <f t="shared" si="142"/>
        <v>335.51949678160906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22.730212723938937</v>
      </c>
      <c r="AA136" s="21">
        <f>EXP(-LN(2)/25)*AA135+(1-EXP(-LN(2)/25))/(LN(2)/25)*Calculateur!V136*Calculateur!X136*VLOOKUP('Données projet'!$B$9,Paramètres!$A$1:$I$89,3,0)*0.475*44/12</f>
        <v>6.0532325536697291</v>
      </c>
      <c r="AB136" s="21">
        <f>EXP(-LN(2)/2)*AB135+(1-EXP(-LN(2)/2))/(LN(2)/2)*V136*Y136*VLOOKUP('Données projet'!$B$9,Paramètres!$A$1:$I$89,3,0)*0.475*44/12</f>
        <v>5.2321567468309073E-11</v>
      </c>
      <c r="AC136" s="22">
        <f t="shared" si="111"/>
        <v>28.783445277660988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68.468633135068018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68.468633135068018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1.1368683772161603E-13</v>
      </c>
      <c r="BE136" s="13">
        <f>BD136*VLOOKUP('Données projet'!$B$11,Paramètres!$A$1:$I$89,3,0)*VLOOKUP('Données projet'!$B$11,Paramètres!$A$1:$I$89,5,0)</f>
        <v>4.5815795601811263E-14</v>
      </c>
      <c r="BF136" s="13">
        <f t="shared" si="145"/>
        <v>7.5374618042508364E-13</v>
      </c>
      <c r="BG136" s="20">
        <f t="shared" si="115"/>
        <v>1.392570441580175E-12</v>
      </c>
      <c r="BH136" s="59">
        <f t="shared" si="116"/>
        <v>287.71832149525079</v>
      </c>
      <c r="BI136" s="59">
        <f ca="1">AVERAGE(OFFSET($BH$3,0,0,'Données projet'!$E$11+1,1))-AVERAGE(OFFSET($H$3,0,0,'Données projet'!$E$11+1,1))</f>
        <v>377.91408971696819</v>
      </c>
      <c r="BJ136" s="59">
        <f t="shared" si="146"/>
        <v>321.68797596002366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65.953577752845092</v>
      </c>
      <c r="BQ136" s="21">
        <f>EXP(-LN(2)/25)*BQ135+(1-EXP(-LN(2)/25))/(LN(2)/25)*Calculateur!BL136*Calculateur!BN136*VLOOKUP('Données projet'!$B$11,Paramètres!$A$1:$I$89,3,0)*0.475*44/12</f>
        <v>15.080073097621611</v>
      </c>
      <c r="BR136" s="21">
        <f>EXP(-LN(2)/2)*BR135+(1-EXP(-LN(2)/2))/(LN(2)/2)*BL136*BO136*VLOOKUP('Données projet'!$B$11,Paramètres!$A$1:$I$89,3,0)*0.475*44/12</f>
        <v>7.5514775806312111E-7</v>
      </c>
      <c r="BS136" s="22">
        <f t="shared" si="117"/>
        <v>81.033651605614452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68.468633135068018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68.468633135068018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68.468633135068018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68.468633135068018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68.468633135068018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68.468633135068018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68.468633135068018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3.14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11.513333333333334</v>
      </c>
      <c r="H137" s="67">
        <f t="shared" si="110"/>
        <v>210.61333333333332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68.495198926551168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1.064108801074326E-13</v>
      </c>
      <c r="P137" s="13">
        <f t="shared" si="141"/>
        <v>1.5870730813698654E-12</v>
      </c>
      <c r="Q137" s="20">
        <f t="shared" si="108"/>
        <v>2.9494845662396269E-12</v>
      </c>
      <c r="R137" s="59">
        <f t="shared" si="109"/>
        <v>287.81572939735725</v>
      </c>
      <c r="S137" s="59">
        <f ca="1">AVERAGE(OFFSET($R$3,0,0,'Données projet'!$E$9+1,1))-AVERAGE(OFFSET($H$3,0,0,'Données projet'!$E$9+1,1))</f>
        <v>302.99089313578685</v>
      </c>
      <c r="T137" s="59">
        <f t="shared" si="142"/>
        <v>335.51949678160906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22.284487116483294</v>
      </c>
      <c r="AA137" s="21">
        <f>EXP(-LN(2)/25)*AA136+(1-EXP(-LN(2)/25))/(LN(2)/25)*Calculateur!V137*Calculateur!X137*VLOOKUP('Données projet'!$B$9,Paramètres!$A$1:$I$89,3,0)*0.475*44/12</f>
        <v>5.8877065911639654</v>
      </c>
      <c r="AB137" s="21">
        <f>EXP(-LN(2)/2)*AB136+(1-EXP(-LN(2)/2))/(LN(2)/2)*V137*Y137*VLOOKUP('Données projet'!$B$9,Paramètres!$A$1:$I$89,3,0)*0.475*44/12</f>
        <v>3.6996935159150806E-11</v>
      </c>
      <c r="AC137" s="22">
        <f t="shared" si="111"/>
        <v>28.172193707684258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68.495198926551168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68.495198926551168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1.1368683772161603E-13</v>
      </c>
      <c r="BE137" s="13">
        <f>BD137*VLOOKUP('Données projet'!$B$11,Paramètres!$A$1:$I$89,3,0)*VLOOKUP('Données projet'!$B$11,Paramètres!$A$1:$I$89,5,0)</f>
        <v>4.5815795601811263E-14</v>
      </c>
      <c r="BF137" s="13">
        <f t="shared" si="145"/>
        <v>7.5374618042508364E-13</v>
      </c>
      <c r="BG137" s="20">
        <f t="shared" si="115"/>
        <v>1.392570441580175E-12</v>
      </c>
      <c r="BH137" s="59">
        <f t="shared" si="116"/>
        <v>287.81572939735565</v>
      </c>
      <c r="BI137" s="59">
        <f ca="1">AVERAGE(OFFSET($BH$3,0,0,'Données projet'!$E$11+1,1))-AVERAGE(OFFSET($H$3,0,0,'Données projet'!$E$11+1,1))</f>
        <v>377.91408971696819</v>
      </c>
      <c r="BJ137" s="59">
        <f t="shared" si="146"/>
        <v>321.68797596002366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64.66026832082207</v>
      </c>
      <c r="BQ137" s="21">
        <f>EXP(-LN(2)/25)*BQ136+(1-EXP(-LN(2)/25))/(LN(2)/25)*Calculateur!BL137*Calculateur!BN137*VLOOKUP('Données projet'!$B$11,Paramètres!$A$1:$I$89,3,0)*0.475*44/12</f>
        <v>14.66770770574057</v>
      </c>
      <c r="BR137" s="21">
        <f>EXP(-LN(2)/2)*BR136+(1-EXP(-LN(2)/2))/(LN(2)/2)*BL137*BO137*VLOOKUP('Données projet'!$B$11,Paramètres!$A$1:$I$89,3,0)*0.475*44/12</f>
        <v>5.339701005242513E-7</v>
      </c>
      <c r="BS137" s="22">
        <f t="shared" si="117"/>
        <v>79.327976560532733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68.495198926551168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68.495198926551168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68.495198926551168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68.495198926551168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68.495198926551168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68.495198926551168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68.495198926551168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3.14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11.513333333333334</v>
      </c>
      <c r="H138" s="67">
        <f t="shared" si="110"/>
        <v>210.61333333333332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68.5213038609443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1.064108801074326E-13</v>
      </c>
      <c r="P138" s="13">
        <f t="shared" si="141"/>
        <v>1.5870730813698654E-12</v>
      </c>
      <c r="Q138" s="20">
        <f t="shared" si="108"/>
        <v>2.9494845662396269E-12</v>
      </c>
      <c r="R138" s="59">
        <f t="shared" si="109"/>
        <v>287.91144749013205</v>
      </c>
      <c r="S138" s="59">
        <f ca="1">AVERAGE(OFFSET($R$3,0,0,'Données projet'!$E$9+1,1))-AVERAGE(OFFSET($H$3,0,0,'Données projet'!$E$9+1,1))</f>
        <v>302.99089313578685</v>
      </c>
      <c r="T138" s="59">
        <f t="shared" si="142"/>
        <v>335.51949678160906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21.847501916324081</v>
      </c>
      <c r="AA138" s="21">
        <f>EXP(-LN(2)/25)*AA137+(1-EXP(-LN(2)/25))/(LN(2)/25)*Calculateur!V138*Calculateur!X138*VLOOKUP('Données projet'!$B$9,Paramètres!$A$1:$I$89,3,0)*0.475*44/12</f>
        <v>5.726706944807554</v>
      </c>
      <c r="AB138" s="21">
        <f>EXP(-LN(2)/2)*AB137+(1-EXP(-LN(2)/2))/(LN(2)/2)*V138*Y138*VLOOKUP('Données projet'!$B$9,Paramètres!$A$1:$I$89,3,0)*0.475*44/12</f>
        <v>2.6160783734154536E-11</v>
      </c>
      <c r="AC138" s="22">
        <f t="shared" si="111"/>
        <v>27.574208861157796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68.5213038609443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68.5213038609443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1.1368683772161603E-13</v>
      </c>
      <c r="BE138" s="13">
        <f>BD138*VLOOKUP('Données projet'!$B$11,Paramètres!$A$1:$I$89,3,0)*VLOOKUP('Données projet'!$B$11,Paramètres!$A$1:$I$89,5,0)</f>
        <v>4.5815795601811263E-14</v>
      </c>
      <c r="BF138" s="13">
        <f t="shared" si="145"/>
        <v>7.5374618042508364E-13</v>
      </c>
      <c r="BG138" s="20">
        <f t="shared" si="115"/>
        <v>1.392570441580175E-12</v>
      </c>
      <c r="BH138" s="59">
        <f t="shared" si="116"/>
        <v>287.91144749013046</v>
      </c>
      <c r="BI138" s="59">
        <f ca="1">AVERAGE(OFFSET($BH$3,0,0,'Données projet'!$E$11+1,1))-AVERAGE(OFFSET($H$3,0,0,'Données projet'!$E$11+1,1))</f>
        <v>377.91408971696819</v>
      </c>
      <c r="BJ138" s="59">
        <f t="shared" si="146"/>
        <v>321.68797596002366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63.39231989792016</v>
      </c>
      <c r="BQ138" s="21">
        <f>EXP(-LN(2)/25)*BQ137+(1-EXP(-LN(2)/25))/(LN(2)/25)*Calculateur!BL138*Calculateur!BN138*VLOOKUP('Données projet'!$B$11,Paramètres!$A$1:$I$89,3,0)*0.475*44/12</f>
        <v>14.26661846718587</v>
      </c>
      <c r="BR138" s="21">
        <f>EXP(-LN(2)/2)*BR137+(1-EXP(-LN(2)/2))/(LN(2)/2)*BL138*BO138*VLOOKUP('Données projet'!$B$11,Paramètres!$A$1:$I$89,3,0)*0.475*44/12</f>
        <v>3.7757387903156055E-7</v>
      </c>
      <c r="BS138" s="22">
        <f t="shared" si="117"/>
        <v>77.658938742679908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68.5213038609443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68.5213038609443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68.5213038609443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68.5213038609443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68.5213038609443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68.5213038609443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68.5213038609443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3.14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11.513333333333334</v>
      </c>
      <c r="H139" s="67">
        <f t="shared" si="110"/>
        <v>210.61333333333332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68.546955933087617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1.064108801074326E-13</v>
      </c>
      <c r="P139" s="13">
        <f t="shared" si="141"/>
        <v>1.5870730813698654E-12</v>
      </c>
      <c r="Q139" s="20">
        <f t="shared" si="108"/>
        <v>2.9494845662396269E-12</v>
      </c>
      <c r="R139" s="59">
        <f t="shared" si="109"/>
        <v>288.00550508799091</v>
      </c>
      <c r="S139" s="59">
        <f ca="1">AVERAGE(OFFSET($R$3,0,0,'Données projet'!$E$9+1,1))-AVERAGE(OFFSET($H$3,0,0,'Données projet'!$E$9+1,1))</f>
        <v>302.99089313578685</v>
      </c>
      <c r="T139" s="59">
        <f t="shared" si="142"/>
        <v>335.51949678160906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21.419085729405335</v>
      </c>
      <c r="AA139" s="21">
        <f>EXP(-LN(2)/25)*AA138+(1-EXP(-LN(2)/25))/(LN(2)/25)*Calculateur!V139*Calculateur!X139*VLOOKUP('Données projet'!$B$9,Paramètres!$A$1:$I$89,3,0)*0.475*44/12</f>
        <v>5.5701098422473621</v>
      </c>
      <c r="AB139" s="21">
        <f>EXP(-LN(2)/2)*AB138+(1-EXP(-LN(2)/2))/(LN(2)/2)*V139*Y139*VLOOKUP('Données projet'!$B$9,Paramètres!$A$1:$I$89,3,0)*0.475*44/12</f>
        <v>1.8498467579575403E-11</v>
      </c>
      <c r="AC139" s="22">
        <f t="shared" si="111"/>
        <v>26.989195571671196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68.546955933087617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68.546955933087617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1.1368683772161603E-13</v>
      </c>
      <c r="BE139" s="13">
        <f>BD139*VLOOKUP('Données projet'!$B$11,Paramètres!$A$1:$I$89,3,0)*VLOOKUP('Données projet'!$B$11,Paramètres!$A$1:$I$89,5,0)</f>
        <v>4.5815795601811263E-14</v>
      </c>
      <c r="BF139" s="13">
        <f t="shared" si="145"/>
        <v>7.5374618042508364E-13</v>
      </c>
      <c r="BG139" s="20">
        <f t="shared" si="115"/>
        <v>1.392570441580175E-12</v>
      </c>
      <c r="BH139" s="59">
        <f t="shared" si="116"/>
        <v>288.00550508798932</v>
      </c>
      <c r="BI139" s="59">
        <f ca="1">AVERAGE(OFFSET($BH$3,0,0,'Données projet'!$E$11+1,1))-AVERAGE(OFFSET($H$3,0,0,'Données projet'!$E$11+1,1))</f>
        <v>377.91408971696819</v>
      </c>
      <c r="BJ139" s="59">
        <f t="shared" si="146"/>
        <v>321.68797596002366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62.149235170219185</v>
      </c>
      <c r="BQ139" s="21">
        <f>EXP(-LN(2)/25)*BQ138+(1-EXP(-LN(2)/25))/(LN(2)/25)*Calculateur!BL139*Calculateur!BN139*VLOOKUP('Données projet'!$B$11,Paramètres!$A$1:$I$89,3,0)*0.475*44/12</f>
        <v>13.876497034951814</v>
      </c>
      <c r="BR139" s="21">
        <f>EXP(-LN(2)/2)*BR138+(1-EXP(-LN(2)/2))/(LN(2)/2)*BL139*BO139*VLOOKUP('Données projet'!$B$11,Paramètres!$A$1:$I$89,3,0)*0.475*44/12</f>
        <v>2.6698505026212565E-7</v>
      </c>
      <c r="BS139" s="22">
        <f t="shared" si="117"/>
        <v>76.025732472156051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68.546955933087617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68.546955933087617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68.546955933087617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68.546955933087617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68.546955933087617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68.546955933087617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68.546955933087617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3.14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11.513333333333334</v>
      </c>
      <c r="H140" s="67">
        <f t="shared" si="110"/>
        <v>210.61333333333332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68.572162999128665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1.064108801074326E-13</v>
      </c>
      <c r="P140" s="13">
        <f t="shared" si="141"/>
        <v>1.5870730813698654E-12</v>
      </c>
      <c r="Q140" s="20">
        <f t="shared" si="108"/>
        <v>2.9494845662396269E-12</v>
      </c>
      <c r="R140" s="59">
        <f t="shared" si="109"/>
        <v>288.09793099680809</v>
      </c>
      <c r="S140" s="59">
        <f ca="1">AVERAGE(OFFSET($R$3,0,0,'Données projet'!$E$9+1,1))-AVERAGE(OFFSET($H$3,0,0,'Données projet'!$E$9+1,1))</f>
        <v>302.99089313578685</v>
      </c>
      <c r="T140" s="59">
        <f t="shared" si="142"/>
        <v>335.51949678160906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20.999070522603994</v>
      </c>
      <c r="AA140" s="21">
        <f>EXP(-LN(2)/25)*AA139+(1-EXP(-LN(2)/25))/(LN(2)/25)*Calculateur!V140*Calculateur!X140*VLOOKUP('Données projet'!$B$9,Paramètres!$A$1:$I$89,3,0)*0.475*44/12</f>
        <v>5.4177948956917623</v>
      </c>
      <c r="AB140" s="21">
        <f>EXP(-LN(2)/2)*AB139+(1-EXP(-LN(2)/2))/(LN(2)/2)*V140*Y140*VLOOKUP('Données projet'!$B$9,Paramètres!$A$1:$I$89,3,0)*0.475*44/12</f>
        <v>1.3080391867077268E-11</v>
      </c>
      <c r="AC140" s="22">
        <f t="shared" si="111"/>
        <v>26.416865418308838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68.572162999128665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68.572162999128665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1.1368683772161603E-13</v>
      </c>
      <c r="BE140" s="13">
        <f>BD140*VLOOKUP('Données projet'!$B$11,Paramètres!$A$1:$I$89,3,0)*VLOOKUP('Données projet'!$B$11,Paramètres!$A$1:$I$89,5,0)</f>
        <v>4.5815795601811263E-14</v>
      </c>
      <c r="BF140" s="13">
        <f t="shared" si="145"/>
        <v>7.5374618042508364E-13</v>
      </c>
      <c r="BG140" s="20">
        <f t="shared" si="115"/>
        <v>1.392570441580175E-12</v>
      </c>
      <c r="BH140" s="59">
        <f t="shared" si="116"/>
        <v>288.0979309968065</v>
      </c>
      <c r="BI140" s="59">
        <f ca="1">AVERAGE(OFFSET($BH$3,0,0,'Données projet'!$E$11+1,1))-AVERAGE(OFFSET($H$3,0,0,'Données projet'!$E$11+1,1))</f>
        <v>377.91408971696819</v>
      </c>
      <c r="BJ140" s="59">
        <f t="shared" si="146"/>
        <v>321.68797596002366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60.930526575821609</v>
      </c>
      <c r="BQ140" s="21">
        <f>EXP(-LN(2)/25)*BQ139+(1-EXP(-LN(2)/25))/(LN(2)/25)*Calculateur!BL140*Calculateur!BN140*VLOOKUP('Données projet'!$B$11,Paramètres!$A$1:$I$89,3,0)*0.475*44/12</f>
        <v>13.497043493797793</v>
      </c>
      <c r="BR140" s="21">
        <f>EXP(-LN(2)/2)*BR139+(1-EXP(-LN(2)/2))/(LN(2)/2)*BL140*BO140*VLOOKUP('Données projet'!$B$11,Paramètres!$A$1:$I$89,3,0)*0.475*44/12</f>
        <v>1.8878693951578028E-7</v>
      </c>
      <c r="BS140" s="22">
        <f t="shared" si="117"/>
        <v>74.427570258406348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68.572162999128665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68.572162999128665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68.572162999128665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68.572162999128665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68.572162999128665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68.572162999128665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68.572162999128665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3.14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11.513333333333334</v>
      </c>
      <c r="H141" s="67">
        <f t="shared" si="110"/>
        <v>210.61333333333332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68.596932778928476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1.064108801074326E-13</v>
      </c>
      <c r="P141" s="13">
        <f t="shared" si="141"/>
        <v>1.5870730813698654E-12</v>
      </c>
      <c r="Q141" s="20">
        <f t="shared" si="108"/>
        <v>2.9494845662396269E-12</v>
      </c>
      <c r="R141" s="59">
        <f t="shared" si="109"/>
        <v>288.18875352274068</v>
      </c>
      <c r="S141" s="59">
        <f ca="1">AVERAGE(OFFSET($R$3,0,0,'Données projet'!$E$9+1,1))-AVERAGE(OFFSET($H$3,0,0,'Données projet'!$E$9+1,1))</f>
        <v>302.99089313578685</v>
      </c>
      <c r="T141" s="59">
        <f t="shared" si="142"/>
        <v>335.51949678160906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20.587291557824045</v>
      </c>
      <c r="AA141" s="21">
        <f>EXP(-LN(2)/25)*AA140+(1-EXP(-LN(2)/25))/(LN(2)/25)*Calculateur!V141*Calculateur!X141*VLOOKUP('Données projet'!$B$9,Paramètres!$A$1:$I$89,3,0)*0.475*44/12</f>
        <v>5.2696450093596203</v>
      </c>
      <c r="AB141" s="21">
        <f>EXP(-LN(2)/2)*AB140+(1-EXP(-LN(2)/2))/(LN(2)/2)*V141*Y141*VLOOKUP('Données projet'!$B$9,Paramètres!$A$1:$I$89,3,0)*0.475*44/12</f>
        <v>9.2492337897877016E-12</v>
      </c>
      <c r="AC141" s="22">
        <f t="shared" si="111"/>
        <v>25.856936567192914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68.596932778928476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68.596932778928476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1.1368683772161603E-13</v>
      </c>
      <c r="BE141" s="13">
        <f>BD141*VLOOKUP('Données projet'!$B$11,Paramètres!$A$1:$I$89,3,0)*VLOOKUP('Données projet'!$B$11,Paramètres!$A$1:$I$89,5,0)</f>
        <v>4.5815795601811263E-14</v>
      </c>
      <c r="BF141" s="13">
        <f t="shared" si="145"/>
        <v>7.5374618042508364E-13</v>
      </c>
      <c r="BG141" s="20">
        <f t="shared" si="115"/>
        <v>1.392570441580175E-12</v>
      </c>
      <c r="BH141" s="59">
        <f t="shared" si="116"/>
        <v>288.18875352273909</v>
      </c>
      <c r="BI141" s="59">
        <f ca="1">AVERAGE(OFFSET($BH$3,0,0,'Données projet'!$E$11+1,1))-AVERAGE(OFFSET($H$3,0,0,'Données projet'!$E$11+1,1))</f>
        <v>377.91408971696819</v>
      </c>
      <c r="BJ141" s="59">
        <f t="shared" si="146"/>
        <v>321.68797596002366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59.735716113621322</v>
      </c>
      <c r="BQ141" s="21">
        <f>EXP(-LN(2)/25)*BQ140+(1-EXP(-LN(2)/25))/(LN(2)/25)*Calculateur!BL141*Calculateur!BN141*VLOOKUP('Données projet'!$B$11,Paramètres!$A$1:$I$89,3,0)*0.475*44/12</f>
        <v>13.127966129681223</v>
      </c>
      <c r="BR141" s="21">
        <f>EXP(-LN(2)/2)*BR140+(1-EXP(-LN(2)/2))/(LN(2)/2)*BL141*BO141*VLOOKUP('Données projet'!$B$11,Paramètres!$A$1:$I$89,3,0)*0.475*44/12</f>
        <v>1.3349252513106282E-7</v>
      </c>
      <c r="BS141" s="22">
        <f t="shared" si="117"/>
        <v>72.863682376795069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68.596932778928476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68.596932778928476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68.596932778928476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68.596932778928476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68.596932778928476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68.596932778928476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68.596932778928476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3.14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11.513333333333334</v>
      </c>
      <c r="H142" s="67">
        <f t="shared" si="110"/>
        <v>210.61333333333332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68.621272858425684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1.064108801074326E-13</v>
      </c>
      <c r="P142" s="13">
        <f t="shared" si="141"/>
        <v>1.5870730813698654E-12</v>
      </c>
      <c r="Q142" s="20">
        <f t="shared" si="108"/>
        <v>2.9494845662396269E-12</v>
      </c>
      <c r="R142" s="59">
        <f t="shared" si="109"/>
        <v>288.27800048089711</v>
      </c>
      <c r="S142" s="59">
        <f ca="1">AVERAGE(OFFSET($R$3,0,0,'Données projet'!$E$9+1,1))-AVERAGE(OFFSET($H$3,0,0,'Données projet'!$E$9+1,1))</f>
        <v>302.99089313578685</v>
      </c>
      <c r="T142" s="59">
        <f t="shared" si="142"/>
        <v>335.51949678160906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20.183587327383066</v>
      </c>
      <c r="AA142" s="21">
        <f>EXP(-LN(2)/25)*AA141+(1-EXP(-LN(2)/25))/(LN(2)/25)*Calculateur!V142*Calculateur!X142*VLOOKUP('Données projet'!$B$9,Paramètres!$A$1:$I$89,3,0)*0.475*44/12</f>
        <v>5.1255462894600941</v>
      </c>
      <c r="AB142" s="21">
        <f>EXP(-LN(2)/2)*AB141+(1-EXP(-LN(2)/2))/(LN(2)/2)*V142*Y142*VLOOKUP('Données projet'!$B$9,Paramètres!$A$1:$I$89,3,0)*0.475*44/12</f>
        <v>6.5401959335386341E-12</v>
      </c>
      <c r="AC142" s="22">
        <f t="shared" si="111"/>
        <v>25.309133616849699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68.621272858425684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68.621272858425684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1.1368683772161603E-13</v>
      </c>
      <c r="BE142" s="13">
        <f>BD142*VLOOKUP('Données projet'!$B$11,Paramètres!$A$1:$I$89,3,0)*VLOOKUP('Données projet'!$B$11,Paramètres!$A$1:$I$89,5,0)</f>
        <v>4.5815795601811263E-14</v>
      </c>
      <c r="BF142" s="13">
        <f t="shared" si="145"/>
        <v>7.5374618042508364E-13</v>
      </c>
      <c r="BG142" s="20">
        <f t="shared" si="115"/>
        <v>1.392570441580175E-12</v>
      </c>
      <c r="BH142" s="59">
        <f t="shared" si="116"/>
        <v>288.27800048089551</v>
      </c>
      <c r="BI142" s="59">
        <f ca="1">AVERAGE(OFFSET($BH$3,0,0,'Données projet'!$E$11+1,1))-AVERAGE(OFFSET($H$3,0,0,'Données projet'!$E$11+1,1))</f>
        <v>377.91408971696819</v>
      </c>
      <c r="BJ142" s="59">
        <f t="shared" si="146"/>
        <v>321.68797596002366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58.564335155822363</v>
      </c>
      <c r="BQ142" s="21">
        <f>EXP(-LN(2)/25)*BQ141+(1-EXP(-LN(2)/25))/(LN(2)/25)*Calculateur!BL142*Calculateur!BN142*VLOOKUP('Données projet'!$B$11,Paramètres!$A$1:$I$89,3,0)*0.475*44/12</f>
        <v>12.768981205495356</v>
      </c>
      <c r="BR142" s="21">
        <f>EXP(-LN(2)/2)*BR141+(1-EXP(-LN(2)/2))/(LN(2)/2)*BL142*BO142*VLOOKUP('Données projet'!$B$11,Paramètres!$A$1:$I$89,3,0)*0.475*44/12</f>
        <v>9.4393469757890139E-8</v>
      </c>
      <c r="BS142" s="22">
        <f t="shared" si="117"/>
        <v>71.333316455711184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68.621272858425684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68.621272858425684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68.621272858425684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68.621272858425684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68.621272858425684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68.621272858425684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68.621272858425684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3.14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11.513333333333334</v>
      </c>
      <c r="H143" s="67">
        <f t="shared" si="110"/>
        <v>210.61333333333332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68.645190691959883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1.064108801074326E-13</v>
      </c>
      <c r="P143" s="13">
        <f t="shared" si="141"/>
        <v>1.5870730813698654E-12</v>
      </c>
      <c r="Q143" s="20">
        <f t="shared" si="108"/>
        <v>2.9494845662396269E-12</v>
      </c>
      <c r="R143" s="59">
        <f t="shared" si="109"/>
        <v>288.36569920385585</v>
      </c>
      <c r="S143" s="59">
        <f ca="1">AVERAGE(OFFSET($R$3,0,0,'Données projet'!$E$9+1,1))-AVERAGE(OFFSET($H$3,0,0,'Données projet'!$E$9+1,1))</f>
        <v>302.99089313578685</v>
      </c>
      <c r="T143" s="59">
        <f t="shared" si="142"/>
        <v>335.51949678160906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19.787799490665765</v>
      </c>
      <c r="AA143" s="21">
        <f>EXP(-LN(2)/25)*AA142+(1-EXP(-LN(2)/25))/(LN(2)/25)*Calculateur!V143*Calculateur!X143*VLOOKUP('Données projet'!$B$9,Paramètres!$A$1:$I$89,3,0)*0.475*44/12</f>
        <v>4.9853879566340433</v>
      </c>
      <c r="AB143" s="21">
        <f>EXP(-LN(2)/2)*AB142+(1-EXP(-LN(2)/2))/(LN(2)/2)*V143*Y143*VLOOKUP('Données projet'!$B$9,Paramètres!$A$1:$I$89,3,0)*0.475*44/12</f>
        <v>4.6246168948938508E-12</v>
      </c>
      <c r="AC143" s="22">
        <f t="shared" si="111"/>
        <v>24.773187447304434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68.645190691959883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68.645190691959883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1.1368683772161603E-13</v>
      </c>
      <c r="BE143" s="13">
        <f>BD143*VLOOKUP('Données projet'!$B$11,Paramètres!$A$1:$I$89,3,0)*VLOOKUP('Données projet'!$B$11,Paramètres!$A$1:$I$89,5,0)</f>
        <v>4.5815795601811263E-14</v>
      </c>
      <c r="BF143" s="13">
        <f t="shared" si="145"/>
        <v>7.5374618042508364E-13</v>
      </c>
      <c r="BG143" s="20">
        <f t="shared" si="115"/>
        <v>1.392570441580175E-12</v>
      </c>
      <c r="BH143" s="59">
        <f t="shared" si="116"/>
        <v>288.36569920385426</v>
      </c>
      <c r="BI143" s="59">
        <f ca="1">AVERAGE(OFFSET($BH$3,0,0,'Données projet'!$E$11+1,1))-AVERAGE(OFFSET($H$3,0,0,'Données projet'!$E$11+1,1))</f>
        <v>377.91408971696819</v>
      </c>
      <c r="BJ143" s="59">
        <f t="shared" si="146"/>
        <v>321.68797596002366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57.415924264134006</v>
      </c>
      <c r="BQ143" s="21">
        <f>EXP(-LN(2)/25)*BQ142+(1-EXP(-LN(2)/25))/(LN(2)/25)*Calculateur!BL143*Calculateur!BN143*VLOOKUP('Données projet'!$B$11,Paramètres!$A$1:$I$89,3,0)*0.475*44/12</f>
        <v>12.419812742939548</v>
      </c>
      <c r="BR143" s="21">
        <f>EXP(-LN(2)/2)*BR142+(1-EXP(-LN(2)/2))/(LN(2)/2)*BL143*BO143*VLOOKUP('Données projet'!$B$11,Paramètres!$A$1:$I$89,3,0)*0.475*44/12</f>
        <v>6.6746262565531412E-8</v>
      </c>
      <c r="BS143" s="22">
        <f t="shared" si="117"/>
        <v>69.835737073819828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68.645190691959883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68.645190691959883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68.645190691959883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68.645190691959883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68.645190691959883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68.645190691959883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68.645190691959883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3.14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11.513333333333334</v>
      </c>
      <c r="H144" s="67">
        <f t="shared" si="110"/>
        <v>210.61333333333332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68.668693604554534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1.064108801074326E-13</v>
      </c>
      <c r="P144" s="13">
        <f t="shared" si="141"/>
        <v>1.5870730813698654E-12</v>
      </c>
      <c r="Q144" s="20">
        <f t="shared" si="108"/>
        <v>2.9494845662396269E-12</v>
      </c>
      <c r="R144" s="59">
        <f t="shared" si="109"/>
        <v>288.45187655003627</v>
      </c>
      <c r="S144" s="59">
        <f ca="1">AVERAGE(OFFSET($R$3,0,0,'Données projet'!$E$9+1,1))-AVERAGE(OFFSET($H$3,0,0,'Données projet'!$E$9+1,1))</f>
        <v>302.99089313578685</v>
      </c>
      <c r="T144" s="59">
        <f t="shared" si="142"/>
        <v>335.51949678160906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19.399772812019748</v>
      </c>
      <c r="AA144" s="21">
        <f>EXP(-LN(2)/25)*AA143+(1-EXP(-LN(2)/25))/(LN(2)/25)*Calculateur!V144*Calculateur!X144*VLOOKUP('Données projet'!$B$9,Paramètres!$A$1:$I$89,3,0)*0.475*44/12</f>
        <v>4.8490622607897267</v>
      </c>
      <c r="AB144" s="21">
        <f>EXP(-LN(2)/2)*AB143+(1-EXP(-LN(2)/2))/(LN(2)/2)*V144*Y144*VLOOKUP('Données projet'!$B$9,Paramètres!$A$1:$I$89,3,0)*0.475*44/12</f>
        <v>3.270097966769317E-12</v>
      </c>
      <c r="AC144" s="22">
        <f t="shared" si="111"/>
        <v>24.248835072812742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68.668693604554534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68.668693604554534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1.1368683772161603E-13</v>
      </c>
      <c r="BE144" s="13">
        <f>BD144*VLOOKUP('Données projet'!$B$11,Paramètres!$A$1:$I$89,3,0)*VLOOKUP('Données projet'!$B$11,Paramètres!$A$1:$I$89,5,0)</f>
        <v>4.5815795601811263E-14</v>
      </c>
      <c r="BF144" s="13">
        <f t="shared" si="145"/>
        <v>7.5374618042508364E-13</v>
      </c>
      <c r="BG144" s="20">
        <f t="shared" si="115"/>
        <v>1.392570441580175E-12</v>
      </c>
      <c r="BH144" s="59">
        <f t="shared" si="116"/>
        <v>288.45187655003468</v>
      </c>
      <c r="BI144" s="59">
        <f ca="1">AVERAGE(OFFSET($BH$3,0,0,'Données projet'!$E$11+1,1))-AVERAGE(OFFSET($H$3,0,0,'Données projet'!$E$11+1,1))</f>
        <v>377.91408971696819</v>
      </c>
      <c r="BJ144" s="59">
        <f t="shared" si="146"/>
        <v>321.68797596002366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56.290033009570173</v>
      </c>
      <c r="BQ144" s="21">
        <f>EXP(-LN(2)/25)*BQ143+(1-EXP(-LN(2)/25))/(LN(2)/25)*Calculateur!BL144*Calculateur!BN144*VLOOKUP('Données projet'!$B$11,Paramètres!$A$1:$I$89,3,0)*0.475*44/12</f>
        <v>12.080192310354301</v>
      </c>
      <c r="BR144" s="21">
        <f>EXP(-LN(2)/2)*BR143+(1-EXP(-LN(2)/2))/(LN(2)/2)*BL144*BO144*VLOOKUP('Données projet'!$B$11,Paramètres!$A$1:$I$89,3,0)*0.475*44/12</f>
        <v>4.7196734878945069E-8</v>
      </c>
      <c r="BS144" s="22">
        <f t="shared" si="117"/>
        <v>68.370225367121208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68.668693604554534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68.668693604554534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68.668693604554534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68.668693604554534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68.668693604554534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68.668693604554534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68.668693604554534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3.14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11.513333333333334</v>
      </c>
      <c r="H145" s="67">
        <f t="shared" si="110"/>
        <v>210.61333333333332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68.691788794160288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1.064108801074326E-13</v>
      </c>
      <c r="P145" s="13">
        <f t="shared" si="141"/>
        <v>1.5870730813698654E-12</v>
      </c>
      <c r="Q145" s="20">
        <f t="shared" si="108"/>
        <v>2.9494845662396269E-12</v>
      </c>
      <c r="R145" s="59">
        <f t="shared" si="109"/>
        <v>288.53655891192403</v>
      </c>
      <c r="S145" s="59">
        <f ca="1">AVERAGE(OFFSET($R$3,0,0,'Données projet'!$E$9+1,1))-AVERAGE(OFFSET($H$3,0,0,'Données projet'!$E$9+1,1))</f>
        <v>302.99089313578685</v>
      </c>
      <c r="T145" s="59">
        <f t="shared" si="142"/>
        <v>335.51949678160906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19.019355099869074</v>
      </c>
      <c r="AA145" s="21">
        <f>EXP(-LN(2)/25)*AA144+(1-EXP(-LN(2)/25))/(LN(2)/25)*Calculateur!V145*Calculateur!X145*VLOOKUP('Données projet'!$B$9,Paramètres!$A$1:$I$89,3,0)*0.475*44/12</f>
        <v>4.7164643982673304</v>
      </c>
      <c r="AB145" s="21">
        <f>EXP(-LN(2)/2)*AB144+(1-EXP(-LN(2)/2))/(LN(2)/2)*V145*Y145*VLOOKUP('Données projet'!$B$9,Paramètres!$A$1:$I$89,3,0)*0.475*44/12</f>
        <v>2.3123084474469254E-12</v>
      </c>
      <c r="AC145" s="22">
        <f t="shared" si="111"/>
        <v>23.735819498138717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68.691788794160288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68.691788794160288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1.1368683772161603E-13</v>
      </c>
      <c r="BE145" s="13">
        <f>BD145*VLOOKUP('Données projet'!$B$11,Paramètres!$A$1:$I$89,3,0)*VLOOKUP('Données projet'!$B$11,Paramètres!$A$1:$I$89,5,0)</f>
        <v>4.5815795601811263E-14</v>
      </c>
      <c r="BF145" s="13">
        <f t="shared" si="145"/>
        <v>7.5374618042508364E-13</v>
      </c>
      <c r="BG145" s="20">
        <f t="shared" si="115"/>
        <v>1.392570441580175E-12</v>
      </c>
      <c r="BH145" s="59">
        <f t="shared" si="116"/>
        <v>288.53655891192244</v>
      </c>
      <c r="BI145" s="59">
        <f ca="1">AVERAGE(OFFSET($BH$3,0,0,'Données projet'!$E$11+1,1))-AVERAGE(OFFSET($H$3,0,0,'Données projet'!$E$11+1,1))</f>
        <v>377.91408971696819</v>
      </c>
      <c r="BJ145" s="59">
        <f t="shared" si="146"/>
        <v>321.68797596002366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55.186219795782485</v>
      </c>
      <c r="BQ145" s="21">
        <f>EXP(-LN(2)/25)*BQ144+(1-EXP(-LN(2)/25))/(LN(2)/25)*Calculateur!BL145*Calculateur!BN145*VLOOKUP('Données projet'!$B$11,Paramètres!$A$1:$I$89,3,0)*0.475*44/12</f>
        <v>11.749858816357959</v>
      </c>
      <c r="BR145" s="21">
        <f>EXP(-LN(2)/2)*BR144+(1-EXP(-LN(2)/2))/(LN(2)/2)*BL145*BO145*VLOOKUP('Données projet'!$B$11,Paramètres!$A$1:$I$89,3,0)*0.475*44/12</f>
        <v>3.3373131282765706E-8</v>
      </c>
      <c r="BS145" s="22">
        <f t="shared" si="117"/>
        <v>66.936078645513575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68.691788794160288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68.691788794160288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68.691788794160288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68.691788794160288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68.691788794160288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68.691788794160288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68.691788794160288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3.14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11.513333333333334</v>
      </c>
      <c r="H146" s="67">
        <f t="shared" si="110"/>
        <v>210.61333333333332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68.714483333859519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1.064108801074326E-13</v>
      </c>
      <c r="P146" s="13">
        <f t="shared" si="141"/>
        <v>1.5870730813698654E-12</v>
      </c>
      <c r="Q146" s="20">
        <f t="shared" si="108"/>
        <v>2.9494845662396269E-12</v>
      </c>
      <c r="R146" s="59">
        <f t="shared" si="109"/>
        <v>288.61977222415453</v>
      </c>
      <c r="S146" s="59">
        <f ca="1">AVERAGE(OFFSET($R$3,0,0,'Données projet'!$E$9+1,1))-AVERAGE(OFFSET($H$3,0,0,'Données projet'!$E$9+1,1))</f>
        <v>302.99089313578685</v>
      </c>
      <c r="T146" s="59">
        <f t="shared" si="142"/>
        <v>335.51949678160906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18.646397147021784</v>
      </c>
      <c r="AA146" s="21">
        <f>EXP(-LN(2)/25)*AA145+(1-EXP(-LN(2)/25))/(LN(2)/25)*Calculateur!V146*Calculateur!X146*VLOOKUP('Données projet'!$B$9,Paramètres!$A$1:$I$89,3,0)*0.475*44/12</f>
        <v>4.5874924312686272</v>
      </c>
      <c r="AB146" s="21">
        <f>EXP(-LN(2)/2)*AB145+(1-EXP(-LN(2)/2))/(LN(2)/2)*V146*Y146*VLOOKUP('Données projet'!$B$9,Paramètres!$A$1:$I$89,3,0)*0.475*44/12</f>
        <v>1.6350489833846585E-12</v>
      </c>
      <c r="AC146" s="22">
        <f t="shared" si="111"/>
        <v>23.233889578292043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68.714483333859519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68.714483333859519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1.1368683772161603E-13</v>
      </c>
      <c r="BE146" s="13">
        <f>BD146*VLOOKUP('Données projet'!$B$11,Paramètres!$A$1:$I$89,3,0)*VLOOKUP('Données projet'!$B$11,Paramètres!$A$1:$I$89,5,0)</f>
        <v>4.5815795601811263E-14</v>
      </c>
      <c r="BF146" s="13">
        <f t="shared" si="145"/>
        <v>7.5374618042508364E-13</v>
      </c>
      <c r="BG146" s="20">
        <f t="shared" si="115"/>
        <v>1.392570441580175E-12</v>
      </c>
      <c r="BH146" s="59">
        <f t="shared" si="116"/>
        <v>288.61977222415294</v>
      </c>
      <c r="BI146" s="59">
        <f ca="1">AVERAGE(OFFSET($BH$3,0,0,'Données projet'!$E$11+1,1))-AVERAGE(OFFSET($H$3,0,0,'Données projet'!$E$11+1,1))</f>
        <v>377.91408971696819</v>
      </c>
      <c r="BJ146" s="59">
        <f t="shared" si="146"/>
        <v>321.68797596002366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54.104051685857591</v>
      </c>
      <c r="BQ146" s="21">
        <f>EXP(-LN(2)/25)*BQ145+(1-EXP(-LN(2)/25))/(LN(2)/25)*Calculateur!BL146*Calculateur!BN146*VLOOKUP('Données projet'!$B$11,Paramètres!$A$1:$I$89,3,0)*0.475*44/12</f>
        <v>11.42855830912643</v>
      </c>
      <c r="BR146" s="21">
        <f>EXP(-LN(2)/2)*BR145+(1-EXP(-LN(2)/2))/(LN(2)/2)*BL146*BO146*VLOOKUP('Données projet'!$B$11,Paramètres!$A$1:$I$89,3,0)*0.475*44/12</f>
        <v>2.3598367439472535E-8</v>
      </c>
      <c r="BS146" s="22">
        <f t="shared" si="117"/>
        <v>65.532610018582389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68.714483333859519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68.714483333859519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68.714483333859519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68.714483333859519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68.714483333859519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68.714483333859519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68.714483333859519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3.14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11.513333333333334</v>
      </c>
      <c r="H147" s="67">
        <f t="shared" si="110"/>
        <v>210.61333333333332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68.736784174032351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1.064108801074326E-13</v>
      </c>
      <c r="P147" s="13">
        <f t="shared" si="141"/>
        <v>1.5870730813698654E-12</v>
      </c>
      <c r="Q147" s="20">
        <f t="shared" si="108"/>
        <v>2.9494845662396269E-12</v>
      </c>
      <c r="R147" s="59">
        <f t="shared" si="109"/>
        <v>288.7015419714549</v>
      </c>
      <c r="S147" s="59">
        <f ca="1">AVERAGE(OFFSET($R$3,0,0,'Données projet'!$E$9+1,1))-AVERAGE(OFFSET($H$3,0,0,'Données projet'!$E$9+1,1))</f>
        <v>302.99089313578685</v>
      </c>
      <c r="T147" s="59">
        <f t="shared" si="142"/>
        <v>335.51949678160906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18.280752672147937</v>
      </c>
      <c r="AA147" s="21">
        <f>EXP(-LN(2)/25)*AA146+(1-EXP(-LN(2)/25))/(LN(2)/25)*Calculateur!V147*Calculateur!X147*VLOOKUP('Données projet'!$B$9,Paramètres!$A$1:$I$89,3,0)*0.475*44/12</f>
        <v>4.4620472094898442</v>
      </c>
      <c r="AB147" s="21">
        <f>EXP(-LN(2)/2)*AB146+(1-EXP(-LN(2)/2))/(LN(2)/2)*V147*Y147*VLOOKUP('Données projet'!$B$9,Paramètres!$A$1:$I$89,3,0)*0.475*44/12</f>
        <v>1.1561542237234627E-12</v>
      </c>
      <c r="AC147" s="22">
        <f t="shared" si="111"/>
        <v>22.742799881638934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68.736784174032351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68.736784174032351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1.1368683772161603E-13</v>
      </c>
      <c r="BE147" s="13">
        <f>BD147*VLOOKUP('Données projet'!$B$11,Paramètres!$A$1:$I$89,3,0)*VLOOKUP('Données projet'!$B$11,Paramètres!$A$1:$I$89,5,0)</f>
        <v>4.5815795601811263E-14</v>
      </c>
      <c r="BF147" s="13">
        <f t="shared" si="145"/>
        <v>7.5374618042508364E-13</v>
      </c>
      <c r="BG147" s="20">
        <f t="shared" si="115"/>
        <v>1.392570441580175E-12</v>
      </c>
      <c r="BH147" s="59">
        <f t="shared" si="116"/>
        <v>288.70154197145331</v>
      </c>
      <c r="BI147" s="59">
        <f ca="1">AVERAGE(OFFSET($BH$3,0,0,'Données projet'!$E$11+1,1))-AVERAGE(OFFSET($H$3,0,0,'Données projet'!$E$11+1,1))</f>
        <v>377.91408971696819</v>
      </c>
      <c r="BJ147" s="59">
        <f t="shared" si="146"/>
        <v>321.68797596002366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53.043104232510949</v>
      </c>
      <c r="BQ147" s="21">
        <f>EXP(-LN(2)/25)*BQ146+(1-EXP(-LN(2)/25))/(LN(2)/25)*Calculateur!BL147*Calculateur!BN147*VLOOKUP('Données projet'!$B$11,Paramètres!$A$1:$I$89,3,0)*0.475*44/12</f>
        <v>11.116043781161606</v>
      </c>
      <c r="BR147" s="21">
        <f>EXP(-LN(2)/2)*BR146+(1-EXP(-LN(2)/2))/(LN(2)/2)*BL147*BO147*VLOOKUP('Données projet'!$B$11,Paramètres!$A$1:$I$89,3,0)*0.475*44/12</f>
        <v>1.6686565641382853E-8</v>
      </c>
      <c r="BS147" s="22">
        <f t="shared" si="117"/>
        <v>64.15914803035912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68.736784174032351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68.736784174032351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68.736784174032351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68.736784174032351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68.736784174032351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68.736784174032351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68.736784174032351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3.14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11.513333333333334</v>
      </c>
      <c r="H148" s="67">
        <f t="shared" si="110"/>
        <v>210.61333333333332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68.758698144485379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1.064108801074326E-13</v>
      </c>
      <c r="P148" s="13">
        <f t="shared" si="141"/>
        <v>1.5870730813698654E-12</v>
      </c>
      <c r="Q148" s="20">
        <f t="shared" si="108"/>
        <v>2.9494845662396269E-12</v>
      </c>
      <c r="R148" s="59">
        <f t="shared" si="109"/>
        <v>288.78189319644935</v>
      </c>
      <c r="S148" s="59">
        <f ca="1">AVERAGE(OFFSET($R$3,0,0,'Données projet'!$E$9+1,1))-AVERAGE(OFFSET($H$3,0,0,'Données projet'!$E$9+1,1))</f>
        <v>302.99089313578685</v>
      </c>
      <c r="T148" s="59">
        <f t="shared" si="142"/>
        <v>335.51949678160906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17.922278262405261</v>
      </c>
      <c r="AA148" s="21">
        <f>EXP(-LN(2)/25)*AA147+(1-EXP(-LN(2)/25))/(LN(2)/25)*Calculateur!V148*Calculateur!X148*VLOOKUP('Données projet'!$B$9,Paramètres!$A$1:$I$89,3,0)*0.475*44/12</f>
        <v>4.3400322938974796</v>
      </c>
      <c r="AB148" s="21">
        <f>EXP(-LN(2)/2)*AB147+(1-EXP(-LN(2)/2))/(LN(2)/2)*V148*Y148*VLOOKUP('Données projet'!$B$9,Paramètres!$A$1:$I$89,3,0)*0.475*44/12</f>
        <v>8.1752449169232926E-13</v>
      </c>
      <c r="AC148" s="22">
        <f t="shared" si="111"/>
        <v>22.262310556303557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68.758698144485379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68.758698144485379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1.1368683772161603E-13</v>
      </c>
      <c r="BE148" s="13">
        <f>BD148*VLOOKUP('Données projet'!$B$11,Paramètres!$A$1:$I$89,3,0)*VLOOKUP('Données projet'!$B$11,Paramètres!$A$1:$I$89,5,0)</f>
        <v>4.5815795601811263E-14</v>
      </c>
      <c r="BF148" s="13">
        <f t="shared" si="145"/>
        <v>7.5374618042508364E-13</v>
      </c>
      <c r="BG148" s="20">
        <f t="shared" si="115"/>
        <v>1.392570441580175E-12</v>
      </c>
      <c r="BH148" s="59">
        <f t="shared" si="116"/>
        <v>288.78189319644775</v>
      </c>
      <c r="BI148" s="59">
        <f ca="1">AVERAGE(OFFSET($BH$3,0,0,'Données projet'!$E$11+1,1))-AVERAGE(OFFSET($H$3,0,0,'Données projet'!$E$11+1,1))</f>
        <v>377.91408971696819</v>
      </c>
      <c r="BJ148" s="59">
        <f t="shared" si="146"/>
        <v>321.68797596002366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52.002961311610385</v>
      </c>
      <c r="BQ148" s="21">
        <f>EXP(-LN(2)/25)*BQ147+(1-EXP(-LN(2)/25))/(LN(2)/25)*Calculateur!BL148*Calculateur!BN148*VLOOKUP('Données projet'!$B$11,Paramètres!$A$1:$I$89,3,0)*0.475*44/12</f>
        <v>10.812074979398405</v>
      </c>
      <c r="BR148" s="21">
        <f>EXP(-LN(2)/2)*BR147+(1-EXP(-LN(2)/2))/(LN(2)/2)*BL148*BO148*VLOOKUP('Données projet'!$B$11,Paramètres!$A$1:$I$89,3,0)*0.475*44/12</f>
        <v>1.1799183719736267E-8</v>
      </c>
      <c r="BS148" s="22">
        <f t="shared" si="117"/>
        <v>62.815036302807968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68.758698144485379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68.758698144485379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68.758698144485379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68.758698144485379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68.758698144485379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68.758698144485379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68.758698144485379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3.14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11.513333333333334</v>
      </c>
      <c r="H149" s="67">
        <f t="shared" si="110"/>
        <v>210.61333333333332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68.780231956543361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1.064108801074326E-13</v>
      </c>
      <c r="P149" s="13">
        <f t="shared" si="141"/>
        <v>1.5870730813698654E-12</v>
      </c>
      <c r="Q149" s="20">
        <f t="shared" si="108"/>
        <v>2.9494845662396269E-12</v>
      </c>
      <c r="R149" s="59">
        <f t="shared" si="109"/>
        <v>288.86085050732862</v>
      </c>
      <c r="S149" s="59">
        <f ca="1">AVERAGE(OFFSET($R$3,0,0,'Données projet'!$E$9+1,1))-AVERAGE(OFFSET($H$3,0,0,'Données projet'!$E$9+1,1))</f>
        <v>302.99089313578685</v>
      </c>
      <c r="T149" s="59">
        <f t="shared" si="142"/>
        <v>335.51949678160906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17.570833317189837</v>
      </c>
      <c r="AA149" s="21">
        <f>EXP(-LN(2)/25)*AA148+(1-EXP(-LN(2)/25))/(LN(2)/25)*Calculateur!V149*Calculateur!X149*VLOOKUP('Données projet'!$B$9,Paramètres!$A$1:$I$89,3,0)*0.475*44/12</f>
        <v>4.221353882588474</v>
      </c>
      <c r="AB149" s="21">
        <f>EXP(-LN(2)/2)*AB148+(1-EXP(-LN(2)/2))/(LN(2)/2)*V149*Y149*VLOOKUP('Données projet'!$B$9,Paramètres!$A$1:$I$89,3,0)*0.475*44/12</f>
        <v>5.7807711186173135E-13</v>
      </c>
      <c r="AC149" s="22">
        <f t="shared" si="111"/>
        <v>21.792187199778891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68.780231956543361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68.780231956543361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1.1368683772161603E-13</v>
      </c>
      <c r="BE149" s="13">
        <f>BD149*VLOOKUP('Données projet'!$B$11,Paramètres!$A$1:$I$89,3,0)*VLOOKUP('Données projet'!$B$11,Paramètres!$A$1:$I$89,5,0)</f>
        <v>4.5815795601811263E-14</v>
      </c>
      <c r="BF149" s="13">
        <f t="shared" si="145"/>
        <v>7.5374618042508364E-13</v>
      </c>
      <c r="BG149" s="20">
        <f t="shared" si="115"/>
        <v>1.392570441580175E-12</v>
      </c>
      <c r="BH149" s="59">
        <f t="shared" si="116"/>
        <v>288.86085050732703</v>
      </c>
      <c r="BI149" s="59">
        <f ca="1">AVERAGE(OFFSET($BH$3,0,0,'Données projet'!$E$11+1,1))-AVERAGE(OFFSET($H$3,0,0,'Données projet'!$E$11+1,1))</f>
        <v>377.91408971696819</v>
      </c>
      <c r="BJ149" s="59">
        <f t="shared" si="146"/>
        <v>321.68797596002366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50.983214958964147</v>
      </c>
      <c r="BQ149" s="21">
        <f>EXP(-LN(2)/25)*BQ148+(1-EXP(-LN(2)/25))/(LN(2)/25)*Calculateur!BL149*Calculateur!BN149*VLOOKUP('Données projet'!$B$11,Paramètres!$A$1:$I$89,3,0)*0.475*44/12</f>
        <v>10.516418220504443</v>
      </c>
      <c r="BR149" s="21">
        <f>EXP(-LN(2)/2)*BR148+(1-EXP(-LN(2)/2))/(LN(2)/2)*BL149*BO149*VLOOKUP('Données projet'!$B$11,Paramètres!$A$1:$I$89,3,0)*0.475*44/12</f>
        <v>8.3432828206914265E-9</v>
      </c>
      <c r="BS149" s="22">
        <f t="shared" si="117"/>
        <v>61.499633187811874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68.780231956543361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68.780231956543361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68.780231956543361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68.780231956543361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68.780231956543361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68.780231956543361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68.780231956543361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3.14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11.513333333333334</v>
      </c>
      <c r="H150" s="67">
        <f t="shared" si="110"/>
        <v>210.61333333333332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68.80139220510452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1.064108801074326E-13</v>
      </c>
      <c r="P150" s="13">
        <f t="shared" si="141"/>
        <v>1.5870730813698654E-12</v>
      </c>
      <c r="Q150" s="20">
        <f t="shared" si="108"/>
        <v>2.9494845662396269E-12</v>
      </c>
      <c r="R150" s="59">
        <f t="shared" si="109"/>
        <v>288.93843808538617</v>
      </c>
      <c r="S150" s="59">
        <f ca="1">AVERAGE(OFFSET($R$3,0,0,'Données projet'!$E$9+1,1))-AVERAGE(OFFSET($H$3,0,0,'Données projet'!$E$9+1,1))</f>
        <v>302.99089313578685</v>
      </c>
      <c r="T150" s="59">
        <f t="shared" si="142"/>
        <v>335.51949678160906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17.226279992989838</v>
      </c>
      <c r="AA150" s="21">
        <f>EXP(-LN(2)/25)*AA149+(1-EXP(-LN(2)/25))/(LN(2)/25)*Calculateur!V150*Calculateur!X150*VLOOKUP('Données projet'!$B$9,Paramètres!$A$1:$I$89,3,0)*0.475*44/12</f>
        <v>4.1059207386777397</v>
      </c>
      <c r="AB150" s="21">
        <f>EXP(-LN(2)/2)*AB149+(1-EXP(-LN(2)/2))/(LN(2)/2)*V150*Y150*VLOOKUP('Données projet'!$B$9,Paramètres!$A$1:$I$89,3,0)*0.475*44/12</f>
        <v>4.0876224584616463E-13</v>
      </c>
      <c r="AC150" s="22">
        <f t="shared" si="111"/>
        <v>21.332200731667985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68.80139220510452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68.80139220510452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1.1368683772161603E-13</v>
      </c>
      <c r="BE150" s="13">
        <f>BD150*VLOOKUP('Données projet'!$B$11,Paramètres!$A$1:$I$89,3,0)*VLOOKUP('Données projet'!$B$11,Paramètres!$A$1:$I$89,5,0)</f>
        <v>4.5815795601811263E-14</v>
      </c>
      <c r="BF150" s="13">
        <f t="shared" si="145"/>
        <v>7.5374618042508364E-13</v>
      </c>
      <c r="BG150" s="20">
        <f t="shared" si="115"/>
        <v>1.392570441580175E-12</v>
      </c>
      <c r="BH150" s="59">
        <f t="shared" si="116"/>
        <v>288.93843808538458</v>
      </c>
      <c r="BI150" s="59">
        <f ca="1">AVERAGE(OFFSET($BH$3,0,0,'Données projet'!$E$11+1,1))-AVERAGE(OFFSET($H$3,0,0,'Données projet'!$E$11+1,1))</f>
        <v>377.91408971696819</v>
      </c>
      <c r="BJ150" s="59">
        <f t="shared" si="146"/>
        <v>321.68797596002366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49.98346521030944</v>
      </c>
      <c r="BQ150" s="21">
        <f>EXP(-LN(2)/25)*BQ149+(1-EXP(-LN(2)/25))/(LN(2)/25)*Calculateur!BL150*Calculateur!BN150*VLOOKUP('Données projet'!$B$11,Paramètres!$A$1:$I$89,3,0)*0.475*44/12</f>
        <v>10.22884621123035</v>
      </c>
      <c r="BR150" s="21">
        <f>EXP(-LN(2)/2)*BR149+(1-EXP(-LN(2)/2))/(LN(2)/2)*BL150*BO150*VLOOKUP('Données projet'!$B$11,Paramètres!$A$1:$I$89,3,0)*0.475*44/12</f>
        <v>5.8995918598681337E-9</v>
      </c>
      <c r="BS150" s="22">
        <f t="shared" si="117"/>
        <v>60.212311427439381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68.80139220510452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68.80139220510452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68.80139220510452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68.80139220510452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68.80139220510452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68.80139220510452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68.80139220510452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3.14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11.513333333333334</v>
      </c>
      <c r="H151" s="67">
        <f t="shared" si="110"/>
        <v>210.61333333333332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68.822185370660364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1.064108801074326E-13</v>
      </c>
      <c r="P151" s="13">
        <f t="shared" si="141"/>
        <v>1.5870730813698654E-12</v>
      </c>
      <c r="Q151" s="20">
        <f t="shared" si="108"/>
        <v>2.9494845662396269E-12</v>
      </c>
      <c r="R151" s="59">
        <f t="shared" si="109"/>
        <v>289.01467969242429</v>
      </c>
      <c r="S151" s="59">
        <f ca="1">AVERAGE(OFFSET($R$3,0,0,'Données projet'!$E$9+1,1))-AVERAGE(OFFSET($H$3,0,0,'Données projet'!$E$9+1,1))</f>
        <v>302.99089313578685</v>
      </c>
      <c r="T151" s="59">
        <f t="shared" si="142"/>
        <v>335.51949678160906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16.888483149320624</v>
      </c>
      <c r="AA151" s="21">
        <f>EXP(-LN(2)/25)*AA150+(1-EXP(-LN(2)/25))/(LN(2)/25)*Calculateur!V151*Calculateur!X151*VLOOKUP('Données projet'!$B$9,Paramètres!$A$1:$I$89,3,0)*0.475*44/12</f>
        <v>3.9936441201576094</v>
      </c>
      <c r="AB151" s="21">
        <f>EXP(-LN(2)/2)*AB150+(1-EXP(-LN(2)/2))/(LN(2)/2)*V151*Y151*VLOOKUP('Données projet'!$B$9,Paramètres!$A$1:$I$89,3,0)*0.475*44/12</f>
        <v>2.8903855593086567E-13</v>
      </c>
      <c r="AC151" s="22">
        <f t="shared" si="111"/>
        <v>20.88212726947852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68.822185370660364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68.822185370660364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1.1368683772161603E-13</v>
      </c>
      <c r="BE151" s="13">
        <f>BD151*VLOOKUP('Données projet'!$B$11,Paramètres!$A$1:$I$89,3,0)*VLOOKUP('Données projet'!$B$11,Paramètres!$A$1:$I$89,5,0)</f>
        <v>4.5815795601811263E-14</v>
      </c>
      <c r="BF151" s="13">
        <f t="shared" si="145"/>
        <v>7.5374618042508364E-13</v>
      </c>
      <c r="BG151" s="20">
        <f t="shared" si="115"/>
        <v>1.392570441580175E-12</v>
      </c>
      <c r="BH151" s="59">
        <f t="shared" si="116"/>
        <v>289.0146796924227</v>
      </c>
      <c r="BI151" s="59">
        <f ca="1">AVERAGE(OFFSET($BH$3,0,0,'Données projet'!$E$11+1,1))-AVERAGE(OFFSET($H$3,0,0,'Données projet'!$E$11+1,1))</f>
        <v>377.91408971696819</v>
      </c>
      <c r="BJ151" s="59">
        <f t="shared" si="146"/>
        <v>321.68797596002366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49.003319944438715</v>
      </c>
      <c r="BQ151" s="21">
        <f>EXP(-LN(2)/25)*BQ150+(1-EXP(-LN(2)/25))/(LN(2)/25)*Calculateur!BL151*Calculateur!BN151*VLOOKUP('Données projet'!$B$11,Paramètres!$A$1:$I$89,3,0)*0.475*44/12</f>
        <v>9.9491378736726119</v>
      </c>
      <c r="BR151" s="21">
        <f>EXP(-LN(2)/2)*BR150+(1-EXP(-LN(2)/2))/(LN(2)/2)*BL151*BO151*VLOOKUP('Données projet'!$B$11,Paramètres!$A$1:$I$89,3,0)*0.475*44/12</f>
        <v>4.1716414103457133E-9</v>
      </c>
      <c r="BS151" s="22">
        <f t="shared" si="117"/>
        <v>58.952457822282966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68.822185370660364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68.822185370660364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68.822185370660364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68.822185370660364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68.822185370660364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68.822185370660364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68.822185370660364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3.14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11.513333333333334</v>
      </c>
      <c r="H152" s="67">
        <f t="shared" si="110"/>
        <v>210.61333333333332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68.842617821280385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1.064108801074326E-13</v>
      </c>
      <c r="P152" s="13">
        <f t="shared" si="141"/>
        <v>1.5870730813698654E-12</v>
      </c>
      <c r="Q152" s="20">
        <f t="shared" si="108"/>
        <v>2.9494845662396269E-12</v>
      </c>
      <c r="R152" s="59">
        <f t="shared" si="109"/>
        <v>289.08959867803105</v>
      </c>
      <c r="S152" s="59">
        <f ca="1">AVERAGE(OFFSET($R$3,0,0,'Données projet'!$E$9+1,1))-AVERAGE(OFFSET($H$3,0,0,'Données projet'!$E$9+1,1))</f>
        <v>302.99089313578685</v>
      </c>
      <c r="T152" s="59">
        <f t="shared" si="142"/>
        <v>335.51949678160906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16.557310295720033</v>
      </c>
      <c r="AA152" s="21">
        <f>EXP(-LN(2)/25)*AA151+(1-EXP(-LN(2)/25))/(LN(2)/25)*Calculateur!V152*Calculateur!X152*VLOOKUP('Données projet'!$B$9,Paramètres!$A$1:$I$89,3,0)*0.475*44/12</f>
        <v>3.8844377116752828</v>
      </c>
      <c r="AB152" s="21">
        <f>EXP(-LN(2)/2)*AB151+(1-EXP(-LN(2)/2))/(LN(2)/2)*V152*Y152*VLOOKUP('Données projet'!$B$9,Paramètres!$A$1:$I$89,3,0)*0.475*44/12</f>
        <v>2.0438112292308232E-13</v>
      </c>
      <c r="AC152" s="22">
        <f t="shared" si="111"/>
        <v>20.441748007395521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68.842617821280385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68.842617821280385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1.1368683772161603E-13</v>
      </c>
      <c r="BE152" s="13">
        <f>BD152*VLOOKUP('Données projet'!$B$11,Paramètres!$A$1:$I$89,3,0)*VLOOKUP('Données projet'!$B$11,Paramètres!$A$1:$I$89,5,0)</f>
        <v>4.5815795601811263E-14</v>
      </c>
      <c r="BF152" s="13">
        <f t="shared" si="145"/>
        <v>7.5374618042508364E-13</v>
      </c>
      <c r="BG152" s="20">
        <f t="shared" si="115"/>
        <v>1.392570441580175E-12</v>
      </c>
      <c r="BH152" s="59">
        <f t="shared" si="116"/>
        <v>289.08959867802946</v>
      </c>
      <c r="BI152" s="59">
        <f ca="1">AVERAGE(OFFSET($BH$3,0,0,'Données projet'!$E$11+1,1))-AVERAGE(OFFSET($H$3,0,0,'Données projet'!$E$11+1,1))</f>
        <v>377.91408971696819</v>
      </c>
      <c r="BJ152" s="59">
        <f t="shared" si="146"/>
        <v>321.68797596002366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48.04239472940214</v>
      </c>
      <c r="BQ152" s="21">
        <f>EXP(-LN(2)/25)*BQ151+(1-EXP(-LN(2)/25))/(LN(2)/25)*Calculateur!BL152*Calculateur!BN152*VLOOKUP('Données projet'!$B$11,Paramètres!$A$1:$I$89,3,0)*0.475*44/12</f>
        <v>9.6770781753146125</v>
      </c>
      <c r="BR152" s="21">
        <f>EXP(-LN(2)/2)*BR151+(1-EXP(-LN(2)/2))/(LN(2)/2)*BL152*BO152*VLOOKUP('Données projet'!$B$11,Paramètres!$A$1:$I$89,3,0)*0.475*44/12</f>
        <v>2.9497959299340668E-9</v>
      </c>
      <c r="BS152" s="22">
        <f t="shared" si="117"/>
        <v>57.71947290766655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68.842617821280385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68.842617821280385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68.842617821280385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68.842617821280385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68.842617821280385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68.842617821280385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68.842617821280385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3.14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11.513333333333334</v>
      </c>
      <c r="H153" s="67">
        <f t="shared" si="110"/>
        <v>210.61333333333332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68.862695814562258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1.064108801074326E-13</v>
      </c>
      <c r="P153" s="13">
        <f t="shared" si="141"/>
        <v>1.5870730813698654E-12</v>
      </c>
      <c r="Q153" s="20">
        <f t="shared" si="108"/>
        <v>2.9494845662396269E-12</v>
      </c>
      <c r="R153" s="59">
        <f t="shared" si="109"/>
        <v>289.16321798673124</v>
      </c>
      <c r="S153" s="59">
        <f ca="1">AVERAGE(OFFSET($R$3,0,0,'Données projet'!$E$9+1,1))-AVERAGE(OFFSET($H$3,0,0,'Données projet'!$E$9+1,1))</f>
        <v>302.99089313578685</v>
      </c>
      <c r="T153" s="59">
        <f t="shared" si="142"/>
        <v>335.51949678160906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16.232631539783053</v>
      </c>
      <c r="AA153" s="21">
        <f>EXP(-LN(2)/25)*AA152+(1-EXP(-LN(2)/25))/(LN(2)/25)*Calculateur!V153*Calculateur!X153*VLOOKUP('Données projet'!$B$9,Paramètres!$A$1:$I$89,3,0)*0.475*44/12</f>
        <v>3.7782175581758208</v>
      </c>
      <c r="AB153" s="21">
        <f>EXP(-LN(2)/2)*AB152+(1-EXP(-LN(2)/2))/(LN(2)/2)*V153*Y153*VLOOKUP('Données projet'!$B$9,Paramètres!$A$1:$I$89,3,0)*0.475*44/12</f>
        <v>1.4451927796543284E-13</v>
      </c>
      <c r="AC153" s="22">
        <f t="shared" si="111"/>
        <v>20.010849097959021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68.862695814562258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68.862695814562258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1.1368683772161603E-13</v>
      </c>
      <c r="BE153" s="13">
        <f>BD153*VLOOKUP('Données projet'!$B$11,Paramètres!$A$1:$I$89,3,0)*VLOOKUP('Données projet'!$B$11,Paramètres!$A$1:$I$89,5,0)</f>
        <v>4.5815795601811263E-14</v>
      </c>
      <c r="BF153" s="13">
        <f t="shared" si="145"/>
        <v>7.5374618042508364E-13</v>
      </c>
      <c r="BG153" s="20">
        <f t="shared" si="115"/>
        <v>1.392570441580175E-12</v>
      </c>
      <c r="BH153" s="59">
        <f t="shared" si="116"/>
        <v>289.16321798672965</v>
      </c>
      <c r="BI153" s="59">
        <f ca="1">AVERAGE(OFFSET($BH$3,0,0,'Données projet'!$E$11+1,1))-AVERAGE(OFFSET($H$3,0,0,'Données projet'!$E$11+1,1))</f>
        <v>377.91408971696819</v>
      </c>
      <c r="BJ153" s="59">
        <f t="shared" si="146"/>
        <v>321.68797596002366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47.100312671725924</v>
      </c>
      <c r="BQ153" s="21">
        <f>EXP(-LN(2)/25)*BQ152+(1-EXP(-LN(2)/25))/(LN(2)/25)*Calculateur!BL153*Calculateur!BN153*VLOOKUP('Données projet'!$B$11,Paramètres!$A$1:$I$89,3,0)*0.475*44/12</f>
        <v>9.4124579637152106</v>
      </c>
      <c r="BR153" s="21">
        <f>EXP(-LN(2)/2)*BR152+(1-EXP(-LN(2)/2))/(LN(2)/2)*BL153*BO153*VLOOKUP('Données projet'!$B$11,Paramètres!$A$1:$I$89,3,0)*0.475*44/12</f>
        <v>2.0858207051728566E-9</v>
      </c>
      <c r="BS153" s="22">
        <f t="shared" si="117"/>
        <v>56.512770637526955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68.862695814562258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68.862695814562258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68.862695814562258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68.862695814562258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68.862695814562258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68.862695814562258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68.862695814562258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3.14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11.513333333333334</v>
      </c>
      <c r="H154" s="67">
        <f t="shared" si="110"/>
        <v>210.61333333333332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68.882425499548361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1.064108801074326E-13</v>
      </c>
      <c r="P154" s="13">
        <f t="shared" si="141"/>
        <v>1.5870730813698654E-12</v>
      </c>
      <c r="Q154" s="20">
        <f t="shared" ref="Q154:Q203" si="162">(O154+P154)*0.475*44/12</f>
        <v>2.9494845662396269E-12</v>
      </c>
      <c r="R154" s="59">
        <f t="shared" si="109"/>
        <v>289.23556016501362</v>
      </c>
      <c r="S154" s="59">
        <f ca="1">AVERAGE(OFFSET($R$3,0,0,'Données projet'!$E$9+1,1))-AVERAGE(OFFSET($H$3,0,0,'Données projet'!$E$9+1,1))</f>
        <v>302.99089313578685</v>
      </c>
      <c r="T154" s="59">
        <f t="shared" si="142"/>
        <v>335.51949678160906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15.914319536215512</v>
      </c>
      <c r="AA154" s="21">
        <f>EXP(-LN(2)/25)*AA153+(1-EXP(-LN(2)/25))/(LN(2)/25)*Calculateur!V154*Calculateur!X154*VLOOKUP('Données projet'!$B$9,Paramètres!$A$1:$I$89,3,0)*0.475*44/12</f>
        <v>3.6749020003596771</v>
      </c>
      <c r="AB154" s="21">
        <f>EXP(-LN(2)/2)*AB153+(1-EXP(-LN(2)/2))/(LN(2)/2)*V154*Y154*VLOOKUP('Données projet'!$B$9,Paramètres!$A$1:$I$89,3,0)*0.475*44/12</f>
        <v>1.0219056146154116E-13</v>
      </c>
      <c r="AC154" s="22">
        <f t="shared" ref="AC154:AC203" si="163">SUM(Z154:AB154)</f>
        <v>19.589221536575291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68.882425499548361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68.882425499548361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1.1368683772161603E-13</v>
      </c>
      <c r="BE154" s="13">
        <f>BD154*VLOOKUP('Données projet'!$B$11,Paramètres!$A$1:$I$89,3,0)*VLOOKUP('Données projet'!$B$11,Paramètres!$A$1:$I$89,5,0)</f>
        <v>4.5815795601811263E-14</v>
      </c>
      <c r="BF154" s="13">
        <f t="shared" ref="BF154:BF203" si="167">EXP(-1.0587+0.8836*LN(BE154)+0.284)</f>
        <v>7.5374618042508364E-13</v>
      </c>
      <c r="BG154" s="20">
        <f t="shared" ref="BG154:BG203" si="168">(BE154+BF154)*0.475*44/12</f>
        <v>1.392570441580175E-12</v>
      </c>
      <c r="BH154" s="59">
        <f t="shared" si="116"/>
        <v>289.23556016501203</v>
      </c>
      <c r="BI154" s="59">
        <f ca="1">AVERAGE(OFFSET($BH$3,0,0,'Données projet'!$E$11+1,1))-AVERAGE(OFFSET($H$3,0,0,'Données projet'!$E$11+1,1))</f>
        <v>377.91408971696819</v>
      </c>
      <c r="BJ154" s="59">
        <f t="shared" si="146"/>
        <v>321.68797596002366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46.176704268587422</v>
      </c>
      <c r="BQ154" s="21">
        <f>EXP(-LN(2)/25)*BQ153+(1-EXP(-LN(2)/25))/(LN(2)/25)*Calculateur!BL154*Calculateur!BN154*VLOOKUP('Données projet'!$B$11,Paramètres!$A$1:$I$89,3,0)*0.475*44/12</f>
        <v>9.1550738057177661</v>
      </c>
      <c r="BR154" s="21">
        <f>EXP(-LN(2)/2)*BR153+(1-EXP(-LN(2)/2))/(LN(2)/2)*BL154*BO154*VLOOKUP('Données projet'!$B$11,Paramètres!$A$1:$I$89,3,0)*0.475*44/12</f>
        <v>1.4748979649670334E-9</v>
      </c>
      <c r="BS154" s="22">
        <f t="shared" ref="BS154:BS203" si="169">SUM(BP154:BR154)</f>
        <v>55.331778075780086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68.882425499548361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68.882425499548361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68.882425499548361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68.882425499548361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68.882425499548361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68.882425499548361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68.882425499548361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3.14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11.513333333333334</v>
      </c>
      <c r="H155" s="67">
        <f t="shared" si="110"/>
        <v>210.61333333333332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68.901812918608911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1.064108801074326E-13</v>
      </c>
      <c r="P155" s="13">
        <f t="shared" si="141"/>
        <v>1.5870730813698654E-12</v>
      </c>
      <c r="Q155" s="20">
        <f t="shared" si="162"/>
        <v>2.9494845662396269E-12</v>
      </c>
      <c r="R155" s="59">
        <f t="shared" si="109"/>
        <v>289.30664736823564</v>
      </c>
      <c r="S155" s="59">
        <f ca="1">AVERAGE(OFFSET($R$3,0,0,'Données projet'!$E$9+1,1))-AVERAGE(OFFSET($H$3,0,0,'Données projet'!$E$9+1,1))</f>
        <v>302.99089313578685</v>
      </c>
      <c r="T155" s="59">
        <f t="shared" si="142"/>
        <v>335.51949678160906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15.602249436886778</v>
      </c>
      <c r="AA155" s="21">
        <f>EXP(-LN(2)/25)*AA154+(1-EXP(-LN(2)/25))/(LN(2)/25)*Calculateur!V155*Calculateur!X155*VLOOKUP('Données projet'!$B$9,Paramètres!$A$1:$I$89,3,0)*0.475*44/12</f>
        <v>3.5744116119051448</v>
      </c>
      <c r="AB155" s="21">
        <f>EXP(-LN(2)/2)*AB154+(1-EXP(-LN(2)/2))/(LN(2)/2)*V155*Y155*VLOOKUP('Données projet'!$B$9,Paramètres!$A$1:$I$89,3,0)*0.475*44/12</f>
        <v>7.2259638982716419E-14</v>
      </c>
      <c r="AC155" s="22">
        <f t="shared" si="163"/>
        <v>19.176661048791992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68.901812918608911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68.901812918608911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1.1368683772161603E-13</v>
      </c>
      <c r="BE155" s="13">
        <f>BD155*VLOOKUP('Données projet'!$B$11,Paramètres!$A$1:$I$89,3,0)*VLOOKUP('Données projet'!$B$11,Paramètres!$A$1:$I$89,5,0)</f>
        <v>4.5815795601811263E-14</v>
      </c>
      <c r="BF155" s="13">
        <f t="shared" si="167"/>
        <v>7.5374618042508364E-13</v>
      </c>
      <c r="BG155" s="20">
        <f t="shared" si="168"/>
        <v>1.392570441580175E-12</v>
      </c>
      <c r="BH155" s="59">
        <f t="shared" si="116"/>
        <v>289.30664736823405</v>
      </c>
      <c r="BI155" s="59">
        <f ca="1">AVERAGE(OFFSET($BH$3,0,0,'Données projet'!$E$11+1,1))-AVERAGE(OFFSET($H$3,0,0,'Données projet'!$E$11+1,1))</f>
        <v>377.91408971696819</v>
      </c>
      <c r="BJ155" s="59">
        <f t="shared" si="146"/>
        <v>321.68797596002366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45.271207262888964</v>
      </c>
      <c r="BQ155" s="21">
        <f>EXP(-LN(2)/25)*BQ154+(1-EXP(-LN(2)/25))/(LN(2)/25)*Calculateur!BL155*Calculateur!BN155*VLOOKUP('Données projet'!$B$11,Paramètres!$A$1:$I$89,3,0)*0.475*44/12</f>
        <v>8.9047278310560074</v>
      </c>
      <c r="BR155" s="21">
        <f>EXP(-LN(2)/2)*BR154+(1-EXP(-LN(2)/2))/(LN(2)/2)*BL155*BO155*VLOOKUP('Données projet'!$B$11,Paramètres!$A$1:$I$89,3,0)*0.475*44/12</f>
        <v>1.0429103525864283E-9</v>
      </c>
      <c r="BS155" s="22">
        <f t="shared" si="169"/>
        <v>54.175935094987885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68.901812918608911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68.901812918608911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68.901812918608911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68.901812918608911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68.901812918608911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68.901812918608911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68.901812918608911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3.14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11.513333333333334</v>
      </c>
      <c r="H156" s="67">
        <f t="shared" si="110"/>
        <v>210.61333333333332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68.920864009292558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1.064108801074326E-13</v>
      </c>
      <c r="P156" s="13">
        <f t="shared" si="141"/>
        <v>1.5870730813698654E-12</v>
      </c>
      <c r="Q156" s="20">
        <f t="shared" si="162"/>
        <v>2.9494845662396269E-12</v>
      </c>
      <c r="R156" s="59">
        <f t="shared" si="109"/>
        <v>289.37650136740899</v>
      </c>
      <c r="S156" s="59">
        <f ca="1">AVERAGE(OFFSET($R$3,0,0,'Données projet'!$E$9+1,1))-AVERAGE(OFFSET($H$3,0,0,'Données projet'!$E$9+1,1))</f>
        <v>302.99089313578685</v>
      </c>
      <c r="T156" s="59">
        <f t="shared" si="142"/>
        <v>335.51949678160906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15.296298841861915</v>
      </c>
      <c r="AA156" s="21">
        <f>EXP(-LN(2)/25)*AA155+(1-EXP(-LN(2)/25))/(LN(2)/25)*Calculateur!V156*Calculateur!X156*VLOOKUP('Données projet'!$B$9,Paramètres!$A$1:$I$89,3,0)*0.475*44/12</f>
        <v>3.4766691384074613</v>
      </c>
      <c r="AB156" s="21">
        <f>EXP(-LN(2)/2)*AB155+(1-EXP(-LN(2)/2))/(LN(2)/2)*V156*Y156*VLOOKUP('Données projet'!$B$9,Paramètres!$A$1:$I$89,3,0)*0.475*44/12</f>
        <v>5.1095280730770579E-14</v>
      </c>
      <c r="AC156" s="22">
        <f t="shared" si="163"/>
        <v>18.772967980269428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68.920864009292558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68.920864009292558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1.1368683772161603E-13</v>
      </c>
      <c r="BE156" s="13">
        <f>BD156*VLOOKUP('Données projet'!$B$11,Paramètres!$A$1:$I$89,3,0)*VLOOKUP('Données projet'!$B$11,Paramètres!$A$1:$I$89,5,0)</f>
        <v>4.5815795601811263E-14</v>
      </c>
      <c r="BF156" s="13">
        <f t="shared" si="167"/>
        <v>7.5374618042508364E-13</v>
      </c>
      <c r="BG156" s="20">
        <f t="shared" si="168"/>
        <v>1.392570441580175E-12</v>
      </c>
      <c r="BH156" s="59">
        <f t="shared" si="116"/>
        <v>289.3765013674074</v>
      </c>
      <c r="BI156" s="59">
        <f ca="1">AVERAGE(OFFSET($BH$3,0,0,'Données projet'!$E$11+1,1))-AVERAGE(OFFSET($H$3,0,0,'Données projet'!$E$11+1,1))</f>
        <v>377.91408971696819</v>
      </c>
      <c r="BJ156" s="59">
        <f t="shared" si="146"/>
        <v>321.68797596002366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44.383466501173615</v>
      </c>
      <c r="BQ156" s="21">
        <f>EXP(-LN(2)/25)*BQ155+(1-EXP(-LN(2)/25))/(LN(2)/25)*Calculateur!BL156*Calculateur!BN156*VLOOKUP('Données projet'!$B$11,Paramètres!$A$1:$I$89,3,0)*0.475*44/12</f>
        <v>8.6612275802364955</v>
      </c>
      <c r="BR156" s="21">
        <f>EXP(-LN(2)/2)*BR155+(1-EXP(-LN(2)/2))/(LN(2)/2)*BL156*BO156*VLOOKUP('Données projet'!$B$11,Paramètres!$A$1:$I$89,3,0)*0.475*44/12</f>
        <v>7.3744898248351671E-10</v>
      </c>
      <c r="BS156" s="22">
        <f t="shared" si="169"/>
        <v>53.044694082147565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68.920864009292558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68.920864009292558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68.920864009292558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68.920864009292558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68.920864009292558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68.920864009292558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68.920864009292558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3.14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11.513333333333334</v>
      </c>
      <c r="H157" s="67">
        <f t="shared" si="110"/>
        <v>210.61333333333332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68.939584606144678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1.064108801074326E-13</v>
      </c>
      <c r="P157" s="13">
        <f t="shared" si="141"/>
        <v>1.5870730813698654E-12</v>
      </c>
      <c r="Q157" s="20">
        <f t="shared" si="162"/>
        <v>2.9494845662396269E-12</v>
      </c>
      <c r="R157" s="59">
        <f t="shared" si="109"/>
        <v>289.44514355586676</v>
      </c>
      <c r="S157" s="59">
        <f ca="1">AVERAGE(OFFSET($R$3,0,0,'Données projet'!$E$9+1,1))-AVERAGE(OFFSET($H$3,0,0,'Données projet'!$E$9+1,1))</f>
        <v>302.99089313578685</v>
      </c>
      <c r="T157" s="59">
        <f t="shared" si="142"/>
        <v>335.51949678160906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14.996347751394053</v>
      </c>
      <c r="AA157" s="21">
        <f>EXP(-LN(2)/25)*AA156+(1-EXP(-LN(2)/25))/(LN(2)/25)*Calculateur!V157*Calculateur!X157*VLOOKUP('Données projet'!$B$9,Paramètres!$A$1:$I$89,3,0)*0.475*44/12</f>
        <v>3.3815994379876253</v>
      </c>
      <c r="AB157" s="21">
        <f>EXP(-LN(2)/2)*AB156+(1-EXP(-LN(2)/2))/(LN(2)/2)*V157*Y157*VLOOKUP('Données projet'!$B$9,Paramètres!$A$1:$I$89,3,0)*0.475*44/12</f>
        <v>3.6129819491358209E-14</v>
      </c>
      <c r="AC157" s="22">
        <f t="shared" si="163"/>
        <v>18.377947189381715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68.939584606144678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68.939584606144678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1.1368683772161603E-13</v>
      </c>
      <c r="BE157" s="13">
        <f>BD157*VLOOKUP('Données projet'!$B$11,Paramètres!$A$1:$I$89,3,0)*VLOOKUP('Données projet'!$B$11,Paramètres!$A$1:$I$89,5,0)</f>
        <v>4.5815795601811263E-14</v>
      </c>
      <c r="BF157" s="13">
        <f t="shared" si="167"/>
        <v>7.5374618042508364E-13</v>
      </c>
      <c r="BG157" s="20">
        <f t="shared" si="168"/>
        <v>1.392570441580175E-12</v>
      </c>
      <c r="BH157" s="59">
        <f t="shared" si="116"/>
        <v>289.44514355586517</v>
      </c>
      <c r="BI157" s="59">
        <f ca="1">AVERAGE(OFFSET($BH$3,0,0,'Données projet'!$E$11+1,1))-AVERAGE(OFFSET($H$3,0,0,'Données projet'!$E$11+1,1))</f>
        <v>377.91408971696819</v>
      </c>
      <c r="BJ157" s="59">
        <f t="shared" si="146"/>
        <v>321.68797596002366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43.513133794327103</v>
      </c>
      <c r="BQ157" s="21">
        <f>EXP(-LN(2)/25)*BQ156+(1-EXP(-LN(2)/25))/(LN(2)/25)*Calculateur!BL157*Calculateur!BN157*VLOOKUP('Données projet'!$B$11,Paramètres!$A$1:$I$89,3,0)*0.475*44/12</f>
        <v>8.4243858565807663</v>
      </c>
      <c r="BR157" s="21">
        <f>EXP(-LN(2)/2)*BR156+(1-EXP(-LN(2)/2))/(LN(2)/2)*BL157*BO157*VLOOKUP('Données projet'!$B$11,Paramètres!$A$1:$I$89,3,0)*0.475*44/12</f>
        <v>5.2145517629321416E-10</v>
      </c>
      <c r="BS157" s="22">
        <f t="shared" si="169"/>
        <v>51.937519651429326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68.939584606144678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68.939584606144678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68.939584606144678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68.939584606144678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68.939584606144678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68.939584606144678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68.939584606144678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3.14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11.513333333333334</v>
      </c>
      <c r="H158" s="67">
        <f t="shared" si="110"/>
        <v>210.61333333333332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68.957980442494403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1.064108801074326E-13</v>
      </c>
      <c r="P158" s="13">
        <f t="shared" si="141"/>
        <v>1.5870730813698654E-12</v>
      </c>
      <c r="Q158" s="20">
        <f t="shared" si="162"/>
        <v>2.9494845662396269E-12</v>
      </c>
      <c r="R158" s="59">
        <f t="shared" si="109"/>
        <v>289.51259495581576</v>
      </c>
      <c r="S158" s="59">
        <f ca="1">AVERAGE(OFFSET($R$3,0,0,'Données projet'!$E$9+1,1))-AVERAGE(OFFSET($H$3,0,0,'Données projet'!$E$9+1,1))</f>
        <v>302.99089313578685</v>
      </c>
      <c r="T158" s="59">
        <f t="shared" si="142"/>
        <v>335.51949678160906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14.702278518858165</v>
      </c>
      <c r="AA158" s="21">
        <f>EXP(-LN(2)/25)*AA157+(1-EXP(-LN(2)/25))/(LN(2)/25)*Calculateur!V158*Calculateur!X158*VLOOKUP('Données projet'!$B$9,Paramètres!$A$1:$I$89,3,0)*0.475*44/12</f>
        <v>3.2891294235252682</v>
      </c>
      <c r="AB158" s="21">
        <f>EXP(-LN(2)/2)*AB157+(1-EXP(-LN(2)/2))/(LN(2)/2)*V158*Y158*VLOOKUP('Données projet'!$B$9,Paramètres!$A$1:$I$89,3,0)*0.475*44/12</f>
        <v>2.5547640365385289E-14</v>
      </c>
      <c r="AC158" s="22">
        <f t="shared" si="163"/>
        <v>17.991407942383457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68.957980442494403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68.957980442494403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1.1368683772161603E-13</v>
      </c>
      <c r="BE158" s="13">
        <f>BD158*VLOOKUP('Données projet'!$B$11,Paramètres!$A$1:$I$89,3,0)*VLOOKUP('Données projet'!$B$11,Paramètres!$A$1:$I$89,5,0)</f>
        <v>4.5815795601811263E-14</v>
      </c>
      <c r="BF158" s="13">
        <f t="shared" si="167"/>
        <v>7.5374618042508364E-13</v>
      </c>
      <c r="BG158" s="20">
        <f t="shared" si="168"/>
        <v>1.392570441580175E-12</v>
      </c>
      <c r="BH158" s="59">
        <f t="shared" si="116"/>
        <v>289.51259495581417</v>
      </c>
      <c r="BI158" s="59">
        <f ca="1">AVERAGE(OFFSET($BH$3,0,0,'Données projet'!$E$11+1,1))-AVERAGE(OFFSET($H$3,0,0,'Données projet'!$E$11+1,1))</f>
        <v>377.91408971696819</v>
      </c>
      <c r="BJ158" s="59">
        <f t="shared" si="146"/>
        <v>321.68797596002366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42.659867781011314</v>
      </c>
      <c r="BQ158" s="21">
        <f>EXP(-LN(2)/25)*BQ157+(1-EXP(-LN(2)/25))/(LN(2)/25)*Calculateur!BL158*Calculateur!BN158*VLOOKUP('Données projet'!$B$11,Paramètres!$A$1:$I$89,3,0)*0.475*44/12</f>
        <v>8.1940205823133674</v>
      </c>
      <c r="BR158" s="21">
        <f>EXP(-LN(2)/2)*BR157+(1-EXP(-LN(2)/2))/(LN(2)/2)*BL158*BO158*VLOOKUP('Données projet'!$B$11,Paramètres!$A$1:$I$89,3,0)*0.475*44/12</f>
        <v>3.6872449124175835E-10</v>
      </c>
      <c r="BS158" s="22">
        <f t="shared" si="169"/>
        <v>50.853888363693407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68.957980442494403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68.957980442494403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68.957980442494403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68.957980442494403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68.957980442494403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68.957980442494403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68.957980442494403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3.14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11.513333333333334</v>
      </c>
      <c r="H159" s="67">
        <f t="shared" si="110"/>
        <v>210.61333333333332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68.976057152210387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1.064108801074326E-13</v>
      </c>
      <c r="P159" s="13">
        <f t="shared" si="141"/>
        <v>1.5870730813698654E-12</v>
      </c>
      <c r="Q159" s="20">
        <f t="shared" si="162"/>
        <v>2.9494845662396269E-12</v>
      </c>
      <c r="R159" s="59">
        <f t="shared" si="109"/>
        <v>289.57887622477438</v>
      </c>
      <c r="S159" s="59">
        <f ca="1">AVERAGE(OFFSET($R$3,0,0,'Données projet'!$E$9+1,1))-AVERAGE(OFFSET($H$3,0,0,'Données projet'!$E$9+1,1))</f>
        <v>302.99089313578685</v>
      </c>
      <c r="T159" s="59">
        <f t="shared" si="142"/>
        <v>335.51949678160906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14.413975804607785</v>
      </c>
      <c r="AA159" s="21">
        <f>EXP(-LN(2)/25)*AA158+(1-EXP(-LN(2)/25))/(LN(2)/25)*Calculateur!V159*Calculateur!X159*VLOOKUP('Données projet'!$B$9,Paramètres!$A$1:$I$89,3,0)*0.475*44/12</f>
        <v>3.1991880064711706</v>
      </c>
      <c r="AB159" s="21">
        <f>EXP(-LN(2)/2)*AB158+(1-EXP(-LN(2)/2))/(LN(2)/2)*V159*Y159*VLOOKUP('Données projet'!$B$9,Paramètres!$A$1:$I$89,3,0)*0.475*44/12</f>
        <v>1.8064909745679105E-14</v>
      </c>
      <c r="AC159" s="22">
        <f t="shared" si="163"/>
        <v>17.613163811078973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68.976057152210387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68.976057152210387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1.1368683772161603E-13</v>
      </c>
      <c r="BE159" s="13">
        <f>BD159*VLOOKUP('Données projet'!$B$11,Paramètres!$A$1:$I$89,3,0)*VLOOKUP('Données projet'!$B$11,Paramètres!$A$1:$I$89,5,0)</f>
        <v>4.5815795601811263E-14</v>
      </c>
      <c r="BF159" s="13">
        <f t="shared" si="167"/>
        <v>7.5374618042508364E-13</v>
      </c>
      <c r="BG159" s="20">
        <f t="shared" si="168"/>
        <v>1.392570441580175E-12</v>
      </c>
      <c r="BH159" s="59">
        <f t="shared" si="116"/>
        <v>289.57887622477278</v>
      </c>
      <c r="BI159" s="59">
        <f ca="1">AVERAGE(OFFSET($BH$3,0,0,'Données projet'!$E$11+1,1))-AVERAGE(OFFSET($H$3,0,0,'Données projet'!$E$11+1,1))</f>
        <v>377.91408971696819</v>
      </c>
      <c r="BJ159" s="59">
        <f t="shared" si="146"/>
        <v>321.68797596002366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41.823333793775774</v>
      </c>
      <c r="BQ159" s="21">
        <f>EXP(-LN(2)/25)*BQ158+(1-EXP(-LN(2)/25))/(LN(2)/25)*Calculateur!BL159*Calculateur!BN159*VLOOKUP('Données projet'!$B$11,Paramètres!$A$1:$I$89,3,0)*0.475*44/12</f>
        <v>7.9699546585851939</v>
      </c>
      <c r="BR159" s="21">
        <f>EXP(-LN(2)/2)*BR158+(1-EXP(-LN(2)/2))/(LN(2)/2)*BL159*BO159*VLOOKUP('Données projet'!$B$11,Paramètres!$A$1:$I$89,3,0)*0.475*44/12</f>
        <v>2.6072758814660708E-10</v>
      </c>
      <c r="BS159" s="22">
        <f t="shared" si="169"/>
        <v>49.793288452621695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68.976057152210387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68.976057152210387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68.976057152210387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68.976057152210387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68.976057152210387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68.976057152210387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68.976057152210387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3.14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11.513333333333334</v>
      </c>
      <c r="H160" s="67">
        <f t="shared" si="110"/>
        <v>210.61333333333332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68.993820271426287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1.064108801074326E-13</v>
      </c>
      <c r="P160" s="13">
        <f t="shared" si="141"/>
        <v>1.5870730813698654E-12</v>
      </c>
      <c r="Q160" s="20">
        <f t="shared" si="162"/>
        <v>2.9494845662396269E-12</v>
      </c>
      <c r="R160" s="59">
        <f t="shared" si="109"/>
        <v>289.64400766189937</v>
      </c>
      <c r="S160" s="59">
        <f ca="1">AVERAGE(OFFSET($R$3,0,0,'Données projet'!$E$9+1,1))-AVERAGE(OFFSET($H$3,0,0,'Données projet'!$E$9+1,1))</f>
        <v>302.99089313578685</v>
      </c>
      <c r="T160" s="59">
        <f t="shared" si="142"/>
        <v>335.51949678160906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14.131326530736564</v>
      </c>
      <c r="AA160" s="21">
        <f>EXP(-LN(2)/25)*AA159+(1-EXP(-LN(2)/25))/(LN(2)/25)*Calculateur!V160*Calculateur!X160*VLOOKUP('Données projet'!$B$9,Paramètres!$A$1:$I$89,3,0)*0.475*44/12</f>
        <v>3.1117060421962313</v>
      </c>
      <c r="AB160" s="21">
        <f>EXP(-LN(2)/2)*AB159+(1-EXP(-LN(2)/2))/(LN(2)/2)*V160*Y160*VLOOKUP('Données projet'!$B$9,Paramètres!$A$1:$I$89,3,0)*0.475*44/12</f>
        <v>1.2773820182692645E-14</v>
      </c>
      <c r="AC160" s="22">
        <f t="shared" si="163"/>
        <v>17.243032572932808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68.993820271426287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68.993820271426287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1.1368683772161603E-13</v>
      </c>
      <c r="BE160" s="13">
        <f>BD160*VLOOKUP('Données projet'!$B$11,Paramètres!$A$1:$I$89,3,0)*VLOOKUP('Données projet'!$B$11,Paramètres!$A$1:$I$89,5,0)</f>
        <v>4.5815795601811263E-14</v>
      </c>
      <c r="BF160" s="13">
        <f t="shared" si="167"/>
        <v>7.5374618042508364E-13</v>
      </c>
      <c r="BG160" s="20">
        <f t="shared" si="168"/>
        <v>1.392570441580175E-12</v>
      </c>
      <c r="BH160" s="59">
        <f t="shared" si="116"/>
        <v>289.64400766189777</v>
      </c>
      <c r="BI160" s="59">
        <f ca="1">AVERAGE(OFFSET($BH$3,0,0,'Données projet'!$E$11+1,1))-AVERAGE(OFFSET($H$3,0,0,'Données projet'!$E$11+1,1))</f>
        <v>377.91408971696819</v>
      </c>
      <c r="BJ160" s="59">
        <f t="shared" si="146"/>
        <v>321.68797596002366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41.00320372779457</v>
      </c>
      <c r="BQ160" s="21">
        <f>EXP(-LN(2)/25)*BQ159+(1-EXP(-LN(2)/25))/(LN(2)/25)*Calculateur!BL160*Calculateur!BN160*VLOOKUP('Données projet'!$B$11,Paramètres!$A$1:$I$89,3,0)*0.475*44/12</f>
        <v>7.7520158293244821</v>
      </c>
      <c r="BR160" s="21">
        <f>EXP(-LN(2)/2)*BR159+(1-EXP(-LN(2)/2))/(LN(2)/2)*BL160*BO160*VLOOKUP('Données projet'!$B$11,Paramètres!$A$1:$I$89,3,0)*0.475*44/12</f>
        <v>1.8436224562087918E-10</v>
      </c>
      <c r="BS160" s="22">
        <f t="shared" si="169"/>
        <v>48.75521955730342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68.993820271426287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68.993820271426287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68.993820271426287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68.993820271426287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68.993820271426287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68.993820271426287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68.993820271426287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3.14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11.513333333333334</v>
      </c>
      <c r="H161" s="67">
        <f t="shared" si="110"/>
        <v>210.61333333333332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69.011275240236159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1.064108801074326E-13</v>
      </c>
      <c r="P161" s="13">
        <f t="shared" si="141"/>
        <v>1.5870730813698654E-12</v>
      </c>
      <c r="Q161" s="20">
        <f t="shared" si="162"/>
        <v>2.9494845662396269E-12</v>
      </c>
      <c r="R161" s="59">
        <f t="shared" si="109"/>
        <v>289.70800921420221</v>
      </c>
      <c r="S161" s="59">
        <f ca="1">AVERAGE(OFFSET($R$3,0,0,'Données projet'!$E$9+1,1))-AVERAGE(OFFSET($H$3,0,0,'Données projet'!$E$9+1,1))</f>
        <v>302.99089313578685</v>
      </c>
      <c r="T161" s="59">
        <f t="shared" si="142"/>
        <v>335.51949678160906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13.854219836726923</v>
      </c>
      <c r="AA161" s="21">
        <f>EXP(-LN(2)/25)*AA160+(1-EXP(-LN(2)/25))/(LN(2)/25)*Calculateur!V161*Calculateur!X161*VLOOKUP('Données projet'!$B$9,Paramètres!$A$1:$I$89,3,0)*0.475*44/12</f>
        <v>3.0266162768348663</v>
      </c>
      <c r="AB161" s="21">
        <f>EXP(-LN(2)/2)*AB160+(1-EXP(-LN(2)/2))/(LN(2)/2)*V161*Y161*VLOOKUP('Données projet'!$B$9,Paramètres!$A$1:$I$89,3,0)*0.475*44/12</f>
        <v>9.0324548728395523E-15</v>
      </c>
      <c r="AC161" s="22">
        <f t="shared" si="163"/>
        <v>16.880836113561799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69.011275240236159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69.011275240236159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1.1368683772161603E-13</v>
      </c>
      <c r="BE161" s="13">
        <f>BD161*VLOOKUP('Données projet'!$B$11,Paramètres!$A$1:$I$89,3,0)*VLOOKUP('Données projet'!$B$11,Paramètres!$A$1:$I$89,5,0)</f>
        <v>4.5815795601811263E-14</v>
      </c>
      <c r="BF161" s="13">
        <f t="shared" si="167"/>
        <v>7.5374618042508364E-13</v>
      </c>
      <c r="BG161" s="20">
        <f t="shared" si="168"/>
        <v>1.392570441580175E-12</v>
      </c>
      <c r="BH161" s="59">
        <f t="shared" si="116"/>
        <v>289.70800921420062</v>
      </c>
      <c r="BI161" s="59">
        <f ca="1">AVERAGE(OFFSET($BH$3,0,0,'Données projet'!$E$11+1,1))-AVERAGE(OFFSET($H$3,0,0,'Données projet'!$E$11+1,1))</f>
        <v>377.91408971696819</v>
      </c>
      <c r="BJ161" s="59">
        <f t="shared" si="146"/>
        <v>321.68797596002366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40.199155912177311</v>
      </c>
      <c r="BQ161" s="21">
        <f>EXP(-LN(2)/25)*BQ160+(1-EXP(-LN(2)/25))/(LN(2)/25)*Calculateur!BL161*Calculateur!BN161*VLOOKUP('Données projet'!$B$11,Paramètres!$A$1:$I$89,3,0)*0.475*44/12</f>
        <v>7.540036548810809</v>
      </c>
      <c r="BR161" s="21">
        <f>EXP(-LN(2)/2)*BR160+(1-EXP(-LN(2)/2))/(LN(2)/2)*BL161*BO161*VLOOKUP('Données projet'!$B$11,Paramètres!$A$1:$I$89,3,0)*0.475*44/12</f>
        <v>1.3036379407330354E-10</v>
      </c>
      <c r="BS161" s="22">
        <f t="shared" si="169"/>
        <v>47.739192461118485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69.011275240236159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69.011275240236159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69.011275240236159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69.011275240236159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69.011275240236159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69.011275240236159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69.011275240236159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3.14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11.513333333333334</v>
      </c>
      <c r="H162" s="67">
        <f t="shared" si="110"/>
        <v>210.61333333333332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69.028427404360656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1.064108801074326E-13</v>
      </c>
      <c r="P162" s="13">
        <f t="shared" si="141"/>
        <v>1.5870730813698654E-12</v>
      </c>
      <c r="Q162" s="20">
        <f t="shared" si="162"/>
        <v>2.9494845662396269E-12</v>
      </c>
      <c r="R162" s="59">
        <f t="shared" si="109"/>
        <v>289.7709004826587</v>
      </c>
      <c r="S162" s="59">
        <f ca="1">AVERAGE(OFFSET($R$3,0,0,'Données projet'!$E$9+1,1))-AVERAGE(OFFSET($H$3,0,0,'Données projet'!$E$9+1,1))</f>
        <v>302.99089313578685</v>
      </c>
      <c r="T162" s="59">
        <f t="shared" si="142"/>
        <v>335.51949678160906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13.582547035968416</v>
      </c>
      <c r="AA162" s="21">
        <f>EXP(-LN(2)/25)*AA161+(1-EXP(-LN(2)/25))/(LN(2)/25)*Calculateur!V162*Calculateur!X162*VLOOKUP('Données projet'!$B$9,Paramètres!$A$1:$I$89,3,0)*0.475*44/12</f>
        <v>2.9438532955819845</v>
      </c>
      <c r="AB162" s="21">
        <f>EXP(-LN(2)/2)*AB161+(1-EXP(-LN(2)/2))/(LN(2)/2)*V162*Y162*VLOOKUP('Données projet'!$B$9,Paramètres!$A$1:$I$89,3,0)*0.475*44/12</f>
        <v>6.3869100913463223E-15</v>
      </c>
      <c r="AC162" s="22">
        <f t="shared" si="163"/>
        <v>16.526400331550406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69.028427404360656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69.028427404360656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1.1368683772161603E-13</v>
      </c>
      <c r="BE162" s="13">
        <f>BD162*VLOOKUP('Données projet'!$B$11,Paramètres!$A$1:$I$89,3,0)*VLOOKUP('Données projet'!$B$11,Paramètres!$A$1:$I$89,5,0)</f>
        <v>4.5815795601811263E-14</v>
      </c>
      <c r="BF162" s="13">
        <f t="shared" si="167"/>
        <v>7.5374618042508364E-13</v>
      </c>
      <c r="BG162" s="20">
        <f t="shared" si="168"/>
        <v>1.392570441580175E-12</v>
      </c>
      <c r="BH162" s="59">
        <f t="shared" si="116"/>
        <v>289.77090048265711</v>
      </c>
      <c r="BI162" s="59">
        <f ca="1">AVERAGE(OFFSET($BH$3,0,0,'Données projet'!$E$11+1,1))-AVERAGE(OFFSET($H$3,0,0,'Données projet'!$E$11+1,1))</f>
        <v>377.91408971696819</v>
      </c>
      <c r="BJ162" s="59">
        <f t="shared" si="146"/>
        <v>321.68797596002366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39.410874983803566</v>
      </c>
      <c r="BQ162" s="21">
        <f>EXP(-LN(2)/25)*BQ161+(1-EXP(-LN(2)/25))/(LN(2)/25)*Calculateur!BL162*Calculateur!BN162*VLOOKUP('Données projet'!$B$11,Paramètres!$A$1:$I$89,3,0)*0.475*44/12</f>
        <v>7.3338538528702886</v>
      </c>
      <c r="BR162" s="21">
        <f>EXP(-LN(2)/2)*BR161+(1-EXP(-LN(2)/2))/(LN(2)/2)*BL162*BO162*VLOOKUP('Données projet'!$B$11,Paramètres!$A$1:$I$89,3,0)*0.475*44/12</f>
        <v>9.2181122810439589E-11</v>
      </c>
      <c r="BS162" s="22">
        <f t="shared" si="169"/>
        <v>46.744728836766036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69.028427404360656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69.028427404360656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69.028427404360656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69.028427404360656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69.028427404360656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69.028427404360656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69.028427404360656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3.14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11.513333333333334</v>
      </c>
      <c r="H163" s="67">
        <f t="shared" si="110"/>
        <v>210.61333333333332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69.045282016784085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1.064108801074326E-13</v>
      </c>
      <c r="P163" s="13">
        <f t="shared" si="141"/>
        <v>1.5870730813698654E-12</v>
      </c>
      <c r="Q163" s="20">
        <f t="shared" si="162"/>
        <v>2.9494845662396269E-12</v>
      </c>
      <c r="R163" s="59">
        <f t="shared" si="109"/>
        <v>289.83270072821125</v>
      </c>
      <c r="S163" s="59">
        <f ca="1">AVERAGE(OFFSET($R$3,0,0,'Données projet'!$E$9+1,1))-AVERAGE(OFFSET($H$3,0,0,'Données projet'!$E$9+1,1))</f>
        <v>302.99089313578685</v>
      </c>
      <c r="T163" s="59">
        <f t="shared" si="142"/>
        <v>335.51949678160906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13.316201573128737</v>
      </c>
      <c r="AA163" s="21">
        <f>EXP(-LN(2)/25)*AA162+(1-EXP(-LN(2)/25))/(LN(2)/25)*Calculateur!V163*Calculateur!X163*VLOOKUP('Données projet'!$B$9,Paramètres!$A$1:$I$89,3,0)*0.475*44/12</f>
        <v>2.8633534724037788</v>
      </c>
      <c r="AB163" s="21">
        <f>EXP(-LN(2)/2)*AB162+(1-EXP(-LN(2)/2))/(LN(2)/2)*V163*Y163*VLOOKUP('Données projet'!$B$9,Paramètres!$A$1:$I$89,3,0)*0.475*44/12</f>
        <v>4.5162274364197762E-15</v>
      </c>
      <c r="AC163" s="22">
        <f t="shared" si="163"/>
        <v>16.179555045532521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69.045282016784085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69.045282016784085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1.1368683772161603E-13</v>
      </c>
      <c r="BE163" s="13">
        <f>BD163*VLOOKUP('Données projet'!$B$11,Paramètres!$A$1:$I$89,3,0)*VLOOKUP('Données projet'!$B$11,Paramètres!$A$1:$I$89,5,0)</f>
        <v>4.5815795601811263E-14</v>
      </c>
      <c r="BF163" s="13">
        <f t="shared" si="167"/>
        <v>7.5374618042508364E-13</v>
      </c>
      <c r="BG163" s="20">
        <f t="shared" si="168"/>
        <v>1.392570441580175E-12</v>
      </c>
      <c r="BH163" s="59">
        <f t="shared" si="116"/>
        <v>289.83270072820966</v>
      </c>
      <c r="BI163" s="59">
        <f ca="1">AVERAGE(OFFSET($BH$3,0,0,'Données projet'!$E$11+1,1))-AVERAGE(OFFSET($H$3,0,0,'Données projet'!$E$11+1,1))</f>
        <v>377.91408971696819</v>
      </c>
      <c r="BJ163" s="59">
        <f t="shared" si="146"/>
        <v>321.68797596002366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38.638051763631339</v>
      </c>
      <c r="BQ163" s="21">
        <f>EXP(-LN(2)/25)*BQ162+(1-EXP(-LN(2)/25))/(LN(2)/25)*Calculateur!BL163*Calculateur!BN163*VLOOKUP('Données projet'!$B$11,Paramètres!$A$1:$I$89,3,0)*0.475*44/12</f>
        <v>7.1333092335929384</v>
      </c>
      <c r="BR163" s="21">
        <f>EXP(-LN(2)/2)*BR162+(1-EXP(-LN(2)/2))/(LN(2)/2)*BL163*BO163*VLOOKUP('Données projet'!$B$11,Paramètres!$A$1:$I$89,3,0)*0.475*44/12</f>
        <v>6.518189703665177E-11</v>
      </c>
      <c r="BS163" s="22">
        <f t="shared" si="169"/>
        <v>45.771360997289463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69.045282016784085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69.045282016784085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69.045282016784085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69.045282016784085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69.045282016784085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69.045282016784085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69.045282016784085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3.14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11.513333333333334</v>
      </c>
      <c r="H164" s="67">
        <f t="shared" si="110"/>
        <v>210.61333333333332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69.061844239363225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1.064108801074326E-13</v>
      </c>
      <c r="P164" s="13">
        <f t="shared" si="141"/>
        <v>1.5870730813698654E-12</v>
      </c>
      <c r="Q164" s="20">
        <f t="shared" si="162"/>
        <v>2.9494845662396269E-12</v>
      </c>
      <c r="R164" s="59">
        <f t="shared" si="109"/>
        <v>289.8934288776681</v>
      </c>
      <c r="S164" s="59">
        <f ca="1">AVERAGE(OFFSET($R$3,0,0,'Données projet'!$E$9+1,1))-AVERAGE(OFFSET($H$3,0,0,'Données projet'!$E$9+1,1))</f>
        <v>302.99089313578685</v>
      </c>
      <c r="T164" s="59">
        <f t="shared" si="142"/>
        <v>335.51949678160906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13.055078982360653</v>
      </c>
      <c r="AA164" s="21">
        <f>EXP(-LN(2)/25)*AA163+(1-EXP(-LN(2)/25))/(LN(2)/25)*Calculateur!V164*Calculateur!X164*VLOOKUP('Données projet'!$B$9,Paramètres!$A$1:$I$89,3,0)*0.475*44/12</f>
        <v>2.7850549211236828</v>
      </c>
      <c r="AB164" s="21">
        <f>EXP(-LN(2)/2)*AB163+(1-EXP(-LN(2)/2))/(LN(2)/2)*V164*Y164*VLOOKUP('Données projet'!$B$9,Paramètres!$A$1:$I$89,3,0)*0.475*44/12</f>
        <v>3.1934550456731612E-15</v>
      </c>
      <c r="AC164" s="22">
        <f t="shared" si="163"/>
        <v>15.84013390348434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69.061844239363225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69.061844239363225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1.1368683772161603E-13</v>
      </c>
      <c r="BE164" s="13">
        <f>BD164*VLOOKUP('Données projet'!$B$11,Paramètres!$A$1:$I$89,3,0)*VLOOKUP('Données projet'!$B$11,Paramètres!$A$1:$I$89,5,0)</f>
        <v>4.5815795601811263E-14</v>
      </c>
      <c r="BF164" s="13">
        <f t="shared" si="167"/>
        <v>7.5374618042508364E-13</v>
      </c>
      <c r="BG164" s="20">
        <f t="shared" si="168"/>
        <v>1.392570441580175E-12</v>
      </c>
      <c r="BH164" s="59">
        <f t="shared" si="116"/>
        <v>289.89342887766651</v>
      </c>
      <c r="BI164" s="59">
        <f ca="1">AVERAGE(OFFSET($BH$3,0,0,'Données projet'!$E$11+1,1))-AVERAGE(OFFSET($H$3,0,0,'Données projet'!$E$11+1,1))</f>
        <v>377.91408971696819</v>
      </c>
      <c r="BJ164" s="59">
        <f t="shared" si="146"/>
        <v>321.68797596002366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37.880383135431067</v>
      </c>
      <c r="BQ164" s="21">
        <f>EXP(-LN(2)/25)*BQ163+(1-EXP(-LN(2)/25))/(LN(2)/25)*Calculateur!BL164*Calculateur!BN164*VLOOKUP('Données projet'!$B$11,Paramètres!$A$1:$I$89,3,0)*0.475*44/12</f>
        <v>6.9382485174759108</v>
      </c>
      <c r="BR164" s="21">
        <f>EXP(-LN(2)/2)*BR163+(1-EXP(-LN(2)/2))/(LN(2)/2)*BL164*BO164*VLOOKUP('Données projet'!$B$11,Paramètres!$A$1:$I$89,3,0)*0.475*44/12</f>
        <v>4.6090561405219794E-11</v>
      </c>
      <c r="BS164" s="22">
        <f t="shared" si="169"/>
        <v>44.818631652953073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69.061844239363225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69.061844239363225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69.061844239363225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69.061844239363225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69.061844239363225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69.061844239363225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69.061844239363225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3.14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11.513333333333334</v>
      </c>
      <c r="H165" s="67">
        <f t="shared" si="110"/>
        <v>210.61333333333332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69.078119144408205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1.064108801074326E-13</v>
      </c>
      <c r="P165" s="13">
        <f t="shared" si="141"/>
        <v>1.5870730813698654E-12</v>
      </c>
      <c r="Q165" s="20">
        <f t="shared" si="162"/>
        <v>2.9494845662396269E-12</v>
      </c>
      <c r="R165" s="59">
        <f t="shared" si="109"/>
        <v>289.95310352949974</v>
      </c>
      <c r="S165" s="59">
        <f ca="1">AVERAGE(OFFSET($R$3,0,0,'Données projet'!$E$9+1,1))-AVERAGE(OFFSET($H$3,0,0,'Données projet'!$E$9+1,1))</f>
        <v>302.99089313578685</v>
      </c>
      <c r="T165" s="59">
        <f t="shared" si="142"/>
        <v>335.51949678160906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12.799076846328477</v>
      </c>
      <c r="AA165" s="21">
        <f>EXP(-LN(2)/25)*AA164+(1-EXP(-LN(2)/25))/(LN(2)/25)*Calculateur!V165*Calculateur!X165*VLOOKUP('Données projet'!$B$9,Paramètres!$A$1:$I$89,3,0)*0.475*44/12</f>
        <v>2.7088974478458829</v>
      </c>
      <c r="AB165" s="21">
        <f>EXP(-LN(2)/2)*AB164+(1-EXP(-LN(2)/2))/(LN(2)/2)*V165*Y165*VLOOKUP('Données projet'!$B$9,Paramètres!$A$1:$I$89,3,0)*0.475*44/12</f>
        <v>2.2581137182098881E-15</v>
      </c>
      <c r="AC165" s="22">
        <f t="shared" si="163"/>
        <v>15.507974294174362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69.078119144408205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69.078119144408205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1.1368683772161603E-13</v>
      </c>
      <c r="BE165" s="13">
        <f>BD165*VLOOKUP('Données projet'!$B$11,Paramètres!$A$1:$I$89,3,0)*VLOOKUP('Données projet'!$B$11,Paramètres!$A$1:$I$89,5,0)</f>
        <v>4.5815795601811263E-14</v>
      </c>
      <c r="BF165" s="13">
        <f t="shared" si="167"/>
        <v>7.5374618042508364E-13</v>
      </c>
      <c r="BG165" s="20">
        <f t="shared" si="168"/>
        <v>1.392570441580175E-12</v>
      </c>
      <c r="BH165" s="59">
        <f t="shared" si="116"/>
        <v>289.95310352949815</v>
      </c>
      <c r="BI165" s="59">
        <f ca="1">AVERAGE(OFFSET($BH$3,0,0,'Données projet'!$E$11+1,1))-AVERAGE(OFFSET($H$3,0,0,'Données projet'!$E$11+1,1))</f>
        <v>377.91408971696819</v>
      </c>
      <c r="BJ165" s="59">
        <f t="shared" si="146"/>
        <v>321.68797596002366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37.137571926897571</v>
      </c>
      <c r="BQ165" s="21">
        <f>EXP(-LN(2)/25)*BQ164+(1-EXP(-LN(2)/25))/(LN(2)/25)*Calculateur!BL165*Calculateur!BN165*VLOOKUP('Données projet'!$B$11,Paramètres!$A$1:$I$89,3,0)*0.475*44/12</f>
        <v>6.7485217468989003</v>
      </c>
      <c r="BR165" s="21">
        <f>EXP(-LN(2)/2)*BR164+(1-EXP(-LN(2)/2))/(LN(2)/2)*BL165*BO165*VLOOKUP('Données projet'!$B$11,Paramètres!$A$1:$I$89,3,0)*0.475*44/12</f>
        <v>3.2590948518325885E-11</v>
      </c>
      <c r="BS165" s="22">
        <f t="shared" si="169"/>
        <v>43.886093673829066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69.078119144408205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69.078119144408205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69.078119144408205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69.078119144408205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69.078119144408205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69.078119144408205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69.078119144408205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3.14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11.513333333333334</v>
      </c>
      <c r="H166" s="67">
        <f t="shared" si="110"/>
        <v>210.61333333333332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69.094111716235886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1.064108801074326E-13</v>
      </c>
      <c r="P166" s="13">
        <f t="shared" si="141"/>
        <v>1.5870730813698654E-12</v>
      </c>
      <c r="Q166" s="20">
        <f t="shared" si="162"/>
        <v>2.9494845662396269E-12</v>
      </c>
      <c r="R166" s="59">
        <f t="shared" si="109"/>
        <v>290.01174295953456</v>
      </c>
      <c r="S166" s="59">
        <f ca="1">AVERAGE(OFFSET($R$3,0,0,'Données projet'!$E$9+1,1))-AVERAGE(OFFSET($H$3,0,0,'Données projet'!$E$9+1,1))</f>
        <v>302.99089313578685</v>
      </c>
      <c r="T166" s="59">
        <f t="shared" si="142"/>
        <v>335.51949678160906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12.548094756038008</v>
      </c>
      <c r="AA166" s="21">
        <f>EXP(-LN(2)/25)*AA165+(1-EXP(-LN(2)/25))/(LN(2)/25)*Calculateur!V166*Calculateur!X166*VLOOKUP('Données projet'!$B$9,Paramètres!$A$1:$I$89,3,0)*0.475*44/12</f>
        <v>2.6348225046798119</v>
      </c>
      <c r="AB166" s="21">
        <f>EXP(-LN(2)/2)*AB165+(1-EXP(-LN(2)/2))/(LN(2)/2)*V166*Y166*VLOOKUP('Données projet'!$B$9,Paramètres!$A$1:$I$89,3,0)*0.475*44/12</f>
        <v>1.5967275228365806E-15</v>
      </c>
      <c r="AC166" s="22">
        <f t="shared" si="163"/>
        <v>15.182917260717822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69.094111716235886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69.094111716235886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1.1368683772161603E-13</v>
      </c>
      <c r="BE166" s="13">
        <f>BD166*VLOOKUP('Données projet'!$B$11,Paramètres!$A$1:$I$89,3,0)*VLOOKUP('Données projet'!$B$11,Paramètres!$A$1:$I$89,5,0)</f>
        <v>4.5815795601811263E-14</v>
      </c>
      <c r="BF166" s="13">
        <f t="shared" si="167"/>
        <v>7.5374618042508364E-13</v>
      </c>
      <c r="BG166" s="20">
        <f t="shared" si="168"/>
        <v>1.392570441580175E-12</v>
      </c>
      <c r="BH166" s="59">
        <f t="shared" si="116"/>
        <v>290.01174295953297</v>
      </c>
      <c r="BI166" s="59">
        <f ca="1">AVERAGE(OFFSET($BH$3,0,0,'Données projet'!$E$11+1,1))-AVERAGE(OFFSET($H$3,0,0,'Données projet'!$E$11+1,1))</f>
        <v>377.91408971696819</v>
      </c>
      <c r="BJ166" s="59">
        <f t="shared" si="146"/>
        <v>321.68797596002366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36.409326793093321</v>
      </c>
      <c r="BQ166" s="21">
        <f>EXP(-LN(2)/25)*BQ165+(1-EXP(-LN(2)/25))/(LN(2)/25)*Calculateur!BL166*Calculateur!BN166*VLOOKUP('Données projet'!$B$11,Paramètres!$A$1:$I$89,3,0)*0.475*44/12</f>
        <v>6.563983064840615</v>
      </c>
      <c r="BR166" s="21">
        <f>EXP(-LN(2)/2)*BR165+(1-EXP(-LN(2)/2))/(LN(2)/2)*BL166*BO166*VLOOKUP('Données projet'!$B$11,Paramètres!$A$1:$I$89,3,0)*0.475*44/12</f>
        <v>2.3045280702609897E-11</v>
      </c>
      <c r="BS166" s="22">
        <f t="shared" si="169"/>
        <v>42.973309857956977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69.094111716235886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69.094111716235886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69.094111716235886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69.094111716235886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69.094111716235886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69.094111716235886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69.094111716235886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3.14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11.513333333333334</v>
      </c>
      <c r="H167" s="67">
        <f t="shared" si="110"/>
        <v>210.61333333333332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69.109826852696401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1.064108801074326E-13</v>
      </c>
      <c r="P167" s="13">
        <f t="shared" si="141"/>
        <v>1.5870730813698654E-12</v>
      </c>
      <c r="Q167" s="20">
        <f t="shared" si="162"/>
        <v>2.9494845662396269E-12</v>
      </c>
      <c r="R167" s="59">
        <f t="shared" si="109"/>
        <v>290.06936512655642</v>
      </c>
      <c r="S167" s="59">
        <f ca="1">AVERAGE(OFFSET($R$3,0,0,'Données projet'!$E$9+1,1))-AVERAGE(OFFSET($H$3,0,0,'Données projet'!$E$9+1,1))</f>
        <v>302.99089313578685</v>
      </c>
      <c r="T167" s="59">
        <f t="shared" si="142"/>
        <v>335.51949678160906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12.302034271454175</v>
      </c>
      <c r="AA167" s="21">
        <f>EXP(-LN(2)/25)*AA166+(1-EXP(-LN(2)/25))/(LN(2)/25)*Calculateur!V167*Calculateur!X167*VLOOKUP('Données projet'!$B$9,Paramètres!$A$1:$I$89,3,0)*0.475*44/12</f>
        <v>2.5627731447300488</v>
      </c>
      <c r="AB167" s="21">
        <f>EXP(-LN(2)/2)*AB166+(1-EXP(-LN(2)/2))/(LN(2)/2)*V167*Y167*VLOOKUP('Données projet'!$B$9,Paramètres!$A$1:$I$89,3,0)*0.475*44/12</f>
        <v>1.129056859104944E-15</v>
      </c>
      <c r="AC167" s="22">
        <f t="shared" si="163"/>
        <v>14.864807416184226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69.109826852696401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69.109826852696401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1.1368683772161603E-13</v>
      </c>
      <c r="BE167" s="13">
        <f>BD167*VLOOKUP('Données projet'!$B$11,Paramètres!$A$1:$I$89,3,0)*VLOOKUP('Données projet'!$B$11,Paramètres!$A$1:$I$89,5,0)</f>
        <v>4.5815795601811263E-14</v>
      </c>
      <c r="BF167" s="13">
        <f t="shared" si="167"/>
        <v>7.5374618042508364E-13</v>
      </c>
      <c r="BG167" s="20">
        <f t="shared" si="168"/>
        <v>1.392570441580175E-12</v>
      </c>
      <c r="BH167" s="59">
        <f t="shared" si="116"/>
        <v>290.06936512655483</v>
      </c>
      <c r="BI167" s="59">
        <f ca="1">AVERAGE(OFFSET($BH$3,0,0,'Données projet'!$E$11+1,1))-AVERAGE(OFFSET($H$3,0,0,'Données projet'!$E$11+1,1))</f>
        <v>377.91408971696819</v>
      </c>
      <c r="BJ167" s="59">
        <f t="shared" si="146"/>
        <v>321.68797596002366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35.695362102177299</v>
      </c>
      <c r="BQ167" s="21">
        <f>EXP(-LN(2)/25)*BQ166+(1-EXP(-LN(2)/25))/(LN(2)/25)*Calculateur!BL167*Calculateur!BN167*VLOOKUP('Données projet'!$B$11,Paramètres!$A$1:$I$89,3,0)*0.475*44/12</f>
        <v>6.3844906027476815</v>
      </c>
      <c r="BR167" s="21">
        <f>EXP(-LN(2)/2)*BR166+(1-EXP(-LN(2)/2))/(LN(2)/2)*BL167*BO167*VLOOKUP('Données projet'!$B$11,Paramètres!$A$1:$I$89,3,0)*0.475*44/12</f>
        <v>1.6295474259162942E-11</v>
      </c>
      <c r="BS167" s="22">
        <f t="shared" si="169"/>
        <v>42.079852704941274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69.109826852696401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69.109826852696401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69.109826852696401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69.109826852696401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69.109826852696401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69.109826852696401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69.109826852696401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3.14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11.513333333333334</v>
      </c>
      <c r="H168" s="67">
        <f t="shared" si="110"/>
        <v>210.61333333333332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69.125269366673109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1.064108801074326E-13</v>
      </c>
      <c r="P168" s="13">
        <f t="shared" si="141"/>
        <v>1.5870730813698654E-12</v>
      </c>
      <c r="Q168" s="20">
        <f t="shared" si="162"/>
        <v>2.9494845662396269E-12</v>
      </c>
      <c r="R168" s="59">
        <f t="shared" si="109"/>
        <v>290.12598767780435</v>
      </c>
      <c r="S168" s="59">
        <f ca="1">AVERAGE(OFFSET($R$3,0,0,'Données projet'!$E$9+1,1))-AVERAGE(OFFSET($H$3,0,0,'Données projet'!$E$9+1,1))</f>
        <v>302.99089313578685</v>
      </c>
      <c r="T168" s="59">
        <f t="shared" si="142"/>
        <v>335.51949678160906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12.060798882890955</v>
      </c>
      <c r="AA168" s="21">
        <f>EXP(-LN(2)/25)*AA167+(1-EXP(-LN(2)/25))/(LN(2)/25)*Calculateur!V168*Calculateur!X168*VLOOKUP('Données projet'!$B$9,Paramètres!$A$1:$I$89,3,0)*0.475*44/12</f>
        <v>2.4926939783170234</v>
      </c>
      <c r="AB168" s="21">
        <f>EXP(-LN(2)/2)*AB167+(1-EXP(-LN(2)/2))/(LN(2)/2)*V168*Y168*VLOOKUP('Données projet'!$B$9,Paramètres!$A$1:$I$89,3,0)*0.475*44/12</f>
        <v>7.9836376141829029E-16</v>
      </c>
      <c r="AC168" s="22">
        <f t="shared" si="163"/>
        <v>14.553492861207978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69.125269366673109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69.125269366673109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1.1368683772161603E-13</v>
      </c>
      <c r="BE168" s="13">
        <f>BD168*VLOOKUP('Données projet'!$B$11,Paramètres!$A$1:$I$89,3,0)*VLOOKUP('Données projet'!$B$11,Paramètres!$A$1:$I$89,5,0)</f>
        <v>4.5815795601811263E-14</v>
      </c>
      <c r="BF168" s="13">
        <f t="shared" si="167"/>
        <v>7.5374618042508364E-13</v>
      </c>
      <c r="BG168" s="20">
        <f t="shared" si="168"/>
        <v>1.392570441580175E-12</v>
      </c>
      <c r="BH168" s="59">
        <f t="shared" si="116"/>
        <v>290.12598767780275</v>
      </c>
      <c r="BI168" s="59">
        <f ca="1">AVERAGE(OFFSET($BH$3,0,0,'Données projet'!$E$11+1,1))-AVERAGE(OFFSET($H$3,0,0,'Données projet'!$E$11+1,1))</f>
        <v>377.91408971696819</v>
      </c>
      <c r="BJ168" s="59">
        <f t="shared" si="146"/>
        <v>321.68797596002366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34.995397823374674</v>
      </c>
      <c r="BQ168" s="21">
        <f>EXP(-LN(2)/25)*BQ167+(1-EXP(-LN(2)/25))/(LN(2)/25)*Calculateur!BL168*Calculateur!BN168*VLOOKUP('Données projet'!$B$11,Paramètres!$A$1:$I$89,3,0)*0.475*44/12</f>
        <v>6.2099063714697778</v>
      </c>
      <c r="BR168" s="21">
        <f>EXP(-LN(2)/2)*BR167+(1-EXP(-LN(2)/2))/(LN(2)/2)*BL168*BO168*VLOOKUP('Données projet'!$B$11,Paramètres!$A$1:$I$89,3,0)*0.475*44/12</f>
        <v>1.1522640351304949E-11</v>
      </c>
      <c r="BS168" s="22">
        <f t="shared" si="169"/>
        <v>41.205304194855977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69.125269366673109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69.125269366673109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69.125269366673109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69.125269366673109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69.125269366673109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69.125269366673109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69.125269366673109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3.14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11.513333333333334</v>
      </c>
      <c r="H169" s="67">
        <f t="shared" si="110"/>
        <v>210.61333333333332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69.140443987556608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1.064108801074326E-13</v>
      </c>
      <c r="P169" s="13">
        <f t="shared" si="141"/>
        <v>1.5870730813698654E-12</v>
      </c>
      <c r="Q169" s="20">
        <f t="shared" si="162"/>
        <v>2.9494845662396269E-12</v>
      </c>
      <c r="R169" s="59">
        <f t="shared" si="109"/>
        <v>290.18162795437718</v>
      </c>
      <c r="S169" s="59">
        <f ca="1">AVERAGE(OFFSET($R$3,0,0,'Données projet'!$E$9+1,1))-AVERAGE(OFFSET($H$3,0,0,'Données projet'!$E$9+1,1))</f>
        <v>302.99089313578685</v>
      </c>
      <c r="T169" s="59">
        <f t="shared" si="142"/>
        <v>335.51949678160906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11.824293973158401</v>
      </c>
      <c r="AA169" s="21">
        <f>EXP(-LN(2)/25)*AA168+(1-EXP(-LN(2)/25))/(LN(2)/25)*Calculateur!V169*Calculateur!X169*VLOOKUP('Données projet'!$B$9,Paramètres!$A$1:$I$89,3,0)*0.475*44/12</f>
        <v>2.4245311303948651</v>
      </c>
      <c r="AB169" s="21">
        <f>EXP(-LN(2)/2)*AB168+(1-EXP(-LN(2)/2))/(LN(2)/2)*V169*Y169*VLOOKUP('Données projet'!$B$9,Paramètres!$A$1:$I$89,3,0)*0.475*44/12</f>
        <v>5.6452842955247202E-16</v>
      </c>
      <c r="AC169" s="22">
        <f t="shared" si="163"/>
        <v>14.248825103553266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69.140443987556608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69.140443987556608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1.1368683772161603E-13</v>
      </c>
      <c r="BE169" s="13">
        <f>BD169*VLOOKUP('Données projet'!$B$11,Paramètres!$A$1:$I$89,3,0)*VLOOKUP('Données projet'!$B$11,Paramètres!$A$1:$I$89,5,0)</f>
        <v>4.5815795601811263E-14</v>
      </c>
      <c r="BF169" s="13">
        <f t="shared" si="167"/>
        <v>7.5374618042508364E-13</v>
      </c>
      <c r="BG169" s="20">
        <f t="shared" si="168"/>
        <v>1.392570441580175E-12</v>
      </c>
      <c r="BH169" s="59">
        <f t="shared" si="116"/>
        <v>290.18162795437559</v>
      </c>
      <c r="BI169" s="59">
        <f ca="1">AVERAGE(OFFSET($BH$3,0,0,'Données projet'!$E$11+1,1))-AVERAGE(OFFSET($H$3,0,0,'Données projet'!$E$11+1,1))</f>
        <v>377.91408971696819</v>
      </c>
      <c r="BJ169" s="59">
        <f t="shared" si="146"/>
        <v>321.68797596002366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34.30915941714332</v>
      </c>
      <c r="BQ169" s="21">
        <f>EXP(-LN(2)/25)*BQ168+(1-EXP(-LN(2)/25))/(LN(2)/25)*Calculateur!BL169*Calculateur!BN169*VLOOKUP('Données projet'!$B$11,Paramètres!$A$1:$I$89,3,0)*0.475*44/12</f>
        <v>6.0400961551771539</v>
      </c>
      <c r="BR169" s="21">
        <f>EXP(-LN(2)/2)*BR168+(1-EXP(-LN(2)/2))/(LN(2)/2)*BL169*BO169*VLOOKUP('Données projet'!$B$11,Paramètres!$A$1:$I$89,3,0)*0.475*44/12</f>
        <v>8.1477371295814712E-12</v>
      </c>
      <c r="BS169" s="22">
        <f t="shared" si="169"/>
        <v>40.349255572328623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69.140443987556608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69.140443987556608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69.140443987556608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69.140443987556608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69.140443987556608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69.140443987556608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69.140443987556608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3.14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11.513333333333334</v>
      </c>
      <c r="H170" s="67">
        <f t="shared" si="110"/>
        <v>210.61333333333332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69.155355362693143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1.064108801074326E-13</v>
      </c>
      <c r="P170" s="13">
        <f t="shared" si="141"/>
        <v>1.5870730813698654E-12</v>
      </c>
      <c r="Q170" s="20">
        <f t="shared" si="162"/>
        <v>2.9494845662396269E-12</v>
      </c>
      <c r="R170" s="59">
        <f t="shared" si="109"/>
        <v>290.23630299654445</v>
      </c>
      <c r="S170" s="59">
        <f ca="1">AVERAGE(OFFSET($R$3,0,0,'Données projet'!$E$9+1,1))-AVERAGE(OFFSET($H$3,0,0,'Données projet'!$E$9+1,1))</f>
        <v>302.99089313578685</v>
      </c>
      <c r="T170" s="59">
        <f t="shared" si="142"/>
        <v>335.51949678160906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11.592426780451952</v>
      </c>
      <c r="AA170" s="21">
        <f>EXP(-LN(2)/25)*AA169+(1-EXP(-LN(2)/25))/(LN(2)/25)*Calculateur!V170*Calculateur!X170*VLOOKUP('Données projet'!$B$9,Paramètres!$A$1:$I$89,3,0)*0.475*44/12</f>
        <v>2.3582321991336666</v>
      </c>
      <c r="AB170" s="21">
        <f>EXP(-LN(2)/2)*AB169+(1-EXP(-LN(2)/2))/(LN(2)/2)*V170*Y170*VLOOKUP('Données projet'!$B$9,Paramètres!$A$1:$I$89,3,0)*0.475*44/12</f>
        <v>3.9918188070914515E-16</v>
      </c>
      <c r="AC170" s="22">
        <f t="shared" si="163"/>
        <v>13.950658979585619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69.155355362693143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69.155355362693143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1.1368683772161603E-13</v>
      </c>
      <c r="BE170" s="13">
        <f>BD170*VLOOKUP('Données projet'!$B$11,Paramètres!$A$1:$I$89,3,0)*VLOOKUP('Données projet'!$B$11,Paramètres!$A$1:$I$89,5,0)</f>
        <v>4.5815795601811263E-14</v>
      </c>
      <c r="BF170" s="13">
        <f t="shared" si="167"/>
        <v>7.5374618042508364E-13</v>
      </c>
      <c r="BG170" s="20">
        <f t="shared" si="168"/>
        <v>1.392570441580175E-12</v>
      </c>
      <c r="BH170" s="59">
        <f t="shared" si="116"/>
        <v>290.23630299654286</v>
      </c>
      <c r="BI170" s="59">
        <f ca="1">AVERAGE(OFFSET($BH$3,0,0,'Données projet'!$E$11+1,1))-AVERAGE(OFFSET($H$3,0,0,'Données projet'!$E$11+1,1))</f>
        <v>377.91408971696819</v>
      </c>
      <c r="BJ170" s="59">
        <f t="shared" si="146"/>
        <v>321.68797596002366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33.636377727494065</v>
      </c>
      <c r="BQ170" s="21">
        <f>EXP(-LN(2)/25)*BQ169+(1-EXP(-LN(2)/25))/(LN(2)/25)*Calculateur!BL170*Calculateur!BN170*VLOOKUP('Données projet'!$B$11,Paramètres!$A$1:$I$89,3,0)*0.475*44/12</f>
        <v>5.8749294081789829</v>
      </c>
      <c r="BR170" s="21">
        <f>EXP(-LN(2)/2)*BR169+(1-EXP(-LN(2)/2))/(LN(2)/2)*BL170*BO170*VLOOKUP('Données projet'!$B$11,Paramètres!$A$1:$I$89,3,0)*0.475*44/12</f>
        <v>5.7613201756524743E-12</v>
      </c>
      <c r="BS170" s="22">
        <f t="shared" si="169"/>
        <v>39.511307135678813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69.155355362693143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69.155355362693143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69.155355362693143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69.155355362693143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69.155355362693143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69.155355362693143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69.155355362693143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3.14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11.513333333333334</v>
      </c>
      <c r="H171" s="67">
        <f t="shared" si="110"/>
        <v>210.61333333333332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69.170008058807895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1.064108801074326E-13</v>
      </c>
      <c r="P171" s="13">
        <f t="shared" si="141"/>
        <v>1.5870730813698654E-12</v>
      </c>
      <c r="Q171" s="20">
        <f t="shared" si="162"/>
        <v>2.9494845662396269E-12</v>
      </c>
      <c r="R171" s="59">
        <f t="shared" si="109"/>
        <v>290.29002954896526</v>
      </c>
      <c r="S171" s="59">
        <f ca="1">AVERAGE(OFFSET($R$3,0,0,'Données projet'!$E$9+1,1))-AVERAGE(OFFSET($H$3,0,0,'Données projet'!$E$9+1,1))</f>
        <v>302.99089313578685</v>
      </c>
      <c r="T171" s="59">
        <f t="shared" si="142"/>
        <v>335.51949678160906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11.365106361969453</v>
      </c>
      <c r="AA171" s="21">
        <f>EXP(-LN(2)/25)*AA170+(1-EXP(-LN(2)/25))/(LN(2)/25)*Calculateur!V171*Calculateur!X171*VLOOKUP('Données projet'!$B$9,Paramètres!$A$1:$I$89,3,0)*0.475*44/12</f>
        <v>2.2937462156343149</v>
      </c>
      <c r="AB171" s="21">
        <f>EXP(-LN(2)/2)*AB170+(1-EXP(-LN(2)/2))/(LN(2)/2)*V171*Y171*VLOOKUP('Données projet'!$B$9,Paramètres!$A$1:$I$89,3,0)*0.475*44/12</f>
        <v>2.8226421477623601E-16</v>
      </c>
      <c r="AC171" s="22">
        <f t="shared" si="163"/>
        <v>13.658852577603767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69.170008058807895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69.170008058807895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1.1368683772161603E-13</v>
      </c>
      <c r="BE171" s="13">
        <f>BD171*VLOOKUP('Données projet'!$B$11,Paramètres!$A$1:$I$89,3,0)*VLOOKUP('Données projet'!$B$11,Paramètres!$A$1:$I$89,5,0)</f>
        <v>4.5815795601811263E-14</v>
      </c>
      <c r="BF171" s="13">
        <f t="shared" si="167"/>
        <v>7.5374618042508364E-13</v>
      </c>
      <c r="BG171" s="20">
        <f t="shared" si="168"/>
        <v>1.392570441580175E-12</v>
      </c>
      <c r="BH171" s="59">
        <f t="shared" si="116"/>
        <v>290.29002954896367</v>
      </c>
      <c r="BI171" s="59">
        <f ca="1">AVERAGE(OFFSET($BH$3,0,0,'Données projet'!$E$11+1,1))-AVERAGE(OFFSET($H$3,0,0,'Données projet'!$E$11+1,1))</f>
        <v>377.91408971696819</v>
      </c>
      <c r="BJ171" s="59">
        <f t="shared" si="146"/>
        <v>321.68797596002366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32.976788876422518</v>
      </c>
      <c r="BQ171" s="21">
        <f>EXP(-LN(2)/25)*BQ170+(1-EXP(-LN(2)/25))/(LN(2)/25)*Calculateur!BL171*Calculateur!BN171*VLOOKUP('Données projet'!$B$11,Paramètres!$A$1:$I$89,3,0)*0.475*44/12</f>
        <v>5.7142791545632186</v>
      </c>
      <c r="BR171" s="21">
        <f>EXP(-LN(2)/2)*BR170+(1-EXP(-LN(2)/2))/(LN(2)/2)*BL171*BO171*VLOOKUP('Données projet'!$B$11,Paramètres!$A$1:$I$89,3,0)*0.475*44/12</f>
        <v>4.0738685647907356E-12</v>
      </c>
      <c r="BS171" s="22">
        <f t="shared" si="169"/>
        <v>38.691068030989804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69.170008058807895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69.170008058807895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69.170008058807895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69.170008058807895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69.170008058807895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69.170008058807895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69.170008058807895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3.14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11.513333333333334</v>
      </c>
      <c r="H172" s="67">
        <f t="shared" si="110"/>
        <v>210.61333333333332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69.184406563403599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1.064108801074326E-13</v>
      </c>
      <c r="P172" s="13">
        <f t="shared" si="141"/>
        <v>1.5870730813698654E-12</v>
      </c>
      <c r="Q172" s="20">
        <f t="shared" si="162"/>
        <v>2.9494845662396269E-12</v>
      </c>
      <c r="R172" s="59">
        <f t="shared" si="109"/>
        <v>290.34282406581616</v>
      </c>
      <c r="S172" s="59">
        <f ca="1">AVERAGE(OFFSET($R$3,0,0,'Données projet'!$E$9+1,1))-AVERAGE(OFFSET($H$3,0,0,'Données projet'!$E$9+1,1))</f>
        <v>302.99089313578685</v>
      </c>
      <c r="T172" s="59">
        <f t="shared" si="142"/>
        <v>335.51949678160906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11.142243558241631</v>
      </c>
      <c r="AA172" s="21">
        <f>EXP(-LN(2)/25)*AA171+(1-EXP(-LN(2)/25))/(LN(2)/25)*Calculateur!V172*Calculateur!X172*VLOOKUP('Données projet'!$B$9,Paramètres!$A$1:$I$89,3,0)*0.475*44/12</f>
        <v>2.2310236047449234</v>
      </c>
      <c r="AB172" s="21">
        <f>EXP(-LN(2)/2)*AB171+(1-EXP(-LN(2)/2))/(LN(2)/2)*V172*Y172*VLOOKUP('Données projet'!$B$9,Paramètres!$A$1:$I$89,3,0)*0.475*44/12</f>
        <v>1.9959094035457257E-16</v>
      </c>
      <c r="AC172" s="22">
        <f t="shared" si="163"/>
        <v>13.373267162986554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69.184406563403599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69.184406563403599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1.1368683772161603E-13</v>
      </c>
      <c r="BE172" s="13">
        <f>BD172*VLOOKUP('Données projet'!$B$11,Paramètres!$A$1:$I$89,3,0)*VLOOKUP('Données projet'!$B$11,Paramètres!$A$1:$I$89,5,0)</f>
        <v>4.5815795601811263E-14</v>
      </c>
      <c r="BF172" s="13">
        <f t="shared" si="167"/>
        <v>7.5374618042508364E-13</v>
      </c>
      <c r="BG172" s="20">
        <f t="shared" si="168"/>
        <v>1.392570441580175E-12</v>
      </c>
      <c r="BH172" s="59">
        <f t="shared" si="116"/>
        <v>290.34282406581457</v>
      </c>
      <c r="BI172" s="59">
        <f ca="1">AVERAGE(OFFSET($BH$3,0,0,'Données projet'!$E$11+1,1))-AVERAGE(OFFSET($H$3,0,0,'Données projet'!$E$11+1,1))</f>
        <v>377.91408971696819</v>
      </c>
      <c r="BJ172" s="59">
        <f t="shared" si="146"/>
        <v>321.68797596002366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32.330134160411006</v>
      </c>
      <c r="BQ172" s="21">
        <f>EXP(-LN(2)/25)*BQ171+(1-EXP(-LN(2)/25))/(LN(2)/25)*Calculateur!BL172*Calculateur!BN172*VLOOKUP('Données projet'!$B$11,Paramètres!$A$1:$I$89,3,0)*0.475*44/12</f>
        <v>5.5580218905808065</v>
      </c>
      <c r="BR172" s="21">
        <f>EXP(-LN(2)/2)*BR171+(1-EXP(-LN(2)/2))/(LN(2)/2)*BL172*BO172*VLOOKUP('Données projet'!$B$11,Paramètres!$A$1:$I$89,3,0)*0.475*44/12</f>
        <v>2.8806600878262371E-12</v>
      </c>
      <c r="BS172" s="22">
        <f t="shared" si="169"/>
        <v>37.888156050994688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69.184406563403599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69.184406563403599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69.184406563403599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69.184406563403599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69.184406563403599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69.184406563403599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69.184406563403599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3.14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11.513333333333334</v>
      </c>
      <c r="H173" s="67">
        <f t="shared" si="110"/>
        <v>210.61333333333332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69.198555286134777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1.064108801074326E-13</v>
      </c>
      <c r="P173" s="13">
        <f t="shared" si="141"/>
        <v>1.5870730813698654E-12</v>
      </c>
      <c r="Q173" s="20">
        <f t="shared" si="162"/>
        <v>2.9494845662396269E-12</v>
      </c>
      <c r="R173" s="59">
        <f t="shared" si="109"/>
        <v>290.39470271583048</v>
      </c>
      <c r="S173" s="59">
        <f ca="1">AVERAGE(OFFSET($R$3,0,0,'Données projet'!$E$9+1,1))-AVERAGE(OFFSET($H$3,0,0,'Données projet'!$E$9+1,1))</f>
        <v>302.99089313578685</v>
      </c>
      <c r="T173" s="59">
        <f t="shared" si="142"/>
        <v>335.51949678160906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10.923750958162024</v>
      </c>
      <c r="AA173" s="21">
        <f>EXP(-LN(2)/25)*AA172+(1-EXP(-LN(2)/25))/(LN(2)/25)*Calculateur!V173*Calculateur!X173*VLOOKUP('Données projet'!$B$9,Paramètres!$A$1:$I$89,3,0)*0.475*44/12</f>
        <v>2.1700161469487411</v>
      </c>
      <c r="AB173" s="21">
        <f>EXP(-LN(2)/2)*AB172+(1-EXP(-LN(2)/2))/(LN(2)/2)*V173*Y173*VLOOKUP('Données projet'!$B$9,Paramètres!$A$1:$I$89,3,0)*0.475*44/12</f>
        <v>1.4113210738811801E-16</v>
      </c>
      <c r="AC173" s="22">
        <f t="shared" si="163"/>
        <v>13.093767105110766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69.198555286134777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69.198555286134777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1.1368683772161603E-13</v>
      </c>
      <c r="BE173" s="13">
        <f>BD173*VLOOKUP('Données projet'!$B$11,Paramètres!$A$1:$I$89,3,0)*VLOOKUP('Données projet'!$B$11,Paramètres!$A$1:$I$89,5,0)</f>
        <v>4.5815795601811263E-14</v>
      </c>
      <c r="BF173" s="13">
        <f t="shared" si="167"/>
        <v>7.5374618042508364E-13</v>
      </c>
      <c r="BG173" s="20">
        <f t="shared" si="168"/>
        <v>1.392570441580175E-12</v>
      </c>
      <c r="BH173" s="59">
        <f t="shared" si="116"/>
        <v>290.39470271582888</v>
      </c>
      <c r="BI173" s="59">
        <f ca="1">AVERAGE(OFFSET($BH$3,0,0,'Données projet'!$E$11+1,1))-AVERAGE(OFFSET($H$3,0,0,'Données projet'!$E$11+1,1))</f>
        <v>377.91408971696819</v>
      </c>
      <c r="BJ173" s="59">
        <f t="shared" si="146"/>
        <v>321.68797596002366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31.696159948960052</v>
      </c>
      <c r="BQ173" s="21">
        <f>EXP(-LN(2)/25)*BQ172+(1-EXP(-LN(2)/25))/(LN(2)/25)*Calculateur!BL173*Calculateur!BN173*VLOOKUP('Données projet'!$B$11,Paramètres!$A$1:$I$89,3,0)*0.475*44/12</f>
        <v>5.4060374896992061</v>
      </c>
      <c r="BR173" s="21">
        <f>EXP(-LN(2)/2)*BR172+(1-EXP(-LN(2)/2))/(LN(2)/2)*BL173*BO173*VLOOKUP('Données projet'!$B$11,Paramètres!$A$1:$I$89,3,0)*0.475*44/12</f>
        <v>2.0369342823953678E-12</v>
      </c>
      <c r="BS173" s="22">
        <f t="shared" si="169"/>
        <v>37.1021974386613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69.198555286134777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69.198555286134777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69.198555286134777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69.198555286134777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69.198555286134777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69.198555286134777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69.198555286134777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3.14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11.513333333333334</v>
      </c>
      <c r="H174" s="67">
        <f t="shared" si="110"/>
        <v>210.61333333333332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69.212458560158382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1.064108801074326E-13</v>
      </c>
      <c r="P174" s="13">
        <f t="shared" si="141"/>
        <v>1.5870730813698654E-12</v>
      </c>
      <c r="Q174" s="20">
        <f t="shared" si="162"/>
        <v>2.9494845662396269E-12</v>
      </c>
      <c r="R174" s="59">
        <f t="shared" si="109"/>
        <v>290.44568138725032</v>
      </c>
      <c r="S174" s="59">
        <f ca="1">AVERAGE(OFFSET($R$3,0,0,'Données projet'!$E$9+1,1))-AVERAGE(OFFSET($H$3,0,0,'Données projet'!$E$9+1,1))</f>
        <v>302.99089313578685</v>
      </c>
      <c r="T174" s="59">
        <f t="shared" si="142"/>
        <v>335.51949678160906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10.709542864702652</v>
      </c>
      <c r="AA174" s="21">
        <f>EXP(-LN(2)/25)*AA173+(1-EXP(-LN(2)/25))/(LN(2)/25)*Calculateur!V174*Calculateur!X174*VLOOKUP('Données projet'!$B$9,Paramètres!$A$1:$I$89,3,0)*0.475*44/12</f>
        <v>2.1106769412942383</v>
      </c>
      <c r="AB174" s="21">
        <f>EXP(-LN(2)/2)*AB173+(1-EXP(-LN(2)/2))/(LN(2)/2)*V174*Y174*VLOOKUP('Données projet'!$B$9,Paramètres!$A$1:$I$89,3,0)*0.475*44/12</f>
        <v>9.9795470177286287E-17</v>
      </c>
      <c r="AC174" s="22">
        <f t="shared" si="163"/>
        <v>12.82021980599689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69.212458560158382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69.212458560158382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1.1368683772161603E-13</v>
      </c>
      <c r="BE174" s="13">
        <f>BD174*VLOOKUP('Données projet'!$B$11,Paramètres!$A$1:$I$89,3,0)*VLOOKUP('Données projet'!$B$11,Paramètres!$A$1:$I$89,5,0)</f>
        <v>4.5815795601811263E-14</v>
      </c>
      <c r="BF174" s="13">
        <f t="shared" si="167"/>
        <v>7.5374618042508364E-13</v>
      </c>
      <c r="BG174" s="20">
        <f t="shared" si="168"/>
        <v>1.392570441580175E-12</v>
      </c>
      <c r="BH174" s="59">
        <f t="shared" si="116"/>
        <v>290.44568138724873</v>
      </c>
      <c r="BI174" s="59">
        <f ca="1">AVERAGE(OFFSET($BH$3,0,0,'Données projet'!$E$11+1,1))-AVERAGE(OFFSET($H$3,0,0,'Données projet'!$E$11+1,1))</f>
        <v>377.91408971696819</v>
      </c>
      <c r="BJ174" s="59">
        <f t="shared" si="146"/>
        <v>321.68797596002366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31.074617585109564</v>
      </c>
      <c r="BQ174" s="21">
        <f>EXP(-LN(2)/25)*BQ173+(1-EXP(-LN(2)/25))/(LN(2)/25)*Calculateur!BL174*Calculateur!BN174*VLOOKUP('Données projet'!$B$11,Paramètres!$A$1:$I$89,3,0)*0.475*44/12</f>
        <v>5.258209110252225</v>
      </c>
      <c r="BR174" s="21">
        <f>EXP(-LN(2)/2)*BR173+(1-EXP(-LN(2)/2))/(LN(2)/2)*BL174*BO174*VLOOKUP('Données projet'!$B$11,Paramètres!$A$1:$I$89,3,0)*0.475*44/12</f>
        <v>1.4403300439131186E-12</v>
      </c>
      <c r="BS174" s="22">
        <f t="shared" si="169"/>
        <v>36.332826695363231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69.212458560158382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69.212458560158382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69.212458560158382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69.212458560158382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69.212458560158382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69.212458560158382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69.212458560158382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3.14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11.513333333333334</v>
      </c>
      <c r="H175" s="67">
        <f t="shared" si="110"/>
        <v>210.61333333333332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69.226120643460746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1.064108801074326E-13</v>
      </c>
      <c r="P175" s="13">
        <f t="shared" si="141"/>
        <v>1.5870730813698654E-12</v>
      </c>
      <c r="Q175" s="20">
        <f t="shared" si="162"/>
        <v>2.9494845662396269E-12</v>
      </c>
      <c r="R175" s="59">
        <f t="shared" si="109"/>
        <v>290.49577569269235</v>
      </c>
      <c r="S175" s="59">
        <f ca="1">AVERAGE(OFFSET($R$3,0,0,'Données projet'!$E$9+1,1))-AVERAGE(OFFSET($H$3,0,0,'Données projet'!$E$9+1,1))</f>
        <v>302.99089313578685</v>
      </c>
      <c r="T175" s="59">
        <f t="shared" si="142"/>
        <v>335.51949678160906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10.499535261301981</v>
      </c>
      <c r="AA175" s="21">
        <f>EXP(-LN(2)/25)*AA174+(1-EXP(-LN(2)/25))/(LN(2)/25)*Calculateur!V175*Calculateur!X175*VLOOKUP('Données projet'!$B$9,Paramètres!$A$1:$I$89,3,0)*0.475*44/12</f>
        <v>2.0529603693388712</v>
      </c>
      <c r="AB175" s="21">
        <f>EXP(-LN(2)/2)*AB174+(1-EXP(-LN(2)/2))/(LN(2)/2)*V175*Y175*VLOOKUP('Données projet'!$B$9,Paramètres!$A$1:$I$89,3,0)*0.475*44/12</f>
        <v>7.0566053694059003E-17</v>
      </c>
      <c r="AC175" s="22">
        <f t="shared" si="163"/>
        <v>12.552495630640852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69.226120643460746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69.226120643460746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1.1368683772161603E-13</v>
      </c>
      <c r="BE175" s="13">
        <f>BD175*VLOOKUP('Données projet'!$B$11,Paramètres!$A$1:$I$89,3,0)*VLOOKUP('Données projet'!$B$11,Paramètres!$A$1:$I$89,5,0)</f>
        <v>4.5815795601811263E-14</v>
      </c>
      <c r="BF175" s="13">
        <f t="shared" si="167"/>
        <v>7.5374618042508364E-13</v>
      </c>
      <c r="BG175" s="20">
        <f t="shared" si="168"/>
        <v>1.392570441580175E-12</v>
      </c>
      <c r="BH175" s="59">
        <f t="shared" si="116"/>
        <v>290.49577569269076</v>
      </c>
      <c r="BI175" s="59">
        <f ca="1">AVERAGE(OFFSET($BH$3,0,0,'Données projet'!$E$11+1,1))-AVERAGE(OFFSET($H$3,0,0,'Données projet'!$E$11+1,1))</f>
        <v>377.91408971696819</v>
      </c>
      <c r="BJ175" s="59">
        <f t="shared" si="146"/>
        <v>321.68797596002366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30.465263287910776</v>
      </c>
      <c r="BQ175" s="21">
        <f>EXP(-LN(2)/25)*BQ174+(1-EXP(-LN(2)/25))/(LN(2)/25)*Calculateur!BL175*Calculateur!BN175*VLOOKUP('Données projet'!$B$11,Paramètres!$A$1:$I$89,3,0)*0.475*44/12</f>
        <v>5.1144231056151783</v>
      </c>
      <c r="BR175" s="21">
        <f>EXP(-LN(2)/2)*BR174+(1-EXP(-LN(2)/2))/(LN(2)/2)*BL175*BO175*VLOOKUP('Données projet'!$B$11,Paramètres!$A$1:$I$89,3,0)*0.475*44/12</f>
        <v>1.0184671411976839E-12</v>
      </c>
      <c r="BS175" s="22">
        <f t="shared" si="169"/>
        <v>35.57968639352697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69.226120643460746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69.226120643460746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69.226120643460746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69.226120643460746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69.226120643460746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69.226120643460746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69.226120643460746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3.14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11.513333333333334</v>
      </c>
      <c r="H176" s="67">
        <f t="shared" si="110"/>
        <v>210.61333333333332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69.239545720161658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1.064108801074326E-13</v>
      </c>
      <c r="P176" s="13">
        <f t="shared" si="141"/>
        <v>1.5870730813698654E-12</v>
      </c>
      <c r="Q176" s="20">
        <f t="shared" si="162"/>
        <v>2.9494845662396269E-12</v>
      </c>
      <c r="R176" s="59">
        <f t="shared" si="109"/>
        <v>290.54500097392901</v>
      </c>
      <c r="S176" s="59">
        <f ca="1">AVERAGE(OFFSET($R$3,0,0,'Données projet'!$E$9+1,1))-AVERAGE(OFFSET($H$3,0,0,'Données projet'!$E$9+1,1))</f>
        <v>302.99089313578685</v>
      </c>
      <c r="T176" s="59">
        <f t="shared" si="142"/>
        <v>335.51949678160906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10.293645778912008</v>
      </c>
      <c r="AA176" s="21">
        <f>EXP(-LN(2)/25)*AA175+(1-EXP(-LN(2)/25))/(LN(2)/25)*Calculateur!V176*Calculateur!X176*VLOOKUP('Données projet'!$B$9,Paramètres!$A$1:$I$89,3,0)*0.475*44/12</f>
        <v>1.996822060078806</v>
      </c>
      <c r="AB176" s="21">
        <f>EXP(-LN(2)/2)*AB175+(1-EXP(-LN(2)/2))/(LN(2)/2)*V176*Y176*VLOOKUP('Données projet'!$B$9,Paramètres!$A$1:$I$89,3,0)*0.475*44/12</f>
        <v>4.9897735088643143E-17</v>
      </c>
      <c r="AC176" s="22">
        <f t="shared" si="163"/>
        <v>12.290467838990814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69.239545720161658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69.239545720161658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1.1368683772161603E-13</v>
      </c>
      <c r="BE176" s="13">
        <f>BD176*VLOOKUP('Données projet'!$B$11,Paramètres!$A$1:$I$89,3,0)*VLOOKUP('Données projet'!$B$11,Paramètres!$A$1:$I$89,5,0)</f>
        <v>4.5815795601811263E-14</v>
      </c>
      <c r="BF176" s="13">
        <f t="shared" si="167"/>
        <v>7.5374618042508364E-13</v>
      </c>
      <c r="BG176" s="20">
        <f t="shared" si="168"/>
        <v>1.392570441580175E-12</v>
      </c>
      <c r="BH176" s="59">
        <f t="shared" si="116"/>
        <v>290.54500097392742</v>
      </c>
      <c r="BI176" s="59">
        <f ca="1">AVERAGE(OFFSET($BH$3,0,0,'Données projet'!$E$11+1,1))-AVERAGE(OFFSET($H$3,0,0,'Données projet'!$E$11+1,1))</f>
        <v>377.91408971696819</v>
      </c>
      <c r="BJ176" s="59">
        <f t="shared" si="146"/>
        <v>321.68797596002366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29.867858056810633</v>
      </c>
      <c r="BQ176" s="21">
        <f>EXP(-LN(2)/25)*BQ175+(1-EXP(-LN(2)/25))/(LN(2)/25)*Calculateur!BL176*Calculateur!BN176*VLOOKUP('Données projet'!$B$11,Paramètres!$A$1:$I$89,3,0)*0.475*44/12</f>
        <v>4.9745689368363095</v>
      </c>
      <c r="BR176" s="21">
        <f>EXP(-LN(2)/2)*BR175+(1-EXP(-LN(2)/2))/(LN(2)/2)*BL176*BO176*VLOOKUP('Données projet'!$B$11,Paramètres!$A$1:$I$89,3,0)*0.475*44/12</f>
        <v>7.2016502195655929E-13</v>
      </c>
      <c r="BS176" s="22">
        <f t="shared" si="169"/>
        <v>34.842426993647656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69.239545720161658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69.239545720161658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69.239545720161658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69.239545720161658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69.239545720161658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69.239545720161658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69.239545720161658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3.14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11.513333333333334</v>
      </c>
      <c r="H177" s="67">
        <f t="shared" si="110"/>
        <v>210.61333333333332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69.252737901795768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1.064108801074326E-13</v>
      </c>
      <c r="P177" s="13">
        <f t="shared" si="141"/>
        <v>1.5870730813698654E-12</v>
      </c>
      <c r="Q177" s="20">
        <f t="shared" si="162"/>
        <v>2.9494845662396269E-12</v>
      </c>
      <c r="R177" s="59">
        <f t="shared" si="109"/>
        <v>290.59337230658747</v>
      </c>
      <c r="S177" s="59">
        <f ca="1">AVERAGE(OFFSET($R$3,0,0,'Données projet'!$E$9+1,1))-AVERAGE(OFFSET($H$3,0,0,'Données projet'!$E$9+1,1))</f>
        <v>302.99089313578685</v>
      </c>
      <c r="T177" s="59">
        <f t="shared" si="142"/>
        <v>335.51949678160906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10.091793663691519</v>
      </c>
      <c r="AA177" s="21">
        <f>EXP(-LN(2)/25)*AA176+(1-EXP(-LN(2)/25))/(LN(2)/25)*Calculateur!V177*Calculateur!X177*VLOOKUP('Données projet'!$B$9,Paramètres!$A$1:$I$89,3,0)*0.475*44/12</f>
        <v>1.9422188558376428</v>
      </c>
      <c r="AB177" s="21">
        <f>EXP(-LN(2)/2)*AB176+(1-EXP(-LN(2)/2))/(LN(2)/2)*V177*Y177*VLOOKUP('Données projet'!$B$9,Paramètres!$A$1:$I$89,3,0)*0.475*44/12</f>
        <v>3.5283026847029501E-17</v>
      </c>
      <c r="AC177" s="22">
        <f t="shared" si="163"/>
        <v>12.034012519529162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69.252737901795768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69.252737901795768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1.1368683772161603E-13</v>
      </c>
      <c r="BE177" s="13">
        <f>BD177*VLOOKUP('Données projet'!$B$11,Paramètres!$A$1:$I$89,3,0)*VLOOKUP('Données projet'!$B$11,Paramètres!$A$1:$I$89,5,0)</f>
        <v>4.5815795601811263E-14</v>
      </c>
      <c r="BF177" s="13">
        <f t="shared" si="167"/>
        <v>7.5374618042508364E-13</v>
      </c>
      <c r="BG177" s="20">
        <f t="shared" si="168"/>
        <v>1.392570441580175E-12</v>
      </c>
      <c r="BH177" s="59">
        <f t="shared" si="116"/>
        <v>290.59337230658588</v>
      </c>
      <c r="BI177" s="59">
        <f ca="1">AVERAGE(OFFSET($BH$3,0,0,'Données projet'!$E$11+1,1))-AVERAGE(OFFSET($H$3,0,0,'Données projet'!$E$11+1,1))</f>
        <v>377.91408971696819</v>
      </c>
      <c r="BJ177" s="59">
        <f t="shared" si="146"/>
        <v>321.68797596002366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29.282167577911153</v>
      </c>
      <c r="BQ177" s="21">
        <f>EXP(-LN(2)/25)*BQ176+(1-EXP(-LN(2)/25))/(LN(2)/25)*Calculateur!BL177*Calculateur!BN177*VLOOKUP('Données projet'!$B$11,Paramètres!$A$1:$I$89,3,0)*0.475*44/12</f>
        <v>4.8385390876573098</v>
      </c>
      <c r="BR177" s="21">
        <f>EXP(-LN(2)/2)*BR176+(1-EXP(-LN(2)/2))/(LN(2)/2)*BL177*BO177*VLOOKUP('Données projet'!$B$11,Paramètres!$A$1:$I$89,3,0)*0.475*44/12</f>
        <v>5.0923357059884195E-13</v>
      </c>
      <c r="BS177" s="22">
        <f t="shared" si="169"/>
        <v>34.120706665568974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69.252737901795768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69.252737901795768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69.252737901795768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69.252737901795768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69.252737901795768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69.252737901795768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69.252737901795768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3.14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11.513333333333334</v>
      </c>
      <c r="H178" s="67">
        <f t="shared" si="110"/>
        <v>210.61333333333332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69.265701228571828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1.064108801074326E-13</v>
      </c>
      <c r="P178" s="13">
        <f t="shared" si="141"/>
        <v>1.5870730813698654E-12</v>
      </c>
      <c r="Q178" s="20">
        <f t="shared" si="162"/>
        <v>2.9494845662396269E-12</v>
      </c>
      <c r="R178" s="59">
        <f t="shared" si="109"/>
        <v>290.6409045047663</v>
      </c>
      <c r="S178" s="59">
        <f ca="1">AVERAGE(OFFSET($R$3,0,0,'Données projet'!$E$9+1,1))-AVERAGE(OFFSET($H$3,0,0,'Données projet'!$E$9+1,1))</f>
        <v>302.99089313578685</v>
      </c>
      <c r="T178" s="59">
        <f t="shared" si="142"/>
        <v>335.51949678160906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9.8938997453328685</v>
      </c>
      <c r="AA178" s="21">
        <f>EXP(-LN(2)/25)*AA177+(1-EXP(-LN(2)/25))/(LN(2)/25)*Calculateur!V178*Calculateur!X178*VLOOKUP('Données projet'!$B$9,Paramètres!$A$1:$I$89,3,0)*0.475*44/12</f>
        <v>1.8891087790879117</v>
      </c>
      <c r="AB178" s="21">
        <f>EXP(-LN(2)/2)*AB177+(1-EXP(-LN(2)/2))/(LN(2)/2)*V178*Y178*VLOOKUP('Données projet'!$B$9,Paramètres!$A$1:$I$89,3,0)*0.475*44/12</f>
        <v>2.4948867544321572E-17</v>
      </c>
      <c r="AC178" s="22">
        <f t="shared" si="163"/>
        <v>11.783008524420779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69.265701228571828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69.265701228571828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1.1368683772161603E-13</v>
      </c>
      <c r="BE178" s="13">
        <f>BD178*VLOOKUP('Données projet'!$B$11,Paramètres!$A$1:$I$89,3,0)*VLOOKUP('Données projet'!$B$11,Paramètres!$A$1:$I$89,5,0)</f>
        <v>4.5815795601811263E-14</v>
      </c>
      <c r="BF178" s="13">
        <f t="shared" si="167"/>
        <v>7.5374618042508364E-13</v>
      </c>
      <c r="BG178" s="20">
        <f t="shared" si="168"/>
        <v>1.392570441580175E-12</v>
      </c>
      <c r="BH178" s="59">
        <f t="shared" si="116"/>
        <v>290.64090450476471</v>
      </c>
      <c r="BI178" s="59">
        <f ca="1">AVERAGE(OFFSET($BH$3,0,0,'Données projet'!$E$11+1,1))-AVERAGE(OFFSET($H$3,0,0,'Données projet'!$E$11+1,1))</f>
        <v>377.91408971696819</v>
      </c>
      <c r="BJ178" s="59">
        <f t="shared" si="146"/>
        <v>321.68797596002366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28.707962132066974</v>
      </c>
      <c r="BQ178" s="21">
        <f>EXP(-LN(2)/25)*BQ177+(1-EXP(-LN(2)/25))/(LN(2)/25)*Calculateur!BL178*Calculateur!BN178*VLOOKUP('Données projet'!$B$11,Paramètres!$A$1:$I$89,3,0)*0.475*44/12</f>
        <v>4.7062289818576089</v>
      </c>
      <c r="BR178" s="21">
        <f>EXP(-LN(2)/2)*BR177+(1-EXP(-LN(2)/2))/(LN(2)/2)*BL178*BO178*VLOOKUP('Données projet'!$B$11,Paramètres!$A$1:$I$89,3,0)*0.475*44/12</f>
        <v>3.6008251097827964E-13</v>
      </c>
      <c r="BS178" s="22">
        <f t="shared" si="169"/>
        <v>33.414191113924943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69.265701228571828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69.265701228571828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69.265701228571828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69.265701228571828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69.265701228571828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69.265701228571828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69.265701228571828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3.14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11.513333333333334</v>
      </c>
      <c r="H179" s="67">
        <f t="shared" si="110"/>
        <v>210.61333333333332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69.278439670609998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1.064108801074326E-13</v>
      </c>
      <c r="P179" s="13">
        <f t="shared" si="141"/>
        <v>1.5870730813698654E-12</v>
      </c>
      <c r="Q179" s="20">
        <f t="shared" si="162"/>
        <v>2.9494845662396269E-12</v>
      </c>
      <c r="R179" s="59">
        <f t="shared" si="109"/>
        <v>290.68761212557297</v>
      </c>
      <c r="S179" s="59">
        <f ca="1">AVERAGE(OFFSET($R$3,0,0,'Données projet'!$E$9+1,1))-AVERAGE(OFFSET($H$3,0,0,'Données projet'!$E$9+1,1))</f>
        <v>302.99089313578685</v>
      </c>
      <c r="T179" s="59">
        <f t="shared" si="142"/>
        <v>335.51949678160906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9.6998864060098597</v>
      </c>
      <c r="AA179" s="21">
        <f>EXP(-LN(2)/25)*AA178+(1-EXP(-LN(2)/25))/(LN(2)/25)*Calculateur!V179*Calculateur!X179*VLOOKUP('Données projet'!$B$9,Paramètres!$A$1:$I$89,3,0)*0.475*44/12</f>
        <v>1.8374510001798396</v>
      </c>
      <c r="AB179" s="21">
        <f>EXP(-LN(2)/2)*AB178+(1-EXP(-LN(2)/2))/(LN(2)/2)*V179*Y179*VLOOKUP('Données projet'!$B$9,Paramètres!$A$1:$I$89,3,0)*0.475*44/12</f>
        <v>1.7641513423514751E-17</v>
      </c>
      <c r="AC179" s="22">
        <f t="shared" si="163"/>
        <v>11.5373374061897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69.278439670609998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69.278439670609998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1.1368683772161603E-13</v>
      </c>
      <c r="BE179" s="13">
        <f>BD179*VLOOKUP('Données projet'!$B$11,Paramètres!$A$1:$I$89,3,0)*VLOOKUP('Données projet'!$B$11,Paramètres!$A$1:$I$89,5,0)</f>
        <v>4.5815795601811263E-14</v>
      </c>
      <c r="BF179" s="13">
        <f t="shared" si="167"/>
        <v>7.5374618042508364E-13</v>
      </c>
      <c r="BG179" s="20">
        <f t="shared" si="168"/>
        <v>1.392570441580175E-12</v>
      </c>
      <c r="BH179" s="59">
        <f t="shared" si="116"/>
        <v>290.68761212557138</v>
      </c>
      <c r="BI179" s="59">
        <f ca="1">AVERAGE(OFFSET($BH$3,0,0,'Données projet'!$E$11+1,1))-AVERAGE(OFFSET($H$3,0,0,'Données projet'!$E$11+1,1))</f>
        <v>377.91408971696819</v>
      </c>
      <c r="BJ179" s="59">
        <f t="shared" si="146"/>
        <v>321.68797596002366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28.145016504785062</v>
      </c>
      <c r="BQ179" s="21">
        <f>EXP(-LN(2)/25)*BQ178+(1-EXP(-LN(2)/25))/(LN(2)/25)*Calculateur!BL179*Calculateur!BN179*VLOOKUP('Données projet'!$B$11,Paramètres!$A$1:$I$89,3,0)*0.475*44/12</f>
        <v>4.5775369028588866</v>
      </c>
      <c r="BR179" s="21">
        <f>EXP(-LN(2)/2)*BR178+(1-EXP(-LN(2)/2))/(LN(2)/2)*BL179*BO179*VLOOKUP('Données projet'!$B$11,Paramètres!$A$1:$I$89,3,0)*0.475*44/12</f>
        <v>2.5461678529942098E-13</v>
      </c>
      <c r="BS179" s="22">
        <f t="shared" si="169"/>
        <v>32.722553407644206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69.278439670609998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69.278439670609998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69.278439670609998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69.278439670609998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69.278439670609998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69.278439670609998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69.278439670609998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3.14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11.513333333333334</v>
      </c>
      <c r="H180" s="67">
        <f t="shared" si="110"/>
        <v>210.61333333333332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69.290957129157704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1.064108801074326E-13</v>
      </c>
      <c r="P180" s="13">
        <f t="shared" si="141"/>
        <v>1.5870730813698654E-12</v>
      </c>
      <c r="Q180" s="20">
        <f t="shared" si="162"/>
        <v>2.9494845662396269E-12</v>
      </c>
      <c r="R180" s="59">
        <f t="shared" si="109"/>
        <v>290.73350947358119</v>
      </c>
      <c r="S180" s="59">
        <f ca="1">AVERAGE(OFFSET($R$3,0,0,'Données projet'!$E$9+1,1))-AVERAGE(OFFSET($H$3,0,0,'Données projet'!$E$9+1,1))</f>
        <v>302.99089313578685</v>
      </c>
      <c r="T180" s="59">
        <f t="shared" si="142"/>
        <v>335.51949678160906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9.5096775499345227</v>
      </c>
      <c r="AA180" s="21">
        <f>EXP(-LN(2)/25)*AA179+(1-EXP(-LN(2)/25))/(LN(2)/25)*Calculateur!V180*Calculateur!X180*VLOOKUP('Données projet'!$B$9,Paramètres!$A$1:$I$89,3,0)*0.475*44/12</f>
        <v>1.7872058059525733</v>
      </c>
      <c r="AB180" s="21">
        <f>EXP(-LN(2)/2)*AB179+(1-EXP(-LN(2)/2))/(LN(2)/2)*V180*Y180*VLOOKUP('Données projet'!$B$9,Paramètres!$A$1:$I$89,3,0)*0.475*44/12</f>
        <v>1.2474433772160786E-17</v>
      </c>
      <c r="AC180" s="22">
        <f t="shared" si="163"/>
        <v>11.296883355887097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69.290957129157704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69.290957129157704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1.1368683772161603E-13</v>
      </c>
      <c r="BE180" s="13">
        <f>BD180*VLOOKUP('Données projet'!$B$11,Paramètres!$A$1:$I$89,3,0)*VLOOKUP('Données projet'!$B$11,Paramètres!$A$1:$I$89,5,0)</f>
        <v>4.5815795601811263E-14</v>
      </c>
      <c r="BF180" s="13">
        <f t="shared" si="167"/>
        <v>7.5374618042508364E-13</v>
      </c>
      <c r="BG180" s="20">
        <f t="shared" si="168"/>
        <v>1.392570441580175E-12</v>
      </c>
      <c r="BH180" s="59">
        <f t="shared" si="116"/>
        <v>290.7335094735796</v>
      </c>
      <c r="BI180" s="59">
        <f ca="1">AVERAGE(OFFSET($BH$3,0,0,'Données projet'!$E$11+1,1))-AVERAGE(OFFSET($H$3,0,0,'Données projet'!$E$11+1,1))</f>
        <v>377.91408971696819</v>
      </c>
      <c r="BJ180" s="59">
        <f t="shared" si="146"/>
        <v>321.68797596002366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27.593109897891217</v>
      </c>
      <c r="BQ180" s="21">
        <f>EXP(-LN(2)/25)*BQ179+(1-EXP(-LN(2)/25))/(LN(2)/25)*Calculateur!BL180*Calculateur!BN180*VLOOKUP('Données projet'!$B$11,Paramètres!$A$1:$I$89,3,0)*0.475*44/12</f>
        <v>4.4523639155280064</v>
      </c>
      <c r="BR180" s="21">
        <f>EXP(-LN(2)/2)*BR179+(1-EXP(-LN(2)/2))/(LN(2)/2)*BL180*BO180*VLOOKUP('Données projet'!$B$11,Paramètres!$A$1:$I$89,3,0)*0.475*44/12</f>
        <v>1.8004125548913982E-13</v>
      </c>
      <c r="BS180" s="22">
        <f t="shared" si="169"/>
        <v>32.045473813419399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69.290957129157704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69.290957129157704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69.290957129157704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69.290957129157704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69.290957129157704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69.290957129157704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69.290957129157704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3.14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11.513333333333334</v>
      </c>
      <c r="H181" s="67">
        <f t="shared" si="110"/>
        <v>210.61333333333332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69.303257437784424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1.064108801074326E-13</v>
      </c>
      <c r="P181" s="13">
        <f t="shared" si="141"/>
        <v>1.5870730813698654E-12</v>
      </c>
      <c r="Q181" s="20">
        <f t="shared" si="162"/>
        <v>2.9494845662396269E-12</v>
      </c>
      <c r="R181" s="59">
        <f t="shared" si="109"/>
        <v>290.77861060521252</v>
      </c>
      <c r="S181" s="59">
        <f ca="1">AVERAGE(OFFSET($R$3,0,0,'Données projet'!$E$9+1,1))-AVERAGE(OFFSET($H$3,0,0,'Données projet'!$E$9+1,1))</f>
        <v>302.99089313578685</v>
      </c>
      <c r="T181" s="59">
        <f t="shared" si="142"/>
        <v>335.51949678160906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9.3231985735108776</v>
      </c>
      <c r="AA181" s="21">
        <f>EXP(-LN(2)/25)*AA180+(1-EXP(-LN(2)/25))/(LN(2)/25)*Calculateur!V181*Calculateur!X181*VLOOKUP('Données projet'!$B$9,Paramètres!$A$1:$I$89,3,0)*0.475*44/12</f>
        <v>1.7383345692037315</v>
      </c>
      <c r="AB181" s="21">
        <f>EXP(-LN(2)/2)*AB180+(1-EXP(-LN(2)/2))/(LN(2)/2)*V181*Y181*VLOOKUP('Données projet'!$B$9,Paramètres!$A$1:$I$89,3,0)*0.475*44/12</f>
        <v>8.8207567117573753E-18</v>
      </c>
      <c r="AC181" s="22">
        <f t="shared" si="163"/>
        <v>11.061533142714609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69.303257437784424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69.303257437784424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1.1368683772161603E-13</v>
      </c>
      <c r="BE181" s="13">
        <f>BD181*VLOOKUP('Données projet'!$B$11,Paramètres!$A$1:$I$89,3,0)*VLOOKUP('Données projet'!$B$11,Paramètres!$A$1:$I$89,5,0)</f>
        <v>4.5815795601811263E-14</v>
      </c>
      <c r="BF181" s="13">
        <f t="shared" si="167"/>
        <v>7.5374618042508364E-13</v>
      </c>
      <c r="BG181" s="20">
        <f t="shared" si="168"/>
        <v>1.392570441580175E-12</v>
      </c>
      <c r="BH181" s="59">
        <f t="shared" si="116"/>
        <v>290.77861060521093</v>
      </c>
      <c r="BI181" s="59">
        <f ca="1">AVERAGE(OFFSET($BH$3,0,0,'Données projet'!$E$11+1,1))-AVERAGE(OFFSET($H$3,0,0,'Données projet'!$E$11+1,1))</f>
        <v>377.91408971696819</v>
      </c>
      <c r="BJ181" s="59">
        <f t="shared" si="146"/>
        <v>321.68797596002366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27.052025842928771</v>
      </c>
      <c r="BQ181" s="21">
        <f>EXP(-LN(2)/25)*BQ180+(1-EXP(-LN(2)/25))/(LN(2)/25)*Calculateur!BL181*Calculateur!BN181*VLOOKUP('Données projet'!$B$11,Paramètres!$A$1:$I$89,3,0)*0.475*44/12</f>
        <v>4.3306137901182504</v>
      </c>
      <c r="BR181" s="21">
        <f>EXP(-LN(2)/2)*BR180+(1-EXP(-LN(2)/2))/(LN(2)/2)*BL181*BO181*VLOOKUP('Données projet'!$B$11,Paramètres!$A$1:$I$89,3,0)*0.475*44/12</f>
        <v>1.2730839264971049E-13</v>
      </c>
      <c r="BS181" s="22">
        <f t="shared" si="169"/>
        <v>31.382639633047148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69.303257437784424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69.303257437784424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69.303257437784424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69.303257437784424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69.303257437784424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69.303257437784424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69.303257437784424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3.14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11.513333333333334</v>
      </c>
      <c r="H182" s="67">
        <f t="shared" si="110"/>
        <v>210.61333333333332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69.315344363555852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1.064108801074326E-13</v>
      </c>
      <c r="P182" s="13">
        <f t="shared" si="141"/>
        <v>1.5870730813698654E-12</v>
      </c>
      <c r="Q182" s="20">
        <f t="shared" si="162"/>
        <v>2.9494845662396269E-12</v>
      </c>
      <c r="R182" s="59">
        <f t="shared" si="109"/>
        <v>290.82292933304109</v>
      </c>
      <c r="S182" s="59">
        <f ca="1">AVERAGE(OFFSET($R$3,0,0,'Données projet'!$E$9+1,1))-AVERAGE(OFFSET($H$3,0,0,'Données projet'!$E$9+1,1))</f>
        <v>302.99089313578685</v>
      </c>
      <c r="T182" s="59">
        <f t="shared" si="142"/>
        <v>335.51949678160906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9.1403763360739543</v>
      </c>
      <c r="AA182" s="21">
        <f>EXP(-LN(2)/25)*AA181+(1-EXP(-LN(2)/25))/(LN(2)/25)*Calculateur!V182*Calculateur!X182*VLOOKUP('Données projet'!$B$9,Paramètres!$A$1:$I$89,3,0)*0.475*44/12</f>
        <v>1.6907997189938135</v>
      </c>
      <c r="AB182" s="21">
        <f>EXP(-LN(2)/2)*AB181+(1-EXP(-LN(2)/2))/(LN(2)/2)*V182*Y182*VLOOKUP('Données projet'!$B$9,Paramètres!$A$1:$I$89,3,0)*0.475*44/12</f>
        <v>6.2372168860803929E-18</v>
      </c>
      <c r="AC182" s="22">
        <f t="shared" si="163"/>
        <v>10.831176055067768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69.315344363555852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69.315344363555852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1.1368683772161603E-13</v>
      </c>
      <c r="BE182" s="13">
        <f>BD182*VLOOKUP('Données projet'!$B$11,Paramètres!$A$1:$I$89,3,0)*VLOOKUP('Données projet'!$B$11,Paramètres!$A$1:$I$89,5,0)</f>
        <v>4.5815795601811263E-14</v>
      </c>
      <c r="BF182" s="13">
        <f t="shared" si="167"/>
        <v>7.5374618042508364E-13</v>
      </c>
      <c r="BG182" s="20">
        <f t="shared" si="168"/>
        <v>1.392570441580175E-12</v>
      </c>
      <c r="BH182" s="59">
        <f t="shared" si="116"/>
        <v>290.8229293330395</v>
      </c>
      <c r="BI182" s="59">
        <f ca="1">AVERAGE(OFFSET($BH$3,0,0,'Données projet'!$E$11+1,1))-AVERAGE(OFFSET($H$3,0,0,'Données projet'!$E$11+1,1))</f>
        <v>377.91408971696819</v>
      </c>
      <c r="BJ182" s="59">
        <f t="shared" si="146"/>
        <v>321.68797596002366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26.521552116255453</v>
      </c>
      <c r="BQ182" s="21">
        <f>EXP(-LN(2)/25)*BQ181+(1-EXP(-LN(2)/25))/(LN(2)/25)*Calculateur!BL182*Calculateur!BN182*VLOOKUP('Données projet'!$B$11,Paramètres!$A$1:$I$89,3,0)*0.475*44/12</f>
        <v>4.2121929282903858</v>
      </c>
      <c r="BR182" s="21">
        <f>EXP(-LN(2)/2)*BR181+(1-EXP(-LN(2)/2))/(LN(2)/2)*BL182*BO182*VLOOKUP('Données projet'!$B$11,Paramètres!$A$1:$I$89,3,0)*0.475*44/12</f>
        <v>9.0020627744569911E-14</v>
      </c>
      <c r="BS182" s="22">
        <f t="shared" si="169"/>
        <v>30.733745044545927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69.315344363555852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69.315344363555852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69.315344363555852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69.315344363555852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69.315344363555852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69.315344363555852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69.315344363555852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3.14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11.513333333333334</v>
      </c>
      <c r="H183" s="67">
        <f t="shared" si="110"/>
        <v>210.61333333333332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69.327221608187472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1.064108801074326E-13</v>
      </c>
      <c r="P183" s="13">
        <f t="shared" si="141"/>
        <v>1.5870730813698654E-12</v>
      </c>
      <c r="Q183" s="20">
        <f t="shared" si="162"/>
        <v>2.9494845662396269E-12</v>
      </c>
      <c r="R183" s="59">
        <f t="shared" si="109"/>
        <v>290.86647923002369</v>
      </c>
      <c r="S183" s="59">
        <f ca="1">AVERAGE(OFFSET($R$3,0,0,'Données projet'!$E$9+1,1))-AVERAGE(OFFSET($H$3,0,0,'Données projet'!$E$9+1,1))</f>
        <v>302.99089313578685</v>
      </c>
      <c r="T183" s="59">
        <f t="shared" si="142"/>
        <v>335.51949678160906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8.9611391312026161</v>
      </c>
      <c r="AA183" s="21">
        <f>EXP(-LN(2)/25)*AA182+(1-EXP(-LN(2)/25))/(LN(2)/25)*Calculateur!V183*Calculateur!X183*VLOOKUP('Données projet'!$B$9,Paramètres!$A$1:$I$89,3,0)*0.475*44/12</f>
        <v>1.644564711762635</v>
      </c>
      <c r="AB183" s="21">
        <f>EXP(-LN(2)/2)*AB182+(1-EXP(-LN(2)/2))/(LN(2)/2)*V183*Y183*VLOOKUP('Données projet'!$B$9,Paramètres!$A$1:$I$89,3,0)*0.475*44/12</f>
        <v>4.4103783558786877E-18</v>
      </c>
      <c r="AC183" s="22">
        <f t="shared" si="163"/>
        <v>10.605703842965251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69.327221608187472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69.327221608187472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1.1368683772161603E-13</v>
      </c>
      <c r="BE183" s="13">
        <f>BD183*VLOOKUP('Données projet'!$B$11,Paramètres!$A$1:$I$89,3,0)*VLOOKUP('Données projet'!$B$11,Paramètres!$A$1:$I$89,5,0)</f>
        <v>4.5815795601811263E-14</v>
      </c>
      <c r="BF183" s="13">
        <f t="shared" si="167"/>
        <v>7.5374618042508364E-13</v>
      </c>
      <c r="BG183" s="20">
        <f t="shared" si="168"/>
        <v>1.392570441580175E-12</v>
      </c>
      <c r="BH183" s="59">
        <f t="shared" si="116"/>
        <v>290.86647923002209</v>
      </c>
      <c r="BI183" s="59">
        <f ca="1">AVERAGE(OFFSET($BH$3,0,0,'Données projet'!$E$11+1,1))-AVERAGE(OFFSET($H$3,0,0,'Données projet'!$E$11+1,1))</f>
        <v>377.91408971696819</v>
      </c>
      <c r="BJ183" s="59">
        <f t="shared" si="146"/>
        <v>321.68797596002366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26.001480655805175</v>
      </c>
      <c r="BQ183" s="21">
        <f>EXP(-LN(2)/25)*BQ182+(1-EXP(-LN(2)/25))/(LN(2)/25)*Calculateur!BL183*Calculateur!BN183*VLOOKUP('Données projet'!$B$11,Paramètres!$A$1:$I$89,3,0)*0.475*44/12</f>
        <v>4.0970102911566864</v>
      </c>
      <c r="BR183" s="21">
        <f>EXP(-LN(2)/2)*BR182+(1-EXP(-LN(2)/2))/(LN(2)/2)*BL183*BO183*VLOOKUP('Données projet'!$B$11,Paramètres!$A$1:$I$89,3,0)*0.475*44/12</f>
        <v>6.3654196324855244E-14</v>
      </c>
      <c r="BS183" s="22">
        <f t="shared" si="169"/>
        <v>30.098490946961924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69.327221608187472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69.327221608187472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69.327221608187472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69.327221608187472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69.327221608187472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69.327221608187472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69.327221608187472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3.14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11.513333333333334</v>
      </c>
      <c r="H184" s="67">
        <f t="shared" si="110"/>
        <v>210.61333333333332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69.338892809178262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1.064108801074326E-13</v>
      </c>
      <c r="P184" s="13">
        <f t="shared" si="141"/>
        <v>1.5870730813698654E-12</v>
      </c>
      <c r="Q184" s="20">
        <f t="shared" si="162"/>
        <v>2.9494845662396269E-12</v>
      </c>
      <c r="R184" s="59">
        <f t="shared" si="109"/>
        <v>290.9092736336566</v>
      </c>
      <c r="S184" s="59">
        <f ca="1">AVERAGE(OFFSET($R$3,0,0,'Données projet'!$E$9+1,1))-AVERAGE(OFFSET($H$3,0,0,'Données projet'!$E$9+1,1))</f>
        <v>302.99089313578685</v>
      </c>
      <c r="T184" s="59">
        <f t="shared" si="142"/>
        <v>335.51949678160906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8.7854166585949045</v>
      </c>
      <c r="AA184" s="21">
        <f>EXP(-LN(2)/25)*AA183+(1-EXP(-LN(2)/25))/(LN(2)/25)*Calculateur!V184*Calculateur!X184*VLOOKUP('Données projet'!$B$9,Paramètres!$A$1:$I$89,3,0)*0.475*44/12</f>
        <v>1.5995940032355862</v>
      </c>
      <c r="AB184" s="21">
        <f>EXP(-LN(2)/2)*AB183+(1-EXP(-LN(2)/2))/(LN(2)/2)*V184*Y184*VLOOKUP('Données projet'!$B$9,Paramètres!$A$1:$I$89,3,0)*0.475*44/12</f>
        <v>3.1186084430401965E-18</v>
      </c>
      <c r="AC184" s="22">
        <f t="shared" si="163"/>
        <v>10.38501066183049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69.338892809178262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69.338892809178262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1.1368683772161603E-13</v>
      </c>
      <c r="BE184" s="13">
        <f>BD184*VLOOKUP('Données projet'!$B$11,Paramètres!$A$1:$I$89,3,0)*VLOOKUP('Données projet'!$B$11,Paramètres!$A$1:$I$89,5,0)</f>
        <v>4.5815795601811263E-14</v>
      </c>
      <c r="BF184" s="13">
        <f t="shared" si="167"/>
        <v>7.5374618042508364E-13</v>
      </c>
      <c r="BG184" s="20">
        <f t="shared" si="168"/>
        <v>1.392570441580175E-12</v>
      </c>
      <c r="BH184" s="59">
        <f t="shared" si="116"/>
        <v>290.909273633655</v>
      </c>
      <c r="BI184" s="59">
        <f ca="1">AVERAGE(OFFSET($BH$3,0,0,'Données projet'!$E$11+1,1))-AVERAGE(OFFSET($H$3,0,0,'Données projet'!$E$11+1,1))</f>
        <v>377.91408971696819</v>
      </c>
      <c r="BJ184" s="59">
        <f t="shared" si="146"/>
        <v>321.68797596002366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25.491607479482056</v>
      </c>
      <c r="BQ184" s="21">
        <f>EXP(-LN(2)/25)*BQ183+(1-EXP(-LN(2)/25))/(LN(2)/25)*Calculateur!BL184*Calculateur!BN184*VLOOKUP('Données projet'!$B$11,Paramètres!$A$1:$I$89,3,0)*0.475*44/12</f>
        <v>3.9849773292925992</v>
      </c>
      <c r="BR184" s="21">
        <f>EXP(-LN(2)/2)*BR183+(1-EXP(-LN(2)/2))/(LN(2)/2)*BL184*BO184*VLOOKUP('Données projet'!$B$11,Paramètres!$A$1:$I$89,3,0)*0.475*44/12</f>
        <v>4.5010313872284955E-14</v>
      </c>
      <c r="BS184" s="22">
        <f t="shared" si="169"/>
        <v>29.4765848087747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69.338892809178262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69.338892809178262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69.338892809178262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69.338892809178262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69.338892809178262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69.338892809178262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69.338892809178262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3.14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11.513333333333334</v>
      </c>
      <c r="H185" s="67">
        <f t="shared" si="110"/>
        <v>210.61333333333332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69.35036154092478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1.064108801074326E-13</v>
      </c>
      <c r="P185" s="13">
        <f t="shared" si="141"/>
        <v>1.5870730813698654E-12</v>
      </c>
      <c r="Q185" s="20">
        <f t="shared" si="162"/>
        <v>2.9494845662396269E-12</v>
      </c>
      <c r="R185" s="59">
        <f t="shared" si="109"/>
        <v>290.95132565006048</v>
      </c>
      <c r="S185" s="59">
        <f ca="1">AVERAGE(OFFSET($R$3,0,0,'Données projet'!$E$9+1,1))-AVERAGE(OFFSET($H$3,0,0,'Données projet'!$E$9+1,1))</f>
        <v>302.99089313578685</v>
      </c>
      <c r="T185" s="59">
        <f t="shared" si="142"/>
        <v>335.51949678160906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8.6131399964949047</v>
      </c>
      <c r="AA185" s="21">
        <f>EXP(-LN(2)/25)*AA184+(1-EXP(-LN(2)/25))/(LN(2)/25)*Calculateur!V185*Calculateur!X185*VLOOKUP('Données projet'!$B$9,Paramètres!$A$1:$I$89,3,0)*0.475*44/12</f>
        <v>1.5558530210981163</v>
      </c>
      <c r="AB185" s="21">
        <f>EXP(-LN(2)/2)*AB184+(1-EXP(-LN(2)/2))/(LN(2)/2)*V185*Y185*VLOOKUP('Données projet'!$B$9,Paramètres!$A$1:$I$89,3,0)*0.475*44/12</f>
        <v>2.2051891779393438E-18</v>
      </c>
      <c r="AC185" s="22">
        <f t="shared" si="163"/>
        <v>10.168993017593021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69.35036154092478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69.35036154092478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1.1368683772161603E-13</v>
      </c>
      <c r="BE185" s="13">
        <f>BD185*VLOOKUP('Données projet'!$B$11,Paramètres!$A$1:$I$89,3,0)*VLOOKUP('Données projet'!$B$11,Paramètres!$A$1:$I$89,5,0)</f>
        <v>4.5815795601811263E-14</v>
      </c>
      <c r="BF185" s="13">
        <f t="shared" si="167"/>
        <v>7.5374618042508364E-13</v>
      </c>
      <c r="BG185" s="20">
        <f t="shared" si="168"/>
        <v>1.392570441580175E-12</v>
      </c>
      <c r="BH185" s="59">
        <f t="shared" si="116"/>
        <v>290.95132565005889</v>
      </c>
      <c r="BI185" s="59">
        <f ca="1">AVERAGE(OFFSET($BH$3,0,0,'Données projet'!$E$11+1,1))-AVERAGE(OFFSET($H$3,0,0,'Données projet'!$E$11+1,1))</f>
        <v>377.91408971696819</v>
      </c>
      <c r="BJ185" s="59">
        <f t="shared" si="146"/>
        <v>321.68797596002366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24.991732605154702</v>
      </c>
      <c r="BQ185" s="21">
        <f>EXP(-LN(2)/25)*BQ184+(1-EXP(-LN(2)/25))/(LN(2)/25)*Calculateur!BL185*Calculateur!BN185*VLOOKUP('Données projet'!$B$11,Paramètres!$A$1:$I$89,3,0)*0.475*44/12</f>
        <v>3.8760079146622433</v>
      </c>
      <c r="BR185" s="21">
        <f>EXP(-LN(2)/2)*BR184+(1-EXP(-LN(2)/2))/(LN(2)/2)*BL185*BO185*VLOOKUP('Données projet'!$B$11,Paramètres!$A$1:$I$89,3,0)*0.475*44/12</f>
        <v>3.1827098162427622E-14</v>
      </c>
      <c r="BS185" s="22">
        <f t="shared" si="169"/>
        <v>28.867740519816977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69.35036154092478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69.35036154092478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69.35036154092478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69.35036154092478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69.35036154092478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69.35036154092478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69.35036154092478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3.14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11.513333333333334</v>
      </c>
      <c r="H186" s="67">
        <f t="shared" si="110"/>
        <v>210.61333333333332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69.361631315815714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1.064108801074326E-13</v>
      </c>
      <c r="P186" s="13">
        <f t="shared" si="141"/>
        <v>1.5870730813698654E-12</v>
      </c>
      <c r="Q186" s="20">
        <f t="shared" si="162"/>
        <v>2.9494845662396269E-12</v>
      </c>
      <c r="R186" s="59">
        <f t="shared" si="109"/>
        <v>290.99264815799393</v>
      </c>
      <c r="S186" s="59">
        <f ca="1">AVERAGE(OFFSET($R$3,0,0,'Données projet'!$E$9+1,1))-AVERAGE(OFFSET($H$3,0,0,'Données projet'!$E$9+1,1))</f>
        <v>302.99089313578685</v>
      </c>
      <c r="T186" s="59">
        <f t="shared" si="142"/>
        <v>335.51949678160906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8.4442415746602979</v>
      </c>
      <c r="AA186" s="21">
        <f>EXP(-LN(2)/25)*AA185+(1-EXP(-LN(2)/25))/(LN(2)/25)*Calculateur!V186*Calculateur!X186*VLOOKUP('Données projet'!$B$9,Paramètres!$A$1:$I$89,3,0)*0.475*44/12</f>
        <v>1.5133081384174338</v>
      </c>
      <c r="AB186" s="21">
        <f>EXP(-LN(2)/2)*AB185+(1-EXP(-LN(2)/2))/(LN(2)/2)*V186*Y186*VLOOKUP('Données projet'!$B$9,Paramètres!$A$1:$I$89,3,0)*0.475*44/12</f>
        <v>1.5593042215200982E-18</v>
      </c>
      <c r="AC186" s="22">
        <f t="shared" si="163"/>
        <v>9.9575497130777322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69.361631315815714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69.361631315815714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1.1368683772161603E-13</v>
      </c>
      <c r="BE186" s="13">
        <f>BD186*VLOOKUP('Données projet'!$B$11,Paramètres!$A$1:$I$89,3,0)*VLOOKUP('Données projet'!$B$11,Paramètres!$A$1:$I$89,5,0)</f>
        <v>4.5815795601811263E-14</v>
      </c>
      <c r="BF186" s="13">
        <f t="shared" si="167"/>
        <v>7.5374618042508364E-13</v>
      </c>
      <c r="BG186" s="20">
        <f t="shared" si="168"/>
        <v>1.392570441580175E-12</v>
      </c>
      <c r="BH186" s="59">
        <f t="shared" si="116"/>
        <v>290.99264815799233</v>
      </c>
      <c r="BI186" s="59">
        <f ca="1">AVERAGE(OFFSET($BH$3,0,0,'Données projet'!$E$11+1,1))-AVERAGE(OFFSET($H$3,0,0,'Données projet'!$E$11+1,1))</f>
        <v>377.91408971696819</v>
      </c>
      <c r="BJ186" s="59">
        <f t="shared" si="146"/>
        <v>321.68797596002366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24.501659972219343</v>
      </c>
      <c r="BQ186" s="21">
        <f>EXP(-LN(2)/25)*BQ185+(1-EXP(-LN(2)/25))/(LN(2)/25)*Calculateur!BL186*Calculateur!BN186*VLOOKUP('Données projet'!$B$11,Paramètres!$A$1:$I$89,3,0)*0.475*44/12</f>
        <v>3.7700182744054067</v>
      </c>
      <c r="BR186" s="21">
        <f>EXP(-LN(2)/2)*BR185+(1-EXP(-LN(2)/2))/(LN(2)/2)*BL186*BO186*VLOOKUP('Données projet'!$B$11,Paramètres!$A$1:$I$89,3,0)*0.475*44/12</f>
        <v>2.2505156936142478E-14</v>
      </c>
      <c r="BS186" s="22">
        <f t="shared" si="169"/>
        <v>28.27167824662477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69.361631315815714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69.361631315815714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69.361631315815714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69.361631315815714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69.361631315815714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69.361631315815714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69.361631315815714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3.14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11.513333333333334</v>
      </c>
      <c r="H187" s="67">
        <f t="shared" si="110"/>
        <v>210.61333333333332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69.372705585307727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1.064108801074326E-13</v>
      </c>
      <c r="P187" s="13">
        <f t="shared" si="141"/>
        <v>1.5870730813698654E-12</v>
      </c>
      <c r="Q187" s="20">
        <f t="shared" si="162"/>
        <v>2.9494845662396269E-12</v>
      </c>
      <c r="R187" s="59">
        <f t="shared" si="109"/>
        <v>291.03325381279797</v>
      </c>
      <c r="S187" s="59">
        <f ca="1">AVERAGE(OFFSET($R$3,0,0,'Données projet'!$E$9+1,1))-AVERAGE(OFFSET($H$3,0,0,'Données projet'!$E$9+1,1))</f>
        <v>302.99089313578685</v>
      </c>
      <c r="T187" s="59">
        <f t="shared" si="142"/>
        <v>335.51949678160906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8.2786551478600021</v>
      </c>
      <c r="AA187" s="21">
        <f>EXP(-LN(2)/25)*AA186+(1-EXP(-LN(2)/25))/(LN(2)/25)*Calculateur!V187*Calculateur!X187*VLOOKUP('Données projet'!$B$9,Paramètres!$A$1:$I$89,3,0)*0.475*44/12</f>
        <v>1.4719266477909929</v>
      </c>
      <c r="AB187" s="21">
        <f>EXP(-LN(2)/2)*AB186+(1-EXP(-LN(2)/2))/(LN(2)/2)*V187*Y187*VLOOKUP('Données projet'!$B$9,Paramètres!$A$1:$I$89,3,0)*0.475*44/12</f>
        <v>1.1025945889696719E-18</v>
      </c>
      <c r="AC187" s="22">
        <f t="shared" si="163"/>
        <v>9.7505817956509944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69.372705585307727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69.372705585307727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1.1368683772161603E-13</v>
      </c>
      <c r="BE187" s="13">
        <f>BD187*VLOOKUP('Données projet'!$B$11,Paramètres!$A$1:$I$89,3,0)*VLOOKUP('Données projet'!$B$11,Paramètres!$A$1:$I$89,5,0)</f>
        <v>4.5815795601811263E-14</v>
      </c>
      <c r="BF187" s="13">
        <f t="shared" si="167"/>
        <v>7.5374618042508364E-13</v>
      </c>
      <c r="BG187" s="20">
        <f t="shared" si="168"/>
        <v>1.392570441580175E-12</v>
      </c>
      <c r="BH187" s="59">
        <f t="shared" si="116"/>
        <v>291.03325381279637</v>
      </c>
      <c r="BI187" s="59">
        <f ca="1">AVERAGE(OFFSET($BH$3,0,0,'Données projet'!$E$11+1,1))-AVERAGE(OFFSET($H$3,0,0,'Données projet'!$E$11+1,1))</f>
        <v>377.91408971696819</v>
      </c>
      <c r="BJ187" s="59">
        <f t="shared" si="146"/>
        <v>321.68797596002366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24.021197364701056</v>
      </c>
      <c r="BQ187" s="21">
        <f>EXP(-LN(2)/25)*BQ186+(1-EXP(-LN(2)/25))/(LN(2)/25)*Calculateur!BL187*Calculateur!BN187*VLOOKUP('Données projet'!$B$11,Paramètres!$A$1:$I$89,3,0)*0.475*44/12</f>
        <v>3.6669269264351465</v>
      </c>
      <c r="BR187" s="21">
        <f>EXP(-LN(2)/2)*BR186+(1-EXP(-LN(2)/2))/(LN(2)/2)*BL187*BO187*VLOOKUP('Données projet'!$B$11,Paramètres!$A$1:$I$89,3,0)*0.475*44/12</f>
        <v>1.5913549081213811E-14</v>
      </c>
      <c r="BS187" s="22">
        <f t="shared" si="169"/>
        <v>27.688124291136216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69.372705585307727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69.372705585307727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69.372705585307727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69.372705585307727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69.372705585307727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69.372705585307727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69.372705585307727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3.14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11.513333333333334</v>
      </c>
      <c r="H188" s="67">
        <f t="shared" si="110"/>
        <v>210.61333333333332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69.383587740982435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1.064108801074326E-13</v>
      </c>
      <c r="P188" s="13">
        <f t="shared" si="141"/>
        <v>1.5870730813698654E-12</v>
      </c>
      <c r="Q188" s="20">
        <f t="shared" si="162"/>
        <v>2.9494845662396269E-12</v>
      </c>
      <c r="R188" s="59">
        <f t="shared" si="109"/>
        <v>291.07315505027185</v>
      </c>
      <c r="S188" s="59">
        <f ca="1">AVERAGE(OFFSET($R$3,0,0,'Données projet'!$E$9+1,1))-AVERAGE(OFFSET($H$3,0,0,'Données projet'!$E$9+1,1))</f>
        <v>302.99089313578685</v>
      </c>
      <c r="T188" s="59">
        <f t="shared" si="142"/>
        <v>335.51949678160906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8.1163157698915125</v>
      </c>
      <c r="AA188" s="21">
        <f>EXP(-LN(2)/25)*AA187+(1-EXP(-LN(2)/25))/(LN(2)/25)*Calculateur!V188*Calculateur!X188*VLOOKUP('Données projet'!$B$9,Paramètres!$A$1:$I$89,3,0)*0.475*44/12</f>
        <v>1.4316767362018898</v>
      </c>
      <c r="AB188" s="21">
        <f>EXP(-LN(2)/2)*AB187+(1-EXP(-LN(2)/2))/(LN(2)/2)*V188*Y188*VLOOKUP('Données projet'!$B$9,Paramètres!$A$1:$I$89,3,0)*0.475*44/12</f>
        <v>7.7965211076004911E-19</v>
      </c>
      <c r="AC188" s="22">
        <f t="shared" si="163"/>
        <v>9.5479925060934026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69.383587740982435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69.383587740982435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1.1368683772161603E-13</v>
      </c>
      <c r="BE188" s="13">
        <f>BD188*VLOOKUP('Données projet'!$B$11,Paramètres!$A$1:$I$89,3,0)*VLOOKUP('Données projet'!$B$11,Paramètres!$A$1:$I$89,5,0)</f>
        <v>4.5815795601811263E-14</v>
      </c>
      <c r="BF188" s="13">
        <f t="shared" si="167"/>
        <v>7.5374618042508364E-13</v>
      </c>
      <c r="BG188" s="20">
        <f t="shared" si="168"/>
        <v>1.392570441580175E-12</v>
      </c>
      <c r="BH188" s="59">
        <f t="shared" si="116"/>
        <v>291.07315505027026</v>
      </c>
      <c r="BI188" s="59">
        <f ca="1">AVERAGE(OFFSET($BH$3,0,0,'Données projet'!$E$11+1,1))-AVERAGE(OFFSET($H$3,0,0,'Données projet'!$E$11+1,1))</f>
        <v>377.91408971696819</v>
      </c>
      <c r="BJ188" s="59">
        <f t="shared" si="146"/>
        <v>321.68797596002366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23.550156335862948</v>
      </c>
      <c r="BQ188" s="21">
        <f>EXP(-LN(2)/25)*BQ187+(1-EXP(-LN(2)/25))/(LN(2)/25)*Calculateur!BL188*Calculateur!BN188*VLOOKUP('Données projet'!$B$11,Paramètres!$A$1:$I$89,3,0)*0.475*44/12</f>
        <v>3.5666546167964714</v>
      </c>
      <c r="BR188" s="21">
        <f>EXP(-LN(2)/2)*BR187+(1-EXP(-LN(2)/2))/(LN(2)/2)*BL188*BO188*VLOOKUP('Données projet'!$B$11,Paramètres!$A$1:$I$89,3,0)*0.475*44/12</f>
        <v>1.1252578468071239E-14</v>
      </c>
      <c r="BS188" s="22">
        <f t="shared" si="169"/>
        <v>27.116810952659431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69.383587740982435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69.383587740982435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69.383587740982435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69.383587740982435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69.383587740982435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69.383587740982435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69.383587740982435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3.14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11.513333333333334</v>
      </c>
      <c r="H189" s="67">
        <f t="shared" si="110"/>
        <v>210.61333333333332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69.394281115585031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1.064108801074326E-13</v>
      </c>
      <c r="P189" s="13">
        <f t="shared" si="141"/>
        <v>1.5870730813698654E-12</v>
      </c>
      <c r="Q189" s="20">
        <f t="shared" si="162"/>
        <v>2.9494845662396269E-12</v>
      </c>
      <c r="R189" s="59">
        <f t="shared" si="109"/>
        <v>291.11236409048144</v>
      </c>
      <c r="S189" s="59">
        <f ca="1">AVERAGE(OFFSET($R$3,0,0,'Données projet'!$E$9+1,1))-AVERAGE(OFFSET($H$3,0,0,'Données projet'!$E$9+1,1))</f>
        <v>302.99089313578685</v>
      </c>
      <c r="T189" s="59">
        <f t="shared" si="142"/>
        <v>335.51949678160906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7.9571597681077417</v>
      </c>
      <c r="AA189" s="21">
        <f>EXP(-LN(2)/25)*AA188+(1-EXP(-LN(2)/25))/(LN(2)/25)*Calculateur!V189*Calculateur!X189*VLOOKUP('Données projet'!$B$9,Paramètres!$A$1:$I$89,3,0)*0.475*44/12</f>
        <v>1.3925274605618418</v>
      </c>
      <c r="AB189" s="21">
        <f>EXP(-LN(2)/2)*AB188+(1-EXP(-LN(2)/2))/(LN(2)/2)*V189*Y189*VLOOKUP('Données projet'!$B$9,Paramètres!$A$1:$I$89,3,0)*0.475*44/12</f>
        <v>5.5129729448483596E-19</v>
      </c>
      <c r="AC189" s="22">
        <f t="shared" si="163"/>
        <v>9.349687228669584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69.394281115585031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69.394281115585031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1.1368683772161603E-13</v>
      </c>
      <c r="BE189" s="13">
        <f>BD189*VLOOKUP('Données projet'!$B$11,Paramètres!$A$1:$I$89,3,0)*VLOOKUP('Données projet'!$B$11,Paramètres!$A$1:$I$89,5,0)</f>
        <v>4.5815795601811263E-14</v>
      </c>
      <c r="BF189" s="13">
        <f t="shared" si="167"/>
        <v>7.5374618042508364E-13</v>
      </c>
      <c r="BG189" s="20">
        <f t="shared" si="168"/>
        <v>1.392570441580175E-12</v>
      </c>
      <c r="BH189" s="59">
        <f t="shared" si="116"/>
        <v>291.11236409047984</v>
      </c>
      <c r="BI189" s="59">
        <f ca="1">AVERAGE(OFFSET($BH$3,0,0,'Données projet'!$E$11+1,1))-AVERAGE(OFFSET($H$3,0,0,'Données projet'!$E$11+1,1))</f>
        <v>377.91408971696819</v>
      </c>
      <c r="BJ189" s="59">
        <f t="shared" si="146"/>
        <v>321.68797596002366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23.088352134293697</v>
      </c>
      <c r="BQ189" s="21">
        <f>EXP(-LN(2)/25)*BQ188+(1-EXP(-LN(2)/25))/(LN(2)/25)*Calculateur!BL189*Calculateur!BN189*VLOOKUP('Données projet'!$B$11,Paramètres!$A$1:$I$89,3,0)*0.475*44/12</f>
        <v>3.4691242587379572</v>
      </c>
      <c r="BR189" s="21">
        <f>EXP(-LN(2)/2)*BR188+(1-EXP(-LN(2)/2))/(LN(2)/2)*BL189*BO189*VLOOKUP('Données projet'!$B$11,Paramètres!$A$1:$I$89,3,0)*0.475*44/12</f>
        <v>7.9567745406069055E-15</v>
      </c>
      <c r="BS189" s="22">
        <f t="shared" si="169"/>
        <v>26.55747639303166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69.394281115585031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69.394281115585031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69.394281115585031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69.394281115585031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69.394281115585031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69.394281115585031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69.394281115585031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3.14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11.513333333333334</v>
      </c>
      <c r="H190" s="67">
        <f t="shared" si="110"/>
        <v>210.61333333333332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69.404788984045069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1.064108801074326E-13</v>
      </c>
      <c r="P190" s="13">
        <f t="shared" si="141"/>
        <v>1.5870730813698654E-12</v>
      </c>
      <c r="Q190" s="20">
        <f t="shared" si="162"/>
        <v>2.9494845662396269E-12</v>
      </c>
      <c r="R190" s="59">
        <f t="shared" si="109"/>
        <v>291.15089294150152</v>
      </c>
      <c r="S190" s="59">
        <f ca="1">AVERAGE(OFFSET($R$3,0,0,'Données projet'!$E$9+1,1))-AVERAGE(OFFSET($H$3,0,0,'Données projet'!$E$9+1,1))</f>
        <v>302.99089313578685</v>
      </c>
      <c r="T190" s="59">
        <f t="shared" si="142"/>
        <v>335.51949678160906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7.8011247184433747</v>
      </c>
      <c r="AA190" s="21">
        <f>EXP(-LN(2)/25)*AA189+(1-EXP(-LN(2)/25))/(LN(2)/25)*Calculateur!V190*Calculateur!X190*VLOOKUP('Données projet'!$B$9,Paramètres!$A$1:$I$89,3,0)*0.475*44/12</f>
        <v>1.3544487239229417</v>
      </c>
      <c r="AB190" s="21">
        <f>EXP(-LN(2)/2)*AB189+(1-EXP(-LN(2)/2))/(LN(2)/2)*V190*Y190*VLOOKUP('Données projet'!$B$9,Paramètres!$A$1:$I$89,3,0)*0.475*44/12</f>
        <v>3.8982605538002456E-19</v>
      </c>
      <c r="AC190" s="22">
        <f t="shared" si="163"/>
        <v>9.1555734423663164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69.404788984045069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69.404788984045069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1.1368683772161603E-13</v>
      </c>
      <c r="BE190" s="13">
        <f>BD190*VLOOKUP('Données projet'!$B$11,Paramètres!$A$1:$I$89,3,0)*VLOOKUP('Données projet'!$B$11,Paramètres!$A$1:$I$89,5,0)</f>
        <v>4.5815795601811263E-14</v>
      </c>
      <c r="BF190" s="13">
        <f t="shared" si="167"/>
        <v>7.5374618042508364E-13</v>
      </c>
      <c r="BG190" s="20">
        <f t="shared" si="168"/>
        <v>1.392570441580175E-12</v>
      </c>
      <c r="BH190" s="59">
        <f t="shared" si="116"/>
        <v>291.15089294149993</v>
      </c>
      <c r="BI190" s="59">
        <f ca="1">AVERAGE(OFFSET($BH$3,0,0,'Données projet'!$E$11+1,1))-AVERAGE(OFFSET($H$3,0,0,'Données projet'!$E$11+1,1))</f>
        <v>377.91408971696819</v>
      </c>
      <c r="BJ190" s="59">
        <f t="shared" si="146"/>
        <v>321.68797596002366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22.635603631444468</v>
      </c>
      <c r="BQ190" s="21">
        <f>EXP(-LN(2)/25)*BQ189+(1-EXP(-LN(2)/25))/(LN(2)/25)*Calculateur!BL190*Calculateur!BN190*VLOOKUP('Données projet'!$B$11,Paramètres!$A$1:$I$89,3,0)*0.475*44/12</f>
        <v>3.3742608734494519</v>
      </c>
      <c r="BR190" s="21">
        <f>EXP(-LN(2)/2)*BR189+(1-EXP(-LN(2)/2))/(LN(2)/2)*BL190*BO190*VLOOKUP('Données projet'!$B$11,Paramètres!$A$1:$I$89,3,0)*0.475*44/12</f>
        <v>5.6262892340356194E-15</v>
      </c>
      <c r="BS190" s="22">
        <f t="shared" si="169"/>
        <v>26.009864504893926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69.404788984045069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69.404788984045069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69.404788984045069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69.404788984045069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69.404788984045069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69.404788984045069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69.404788984045069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3.14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11.513333333333334</v>
      </c>
      <c r="H191" s="67">
        <f t="shared" si="110"/>
        <v>210.61333333333332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69.41511456447941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1.064108801074326E-13</v>
      </c>
      <c r="P191" s="13">
        <f t="shared" si="141"/>
        <v>1.5870730813698654E-12</v>
      </c>
      <c r="Q191" s="20">
        <f t="shared" si="162"/>
        <v>2.9494845662396269E-12</v>
      </c>
      <c r="R191" s="59">
        <f t="shared" si="109"/>
        <v>291.18875340309415</v>
      </c>
      <c r="S191" s="59">
        <f ca="1">AVERAGE(OFFSET($R$3,0,0,'Données projet'!$E$9+1,1))-AVERAGE(OFFSET($H$3,0,0,'Données projet'!$E$9+1,1))</f>
        <v>302.99089313578685</v>
      </c>
      <c r="T191" s="59">
        <f t="shared" si="142"/>
        <v>335.51949678160906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7.6481494209309435</v>
      </c>
      <c r="AA191" s="21">
        <f>EXP(-LN(2)/25)*AA190+(1-EXP(-LN(2)/25))/(LN(2)/25)*Calculateur!V191*Calculateur!X191*VLOOKUP('Données projet'!$B$9,Paramètres!$A$1:$I$89,3,0)*0.475*44/12</f>
        <v>1.3174112523399062</v>
      </c>
      <c r="AB191" s="21">
        <f>EXP(-LN(2)/2)*AB190+(1-EXP(-LN(2)/2))/(LN(2)/2)*V191*Y191*VLOOKUP('Données projet'!$B$9,Paramètres!$A$1:$I$89,3,0)*0.475*44/12</f>
        <v>2.7564864724241798E-19</v>
      </c>
      <c r="AC191" s="22">
        <f t="shared" si="163"/>
        <v>8.9655606732708506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69.41511456447941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69.41511456447941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1.1368683772161603E-13</v>
      </c>
      <c r="BE191" s="13">
        <f>BD191*VLOOKUP('Données projet'!$B$11,Paramètres!$A$1:$I$89,3,0)*VLOOKUP('Données projet'!$B$11,Paramètres!$A$1:$I$89,5,0)</f>
        <v>4.5815795601811263E-14</v>
      </c>
      <c r="BF191" s="13">
        <f t="shared" si="167"/>
        <v>7.5374618042508364E-13</v>
      </c>
      <c r="BG191" s="20">
        <f t="shared" si="168"/>
        <v>1.392570441580175E-12</v>
      </c>
      <c r="BH191" s="59">
        <f t="shared" si="116"/>
        <v>291.18875340309256</v>
      </c>
      <c r="BI191" s="59">
        <f ca="1">AVERAGE(OFFSET($BH$3,0,0,'Données projet'!$E$11+1,1))-AVERAGE(OFFSET($H$3,0,0,'Données projet'!$E$11+1,1))</f>
        <v>377.91408971696819</v>
      </c>
      <c r="BJ191" s="59">
        <f t="shared" si="146"/>
        <v>321.68797596002366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22.191733250586793</v>
      </c>
      <c r="BQ191" s="21">
        <f>EXP(-LN(2)/25)*BQ190+(1-EXP(-LN(2)/25))/(LN(2)/25)*Calculateur!BL191*Calculateur!BN191*VLOOKUP('Données projet'!$B$11,Paramètres!$A$1:$I$89,3,0)*0.475*44/12</f>
        <v>3.2819915324203093</v>
      </c>
      <c r="BR191" s="21">
        <f>EXP(-LN(2)/2)*BR190+(1-EXP(-LN(2)/2))/(LN(2)/2)*BL191*BO191*VLOOKUP('Données projet'!$B$11,Paramètres!$A$1:$I$89,3,0)*0.475*44/12</f>
        <v>3.9783872703034527E-15</v>
      </c>
      <c r="BS191" s="22">
        <f t="shared" si="169"/>
        <v>25.473724783007107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69.41511456447941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69.41511456447941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69.41511456447941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69.41511456447941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69.41511456447941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69.41511456447941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69.41511456447941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3.14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11.513333333333334</v>
      </c>
      <c r="H192" s="67">
        <f t="shared" si="110"/>
        <v>210.61333333333332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69.425261019177753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1.064108801074326E-13</v>
      </c>
      <c r="P192" s="13">
        <f t="shared" si="141"/>
        <v>1.5870730813698654E-12</v>
      </c>
      <c r="Q192" s="20">
        <f t="shared" si="162"/>
        <v>2.9494845662396269E-12</v>
      </c>
      <c r="R192" s="59">
        <f t="shared" si="109"/>
        <v>291.22595707032139</v>
      </c>
      <c r="S192" s="59">
        <f ca="1">AVERAGE(OFFSET($R$3,0,0,'Données projet'!$E$9+1,1))-AVERAGE(OFFSET($H$3,0,0,'Données projet'!$E$9+1,1))</f>
        <v>302.99089313578685</v>
      </c>
      <c r="T192" s="59">
        <f t="shared" si="142"/>
        <v>335.51949678160906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7.4981738756970131</v>
      </c>
      <c r="AA192" s="21">
        <f>EXP(-LN(2)/25)*AA191+(1-EXP(-LN(2)/25))/(LN(2)/25)*Calculateur!V192*Calculateur!X192*VLOOKUP('Données projet'!$B$9,Paramètres!$A$1:$I$89,3,0)*0.475*44/12</f>
        <v>1.2813865723650246</v>
      </c>
      <c r="AB192" s="21">
        <f>EXP(-LN(2)/2)*AB191+(1-EXP(-LN(2)/2))/(LN(2)/2)*V192*Y192*VLOOKUP('Données projet'!$B$9,Paramètres!$A$1:$I$89,3,0)*0.475*44/12</f>
        <v>1.9491302769001228E-19</v>
      </c>
      <c r="AC192" s="22">
        <f t="shared" si="163"/>
        <v>8.7795604480620373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69.425261019177753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69.425261019177753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1.1368683772161603E-13</v>
      </c>
      <c r="BE192" s="13">
        <f>BD192*VLOOKUP('Données projet'!$B$11,Paramètres!$A$1:$I$89,3,0)*VLOOKUP('Données projet'!$B$11,Paramètres!$A$1:$I$89,5,0)</f>
        <v>4.5815795601811263E-14</v>
      </c>
      <c r="BF192" s="13">
        <f t="shared" si="167"/>
        <v>7.5374618042508364E-13</v>
      </c>
      <c r="BG192" s="20">
        <f t="shared" si="168"/>
        <v>1.392570441580175E-12</v>
      </c>
      <c r="BH192" s="59">
        <f t="shared" si="116"/>
        <v>291.22595707031979</v>
      </c>
      <c r="BI192" s="59">
        <f ca="1">AVERAGE(OFFSET($BH$3,0,0,'Données projet'!$E$11+1,1))-AVERAGE(OFFSET($H$3,0,0,'Données projet'!$E$11+1,1))</f>
        <v>377.91408971696819</v>
      </c>
      <c r="BJ192" s="59">
        <f t="shared" si="146"/>
        <v>321.68797596002366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21.756566897163538</v>
      </c>
      <c r="BQ192" s="21">
        <f>EXP(-LN(2)/25)*BQ191+(1-EXP(-LN(2)/25))/(LN(2)/25)*Calculateur!BL192*Calculateur!BN192*VLOOKUP('Données projet'!$B$11,Paramètres!$A$1:$I$89,3,0)*0.475*44/12</f>
        <v>3.1922453013738421</v>
      </c>
      <c r="BR192" s="21">
        <f>EXP(-LN(2)/2)*BR191+(1-EXP(-LN(2)/2))/(LN(2)/2)*BL192*BO192*VLOOKUP('Données projet'!$B$11,Paramètres!$A$1:$I$89,3,0)*0.475*44/12</f>
        <v>2.8131446170178097E-15</v>
      </c>
      <c r="BS192" s="22">
        <f t="shared" si="169"/>
        <v>24.948812198537382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69.425261019177753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69.425261019177753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69.425261019177753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69.425261019177753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69.425261019177753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69.425261019177753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69.425261019177753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3.14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11.513333333333334</v>
      </c>
      <c r="H193" s="67">
        <f t="shared" si="110"/>
        <v>210.61333333333332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69.435231455571142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1.064108801074326E-13</v>
      </c>
      <c r="P193" s="13">
        <f t="shared" si="141"/>
        <v>1.5870730813698654E-12</v>
      </c>
      <c r="Q193" s="20">
        <f t="shared" si="162"/>
        <v>2.9494845662396269E-12</v>
      </c>
      <c r="R193" s="59">
        <f t="shared" si="109"/>
        <v>291.26251533709711</v>
      </c>
      <c r="S193" s="59">
        <f ca="1">AVERAGE(OFFSET($R$3,0,0,'Données projet'!$E$9+1,1))-AVERAGE(OFFSET($H$3,0,0,'Données projet'!$E$9+1,1))</f>
        <v>302.99089313578685</v>
      </c>
      <c r="T193" s="59">
        <f t="shared" si="142"/>
        <v>335.51949678160906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7.3511392594290701</v>
      </c>
      <c r="AA193" s="21">
        <f>EXP(-LN(2)/25)*AA192+(1-EXP(-LN(2)/25))/(LN(2)/25)*Calculateur!V193*Calculateur!X193*VLOOKUP('Données projet'!$B$9,Paramètres!$A$1:$I$89,3,0)*0.475*44/12</f>
        <v>1.2463469891585119</v>
      </c>
      <c r="AB193" s="21">
        <f>EXP(-LN(2)/2)*AB192+(1-EXP(-LN(2)/2))/(LN(2)/2)*V193*Y193*VLOOKUP('Données projet'!$B$9,Paramètres!$A$1:$I$89,3,0)*0.475*44/12</f>
        <v>1.3782432362120899E-19</v>
      </c>
      <c r="AC193" s="22">
        <f t="shared" si="163"/>
        <v>8.5974862485875825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69.435231455571142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69.435231455571142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1.1368683772161603E-13</v>
      </c>
      <c r="BE193" s="13">
        <f>BD193*VLOOKUP('Données projet'!$B$11,Paramètres!$A$1:$I$89,3,0)*VLOOKUP('Données projet'!$B$11,Paramètres!$A$1:$I$89,5,0)</f>
        <v>4.5815795601811263E-14</v>
      </c>
      <c r="BF193" s="13">
        <f t="shared" si="167"/>
        <v>7.5374618042508364E-13</v>
      </c>
      <c r="BG193" s="20">
        <f t="shared" si="168"/>
        <v>1.392570441580175E-12</v>
      </c>
      <c r="BH193" s="59">
        <f t="shared" si="116"/>
        <v>291.26251533709552</v>
      </c>
      <c r="BI193" s="59">
        <f ca="1">AVERAGE(OFFSET($BH$3,0,0,'Données projet'!$E$11+1,1))-AVERAGE(OFFSET($H$3,0,0,'Données projet'!$E$11+1,1))</f>
        <v>377.91408971696819</v>
      </c>
      <c r="BJ193" s="59">
        <f t="shared" si="146"/>
        <v>321.68797596002366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21.329933890505647</v>
      </c>
      <c r="BQ193" s="21">
        <f>EXP(-LN(2)/25)*BQ192+(1-EXP(-LN(2)/25))/(LN(2)/25)*Calculateur!BL193*Calculateur!BN193*VLOOKUP('Données projet'!$B$11,Paramètres!$A$1:$I$89,3,0)*0.475*44/12</f>
        <v>3.1049531857348898</v>
      </c>
      <c r="BR193" s="21">
        <f>EXP(-LN(2)/2)*BR192+(1-EXP(-LN(2)/2))/(LN(2)/2)*BL193*BO193*VLOOKUP('Données projet'!$B$11,Paramètres!$A$1:$I$89,3,0)*0.475*44/12</f>
        <v>1.9891936351517264E-15</v>
      </c>
      <c r="BS193" s="22">
        <f t="shared" si="169"/>
        <v>24.434887076240539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69.435231455571142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69.435231455571142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69.435231455571142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69.435231455571142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69.435231455571142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69.435231455571142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69.435231455571142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3.14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11.513333333333334</v>
      </c>
      <c r="H194" s="67">
        <f t="shared" si="110"/>
        <v>210.61333333333332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69.445028927183671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1.064108801074326E-13</v>
      </c>
      <c r="P194" s="13">
        <f t="shared" si="141"/>
        <v>1.5870730813698654E-12</v>
      </c>
      <c r="Q194" s="20">
        <f t="shared" si="162"/>
        <v>2.9494845662396269E-12</v>
      </c>
      <c r="R194" s="59">
        <f t="shared" si="109"/>
        <v>291.2984393996764</v>
      </c>
      <c r="S194" s="59">
        <f ca="1">AVERAGE(OFFSET($R$3,0,0,'Données projet'!$E$9+1,1))-AVERAGE(OFFSET($H$3,0,0,'Données projet'!$E$9+1,1))</f>
        <v>302.99089313578685</v>
      </c>
      <c r="T194" s="59">
        <f t="shared" si="142"/>
        <v>335.51949678160906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7.2069879023038803</v>
      </c>
      <c r="AA194" s="21">
        <f>EXP(-LN(2)/25)*AA193+(1-EXP(-LN(2)/25))/(LN(2)/25)*Calculateur!V194*Calculateur!X194*VLOOKUP('Données projet'!$B$9,Paramètres!$A$1:$I$89,3,0)*0.475*44/12</f>
        <v>1.2122655651974328</v>
      </c>
      <c r="AB194" s="21">
        <f>EXP(-LN(2)/2)*AB193+(1-EXP(-LN(2)/2))/(LN(2)/2)*V194*Y194*VLOOKUP('Données projet'!$B$9,Paramètres!$A$1:$I$89,3,0)*0.475*44/12</f>
        <v>9.7456513845006139E-20</v>
      </c>
      <c r="AC194" s="22">
        <f t="shared" si="163"/>
        <v>8.4192534675013135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69.445028927183671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69.445028927183671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1.1368683772161603E-13</v>
      </c>
      <c r="BE194" s="13">
        <f>BD194*VLOOKUP('Données projet'!$B$11,Paramètres!$A$1:$I$89,3,0)*VLOOKUP('Données projet'!$B$11,Paramètres!$A$1:$I$89,5,0)</f>
        <v>4.5815795601811263E-14</v>
      </c>
      <c r="BF194" s="13">
        <f t="shared" si="167"/>
        <v>7.5374618042508364E-13</v>
      </c>
      <c r="BG194" s="20">
        <f t="shared" si="168"/>
        <v>1.392570441580175E-12</v>
      </c>
      <c r="BH194" s="59">
        <f t="shared" si="116"/>
        <v>291.29843939967481</v>
      </c>
      <c r="BI194" s="59">
        <f ca="1">AVERAGE(OFFSET($BH$3,0,0,'Données projet'!$E$11+1,1))-AVERAGE(OFFSET($H$3,0,0,'Données projet'!$E$11+1,1))</f>
        <v>377.91408971696819</v>
      </c>
      <c r="BJ194" s="59">
        <f t="shared" si="146"/>
        <v>321.68797596002366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20.911666896887876</v>
      </c>
      <c r="BQ194" s="21">
        <f>EXP(-LN(2)/25)*BQ193+(1-EXP(-LN(2)/25))/(LN(2)/25)*Calculateur!BL194*Calculateur!BN194*VLOOKUP('Données projet'!$B$11,Paramètres!$A$1:$I$89,3,0)*0.475*44/12</f>
        <v>3.0200480775885779</v>
      </c>
      <c r="BR194" s="21">
        <f>EXP(-LN(2)/2)*BR193+(1-EXP(-LN(2)/2))/(LN(2)/2)*BL194*BO194*VLOOKUP('Données projet'!$B$11,Paramètres!$A$1:$I$89,3,0)*0.475*44/12</f>
        <v>1.4065723085089049E-15</v>
      </c>
      <c r="BS194" s="22">
        <f t="shared" si="169"/>
        <v>23.931714974476453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69.445028927183671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69.445028927183671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69.445028927183671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69.445028927183671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69.445028927183671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69.445028927183671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69.445028927183671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3.14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11.513333333333334</v>
      </c>
      <c r="H195" s="67">
        <f t="shared" si="110"/>
        <v>210.61333333333332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69.45465643456761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1.064108801074326E-13</v>
      </c>
      <c r="P195" s="13">
        <f t="shared" si="141"/>
        <v>1.5870730813698654E-12</v>
      </c>
      <c r="Q195" s="20">
        <f t="shared" si="162"/>
        <v>2.9494845662396269E-12</v>
      </c>
      <c r="R195" s="59">
        <f t="shared" ref="R195:R203" si="191">Q195+(I195+J195)*44/12</f>
        <v>291.3337402600842</v>
      </c>
      <c r="S195" s="59">
        <f ca="1">AVERAGE(OFFSET($R$3,0,0,'Données projet'!$E$9+1,1))-AVERAGE(OFFSET($H$3,0,0,'Données projet'!$E$9+1,1))</f>
        <v>302.99089313578685</v>
      </c>
      <c r="T195" s="59">
        <f t="shared" si="142"/>
        <v>335.51949678160906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7.0656632653682694</v>
      </c>
      <c r="AA195" s="21">
        <f>EXP(-LN(2)/25)*AA194+(1-EXP(-LN(2)/25))/(LN(2)/25)*Calculateur!V195*Calculateur!X195*VLOOKUP('Données projet'!$B$9,Paramètres!$A$1:$I$89,3,0)*0.475*44/12</f>
        <v>1.1791160995668335</v>
      </c>
      <c r="AB195" s="21">
        <f>EXP(-LN(2)/2)*AB194+(1-EXP(-LN(2)/2))/(LN(2)/2)*V195*Y195*VLOOKUP('Données projet'!$B$9,Paramètres!$A$1:$I$89,3,0)*0.475*44/12</f>
        <v>6.8912161810604495E-20</v>
      </c>
      <c r="AC195" s="22">
        <f t="shared" si="163"/>
        <v>8.244779364935102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69.45465643456761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69.45465643456761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1.1368683772161603E-13</v>
      </c>
      <c r="BE195" s="13">
        <f>BD195*VLOOKUP('Données projet'!$B$11,Paramètres!$A$1:$I$89,3,0)*VLOOKUP('Données projet'!$B$11,Paramètres!$A$1:$I$89,5,0)</f>
        <v>4.5815795601811263E-14</v>
      </c>
      <c r="BF195" s="13">
        <f t="shared" si="167"/>
        <v>7.5374618042508364E-13</v>
      </c>
      <c r="BG195" s="20">
        <f t="shared" si="168"/>
        <v>1.392570441580175E-12</v>
      </c>
      <c r="BH195" s="59">
        <f t="shared" si="116"/>
        <v>291.33374026008261</v>
      </c>
      <c r="BI195" s="59">
        <f ca="1">AVERAGE(OFFSET($BH$3,0,0,'Données projet'!$E$11+1,1))-AVERAGE(OFFSET($H$3,0,0,'Données projet'!$E$11+1,1))</f>
        <v>377.91408971696819</v>
      </c>
      <c r="BJ195" s="59">
        <f t="shared" si="146"/>
        <v>321.68797596002366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20.501601863897275</v>
      </c>
      <c r="BQ195" s="21">
        <f>EXP(-LN(2)/25)*BQ194+(1-EXP(-LN(2)/25))/(LN(2)/25)*Calculateur!BL195*Calculateur!BN195*VLOOKUP('Données projet'!$B$11,Paramètres!$A$1:$I$89,3,0)*0.475*44/12</f>
        <v>2.9374647040894923</v>
      </c>
      <c r="BR195" s="21">
        <f>EXP(-LN(2)/2)*BR194+(1-EXP(-LN(2)/2))/(LN(2)/2)*BL195*BO195*VLOOKUP('Données projet'!$B$11,Paramètres!$A$1:$I$89,3,0)*0.475*44/12</f>
        <v>9.9459681757586319E-16</v>
      </c>
      <c r="BS195" s="22">
        <f t="shared" si="169"/>
        <v>23.439066567986767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69.45465643456761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69.45465643456761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69.45465643456761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69.45465643456761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69.45465643456761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69.45465643456761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69.45465643456761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3.14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11.513333333333334</v>
      </c>
      <c r="H196" s="67">
        <f t="shared" ref="H196:H203" si="192">(B196+E196+F196)*44/12+(C196+D196)*0.475*44/12</f>
        <v>210.61333333333332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69.464116926222289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1.064108801074326E-13</v>
      </c>
      <c r="P196" s="13">
        <f t="shared" si="141"/>
        <v>1.5870730813698654E-12</v>
      </c>
      <c r="Q196" s="20">
        <f t="shared" si="162"/>
        <v>2.9494845662396269E-12</v>
      </c>
      <c r="R196" s="59">
        <f t="shared" si="191"/>
        <v>291.36842872948472</v>
      </c>
      <c r="S196" s="59">
        <f ca="1">AVERAGE(OFFSET($R$3,0,0,'Données projet'!$E$9+1,1))-AVERAGE(OFFSET($H$3,0,0,'Données projet'!$E$9+1,1))</f>
        <v>302.99089313578685</v>
      </c>
      <c r="T196" s="59">
        <f t="shared" si="142"/>
        <v>335.51949678160906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6.927109918363449</v>
      </c>
      <c r="AA196" s="21">
        <f>EXP(-LN(2)/25)*AA195+(1-EXP(-LN(2)/25))/(LN(2)/25)*Calculateur!V196*Calculateur!X196*VLOOKUP('Données projet'!$B$9,Paramètres!$A$1:$I$89,3,0)*0.475*44/12</f>
        <v>1.1468731078171577</v>
      </c>
      <c r="AB196" s="21">
        <f>EXP(-LN(2)/2)*AB195+(1-EXP(-LN(2)/2))/(LN(2)/2)*V196*Y196*VLOOKUP('Données projet'!$B$9,Paramètres!$A$1:$I$89,3,0)*0.475*44/12</f>
        <v>4.872825692250307E-20</v>
      </c>
      <c r="AC196" s="22">
        <f t="shared" si="163"/>
        <v>8.0739830261806063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69.464116926222289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69.464116926222289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1.1368683772161603E-13</v>
      </c>
      <c r="BE196" s="13">
        <f>BD196*VLOOKUP('Données projet'!$B$11,Paramètres!$A$1:$I$89,3,0)*VLOOKUP('Données projet'!$B$11,Paramètres!$A$1:$I$89,5,0)</f>
        <v>4.5815795601811263E-14</v>
      </c>
      <c r="BF196" s="13">
        <f t="shared" si="167"/>
        <v>7.5374618042508364E-13</v>
      </c>
      <c r="BG196" s="20">
        <f t="shared" si="168"/>
        <v>1.392570441580175E-12</v>
      </c>
      <c r="BH196" s="59">
        <f t="shared" ref="BH196:BH203" si="194">BG196+(AY196+AZ196)*44/12</f>
        <v>291.36842872948313</v>
      </c>
      <c r="BI196" s="59">
        <f ca="1">AVERAGE(OFFSET($BH$3,0,0,'Données projet'!$E$11+1,1))-AVERAGE(OFFSET($H$3,0,0,'Données projet'!$E$11+1,1))</f>
        <v>377.91408971696819</v>
      </c>
      <c r="BJ196" s="59">
        <f t="shared" si="146"/>
        <v>321.68797596002366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20.099577956088645</v>
      </c>
      <c r="BQ196" s="21">
        <f>EXP(-LN(2)/25)*BQ195+(1-EXP(-LN(2)/25))/(LN(2)/25)*Calculateur!BL196*Calculateur!BN196*VLOOKUP('Données projet'!$B$11,Paramètres!$A$1:$I$89,3,0)*0.475*44/12</f>
        <v>2.8571395772816102</v>
      </c>
      <c r="BR196" s="21">
        <f>EXP(-LN(2)/2)*BR195+(1-EXP(-LN(2)/2))/(LN(2)/2)*BL196*BO196*VLOOKUP('Données projet'!$B$11,Paramètres!$A$1:$I$89,3,0)*0.475*44/12</f>
        <v>7.0328615425445243E-16</v>
      </c>
      <c r="BS196" s="22">
        <f t="shared" si="169"/>
        <v>22.956717533370256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69.464116926222289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69.464116926222289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69.464116926222289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69.464116926222289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69.464116926222289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69.464116926222289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69.464116926222289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3.14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11.513333333333334</v>
      </c>
      <c r="H197" s="67">
        <f t="shared" si="192"/>
        <v>210.61333333333332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69.473413299497267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1.064108801074326E-13</v>
      </c>
      <c r="P197" s="13">
        <f t="shared" ref="P197:P203" si="203">EXP(-1.0587+0.8836*LN(O197)+0.284)</f>
        <v>1.5870730813698654E-12</v>
      </c>
      <c r="Q197" s="20">
        <f t="shared" si="162"/>
        <v>2.9494845662396269E-12</v>
      </c>
      <c r="R197" s="59">
        <f t="shared" si="191"/>
        <v>291.40251543149293</v>
      </c>
      <c r="S197" s="59">
        <f ca="1">AVERAGE(OFFSET($R$3,0,0,'Données projet'!$E$9+1,1))-AVERAGE(OFFSET($H$3,0,0,'Données projet'!$E$9+1,1))</f>
        <v>302.99089313578685</v>
      </c>
      <c r="T197" s="59">
        <f t="shared" ref="T197:T203" si="204">$T$3</f>
        <v>335.51949678160906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6.7912735179841963</v>
      </c>
      <c r="AA197" s="21">
        <f>EXP(-LN(2)/25)*AA196+(1-EXP(-LN(2)/25))/(LN(2)/25)*Calculateur!V197*Calculateur!X197*VLOOKUP('Données projet'!$B$9,Paramètres!$A$1:$I$89,3,0)*0.475*44/12</f>
        <v>1.1155118023724619</v>
      </c>
      <c r="AB197" s="21">
        <f>EXP(-LN(2)/2)*AB196+(1-EXP(-LN(2)/2))/(LN(2)/2)*V197*Y197*VLOOKUP('Données projet'!$B$9,Paramètres!$A$1:$I$89,3,0)*0.475*44/12</f>
        <v>3.4456080905302247E-20</v>
      </c>
      <c r="AC197" s="22">
        <f t="shared" si="163"/>
        <v>7.9067853203566578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69.473413299497267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69.473413299497267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1.1368683772161603E-13</v>
      </c>
      <c r="BE197" s="13">
        <f>BD197*VLOOKUP('Données projet'!$B$11,Paramètres!$A$1:$I$89,3,0)*VLOOKUP('Données projet'!$B$11,Paramètres!$A$1:$I$89,5,0)</f>
        <v>4.5815795601811263E-14</v>
      </c>
      <c r="BF197" s="13">
        <f t="shared" si="167"/>
        <v>7.5374618042508364E-13</v>
      </c>
      <c r="BG197" s="20">
        <f t="shared" si="168"/>
        <v>1.392570441580175E-12</v>
      </c>
      <c r="BH197" s="59">
        <f t="shared" si="194"/>
        <v>291.40251543149134</v>
      </c>
      <c r="BI197" s="59">
        <f ca="1">AVERAGE(OFFSET($BH$3,0,0,'Données projet'!$E$11+1,1))-AVERAGE(OFFSET($H$3,0,0,'Données projet'!$E$11+1,1))</f>
        <v>377.91408971696819</v>
      </c>
      <c r="BJ197" s="59">
        <f t="shared" ref="BJ197:BJ203" si="206">$BJ$3</f>
        <v>321.68797596002366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19.705437491901773</v>
      </c>
      <c r="BQ197" s="21">
        <f>EXP(-LN(2)/25)*BQ196+(1-EXP(-LN(2)/25))/(LN(2)/25)*Calculateur!BL197*Calculateur!BN197*VLOOKUP('Données projet'!$B$11,Paramètres!$A$1:$I$89,3,0)*0.475*44/12</f>
        <v>2.7790109452904042</v>
      </c>
      <c r="BR197" s="21">
        <f>EXP(-LN(2)/2)*BR196+(1-EXP(-LN(2)/2))/(LN(2)/2)*BL197*BO197*VLOOKUP('Données projet'!$B$11,Paramètres!$A$1:$I$89,3,0)*0.475*44/12</f>
        <v>4.9729840878793159E-16</v>
      </c>
      <c r="BS197" s="22">
        <f t="shared" si="169"/>
        <v>22.484448437192178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69.473413299497267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69.473413299497267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69.473413299497267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69.473413299497267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69.473413299497267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69.473413299497267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69.473413299497267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3.14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11.513333333333334</v>
      </c>
      <c r="H198" s="67">
        <f t="shared" si="192"/>
        <v>210.61333333333332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69.482548401479505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1.064108801074326E-13</v>
      </c>
      <c r="P198" s="13">
        <f t="shared" si="203"/>
        <v>1.5870730813698654E-12</v>
      </c>
      <c r="Q198" s="20">
        <f t="shared" si="162"/>
        <v>2.9494845662396269E-12</v>
      </c>
      <c r="R198" s="59">
        <f t="shared" si="191"/>
        <v>291.43601080542777</v>
      </c>
      <c r="S198" s="59">
        <f ca="1">AVERAGE(OFFSET($R$3,0,0,'Données projet'!$E$9+1,1))-AVERAGE(OFFSET($H$3,0,0,'Données projet'!$E$9+1,1))</f>
        <v>302.99089313578685</v>
      </c>
      <c r="T198" s="59">
        <f t="shared" si="204"/>
        <v>335.51949678160906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6.6581007865643569</v>
      </c>
      <c r="AA198" s="21">
        <f>EXP(-LN(2)/25)*AA197+(1-EXP(-LN(2)/25))/(LN(2)/25)*Calculateur!V198*Calculateur!X198*VLOOKUP('Données projet'!$B$9,Paramètres!$A$1:$I$89,3,0)*0.475*44/12</f>
        <v>1.0850080734743708</v>
      </c>
      <c r="AB198" s="21">
        <f>EXP(-LN(2)/2)*AB197+(1-EXP(-LN(2)/2))/(LN(2)/2)*V198*Y198*VLOOKUP('Données projet'!$B$9,Paramètres!$A$1:$I$89,3,0)*0.475*44/12</f>
        <v>2.4364128461251535E-20</v>
      </c>
      <c r="AC198" s="22">
        <f t="shared" si="163"/>
        <v>7.7431088600387277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69.482548401479505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69.482548401479505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1.1368683772161603E-13</v>
      </c>
      <c r="BE198" s="13">
        <f>BD198*VLOOKUP('Données projet'!$B$11,Paramètres!$A$1:$I$89,3,0)*VLOOKUP('Données projet'!$B$11,Paramètres!$A$1:$I$89,5,0)</f>
        <v>4.5815795601811263E-14</v>
      </c>
      <c r="BF198" s="13">
        <f t="shared" si="167"/>
        <v>7.5374618042508364E-13</v>
      </c>
      <c r="BG198" s="20">
        <f t="shared" si="168"/>
        <v>1.392570441580175E-12</v>
      </c>
      <c r="BH198" s="59">
        <f t="shared" si="194"/>
        <v>291.43601080542618</v>
      </c>
      <c r="BI198" s="59">
        <f ca="1">AVERAGE(OFFSET($BH$3,0,0,'Données projet'!$E$11+1,1))-AVERAGE(OFFSET($H$3,0,0,'Données projet'!$E$11+1,1))</f>
        <v>377.91408971696819</v>
      </c>
      <c r="BJ198" s="59">
        <f t="shared" si="206"/>
        <v>321.68797596002366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19.319025881815659</v>
      </c>
      <c r="BQ198" s="21">
        <f>EXP(-LN(2)/25)*BQ197+(1-EXP(-LN(2)/25))/(LN(2)/25)*Calculateur!BL198*Calculateur!BN198*VLOOKUP('Données projet'!$B$11,Paramètres!$A$1:$I$89,3,0)*0.475*44/12</f>
        <v>2.7030187448496039</v>
      </c>
      <c r="BR198" s="21">
        <f>EXP(-LN(2)/2)*BR197+(1-EXP(-LN(2)/2))/(LN(2)/2)*BL198*BO198*VLOOKUP('Données projet'!$B$11,Paramètres!$A$1:$I$89,3,0)*0.475*44/12</f>
        <v>3.5164307712722621E-16</v>
      </c>
      <c r="BS198" s="22">
        <f t="shared" si="169"/>
        <v>22.022044626665263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69.482548401479505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69.482548401479505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69.482548401479505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69.482548401479505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69.482548401479505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69.482548401479505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69.482548401479505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3.14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11.513333333333334</v>
      </c>
      <c r="H199" s="67">
        <f t="shared" si="192"/>
        <v>210.61333333333332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69.491525029865358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1.064108801074326E-13</v>
      </c>
      <c r="P199" s="13">
        <f t="shared" si="203"/>
        <v>1.5870730813698654E-12</v>
      </c>
      <c r="Q199" s="20">
        <f t="shared" si="162"/>
        <v>2.9494845662396269E-12</v>
      </c>
      <c r="R199" s="59">
        <f t="shared" si="191"/>
        <v>291.46892510950926</v>
      </c>
      <c r="S199" s="59">
        <f ca="1">AVERAGE(OFFSET($R$3,0,0,'Données projet'!$E$9+1,1))-AVERAGE(OFFSET($H$3,0,0,'Données projet'!$E$9+1,1))</f>
        <v>302.99089313578685</v>
      </c>
      <c r="T199" s="59">
        <f t="shared" si="204"/>
        <v>335.51949678160906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6.5275394911803151</v>
      </c>
      <c r="AA199" s="21">
        <f>EXP(-LN(2)/25)*AA198+(1-EXP(-LN(2)/25))/(LN(2)/25)*Calculateur!V199*Calculateur!X199*VLOOKUP('Données projet'!$B$9,Paramètres!$A$1:$I$89,3,0)*0.475*44/12</f>
        <v>1.0553384706471194</v>
      </c>
      <c r="AB199" s="21">
        <f>EXP(-LN(2)/2)*AB198+(1-EXP(-LN(2)/2))/(LN(2)/2)*V199*Y199*VLOOKUP('Données projet'!$B$9,Paramètres!$A$1:$I$89,3,0)*0.475*44/12</f>
        <v>1.7228040452651124E-20</v>
      </c>
      <c r="AC199" s="22">
        <f t="shared" si="163"/>
        <v>7.5828779618274345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69.491525029865358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69.491525029865358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1.1368683772161603E-13</v>
      </c>
      <c r="BE199" s="13">
        <f>BD199*VLOOKUP('Données projet'!$B$11,Paramètres!$A$1:$I$89,3,0)*VLOOKUP('Données projet'!$B$11,Paramètres!$A$1:$I$89,5,0)</f>
        <v>4.5815795601811263E-14</v>
      </c>
      <c r="BF199" s="13">
        <f t="shared" si="167"/>
        <v>7.5374618042508364E-13</v>
      </c>
      <c r="BG199" s="20">
        <f t="shared" si="168"/>
        <v>1.392570441580175E-12</v>
      </c>
      <c r="BH199" s="59">
        <f t="shared" si="194"/>
        <v>291.46892510950767</v>
      </c>
      <c r="BI199" s="59">
        <f ca="1">AVERAGE(OFFSET($BH$3,0,0,'Données projet'!$E$11+1,1))-AVERAGE(OFFSET($H$3,0,0,'Données projet'!$E$11+1,1))</f>
        <v>377.91408971696819</v>
      </c>
      <c r="BJ199" s="59">
        <f t="shared" si="206"/>
        <v>321.68797596002366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18.940191567715523</v>
      </c>
      <c r="BQ199" s="21">
        <f>EXP(-LN(2)/25)*BQ198+(1-EXP(-LN(2)/25))/(LN(2)/25)*Calculateur!BL199*Calculateur!BN199*VLOOKUP('Données projet'!$B$11,Paramètres!$A$1:$I$89,3,0)*0.475*44/12</f>
        <v>2.6291045551261134</v>
      </c>
      <c r="BR199" s="21">
        <f>EXP(-LN(2)/2)*BR198+(1-EXP(-LN(2)/2))/(LN(2)/2)*BL199*BO199*VLOOKUP('Données projet'!$B$11,Paramètres!$A$1:$I$89,3,0)*0.475*44/12</f>
        <v>2.486492043939658E-16</v>
      </c>
      <c r="BS199" s="22">
        <f t="shared" si="169"/>
        <v>21.569296122841635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69.491525029865358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69.491525029865358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69.491525029865358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69.491525029865358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69.491525029865358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69.491525029865358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69.491525029865358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3.14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11.513333333333334</v>
      </c>
      <c r="H200" s="67">
        <f t="shared" si="192"/>
        <v>210.61333333333332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69.500345933817457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1.064108801074326E-13</v>
      </c>
      <c r="P200" s="13">
        <f t="shared" si="203"/>
        <v>1.5870730813698654E-12</v>
      </c>
      <c r="Q200" s="20">
        <f t="shared" si="162"/>
        <v>2.9494845662396269E-12</v>
      </c>
      <c r="R200" s="59">
        <f t="shared" si="191"/>
        <v>291.50126842400033</v>
      </c>
      <c r="S200" s="59">
        <f ca="1">AVERAGE(OFFSET($R$3,0,0,'Données projet'!$E$9+1,1))-AVERAGE(OFFSET($H$3,0,0,'Données projet'!$E$9+1,1))</f>
        <v>302.99089313578685</v>
      </c>
      <c r="T200" s="59">
        <f t="shared" si="204"/>
        <v>335.51949678160906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6.3995384231642278</v>
      </c>
      <c r="AA200" s="21">
        <f>EXP(-LN(2)/25)*AA199+(1-EXP(-LN(2)/25))/(LN(2)/25)*Calculateur!V200*Calculateur!X200*VLOOKUP('Données projet'!$B$9,Paramètres!$A$1:$I$89,3,0)*0.475*44/12</f>
        <v>1.0264801846694358</v>
      </c>
      <c r="AB200" s="21">
        <f>EXP(-LN(2)/2)*AB199+(1-EXP(-LN(2)/2))/(LN(2)/2)*V200*Y200*VLOOKUP('Données projet'!$B$9,Paramètres!$A$1:$I$89,3,0)*0.475*44/12</f>
        <v>1.2182064230625767E-20</v>
      </c>
      <c r="AC200" s="22">
        <f t="shared" si="163"/>
        <v>7.4260186078336634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69.500345933817457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69.500345933817457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1.1368683772161603E-13</v>
      </c>
      <c r="BE200" s="13">
        <f>BD200*VLOOKUP('Données projet'!$B$11,Paramètres!$A$1:$I$89,3,0)*VLOOKUP('Données projet'!$B$11,Paramètres!$A$1:$I$89,5,0)</f>
        <v>4.5815795601811263E-14</v>
      </c>
      <c r="BF200" s="13">
        <f t="shared" si="167"/>
        <v>7.5374618042508364E-13</v>
      </c>
      <c r="BG200" s="20">
        <f t="shared" si="168"/>
        <v>1.392570441580175E-12</v>
      </c>
      <c r="BH200" s="59">
        <f t="shared" si="194"/>
        <v>291.50126842399874</v>
      </c>
      <c r="BI200" s="59">
        <f ca="1">AVERAGE(OFFSET($BH$3,0,0,'Données projet'!$E$11+1,1))-AVERAGE(OFFSET($H$3,0,0,'Données projet'!$E$11+1,1))</f>
        <v>377.91408971696819</v>
      </c>
      <c r="BJ200" s="59">
        <f t="shared" si="206"/>
        <v>321.68797596002366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18.568785963448775</v>
      </c>
      <c r="BQ200" s="21">
        <f>EXP(-LN(2)/25)*BQ199+(1-EXP(-LN(2)/25))/(LN(2)/25)*Calculateur!BL200*Calculateur!BN200*VLOOKUP('Données projet'!$B$11,Paramètres!$A$1:$I$89,3,0)*0.475*44/12</f>
        <v>2.55721155280759</v>
      </c>
      <c r="BR200" s="21">
        <f>EXP(-LN(2)/2)*BR199+(1-EXP(-LN(2)/2))/(LN(2)/2)*BL200*BO200*VLOOKUP('Données projet'!$B$11,Paramètres!$A$1:$I$89,3,0)*0.475*44/12</f>
        <v>1.7582153856361311E-16</v>
      </c>
      <c r="BS200" s="22">
        <f t="shared" si="169"/>
        <v>21.125997516256366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69.500345933817457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69.500345933817457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69.500345933817457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69.500345933817457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69.500345933817457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69.500345933817457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69.500345933817457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3.14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11.513333333333334</v>
      </c>
      <c r="H201" s="67">
        <f t="shared" si="192"/>
        <v>210.61333333333332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69.509013814806593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1.064108801074326E-13</v>
      </c>
      <c r="P201" s="13">
        <f t="shared" si="203"/>
        <v>1.5870730813698654E-12</v>
      </c>
      <c r="Q201" s="20">
        <f t="shared" si="162"/>
        <v>2.9494845662396269E-12</v>
      </c>
      <c r="R201" s="59">
        <f t="shared" si="191"/>
        <v>291.53305065429379</v>
      </c>
      <c r="S201" s="59">
        <f ca="1">AVERAGE(OFFSET($R$3,0,0,'Données projet'!$E$9+1,1))-AVERAGE(OFFSET($H$3,0,0,'Données projet'!$E$9+1,1))</f>
        <v>302.99089313578685</v>
      </c>
      <c r="T201" s="59">
        <f t="shared" si="204"/>
        <v>335.51949678160906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6.2740473780189934</v>
      </c>
      <c r="AA201" s="21">
        <f>EXP(-LN(2)/25)*AA200+(1-EXP(-LN(2)/25))/(LN(2)/25)*Calculateur!V201*Calculateur!X201*VLOOKUP('Données projet'!$B$9,Paramètres!$A$1:$I$89,3,0)*0.475*44/12</f>
        <v>0.99841103003940324</v>
      </c>
      <c r="AB201" s="21">
        <f>EXP(-LN(2)/2)*AB200+(1-EXP(-LN(2)/2))/(LN(2)/2)*V201*Y201*VLOOKUP('Données projet'!$B$9,Paramètres!$A$1:$I$89,3,0)*0.475*44/12</f>
        <v>8.6140202263255618E-21</v>
      </c>
      <c r="AC201" s="22">
        <f t="shared" si="163"/>
        <v>7.2724584080583963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69.509013814806593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69.509013814806593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1.1368683772161603E-13</v>
      </c>
      <c r="BE201" s="13">
        <f>BD201*VLOOKUP('Données projet'!$B$11,Paramètres!$A$1:$I$89,3,0)*VLOOKUP('Données projet'!$B$11,Paramètres!$A$1:$I$89,5,0)</f>
        <v>4.5815795601811263E-14</v>
      </c>
      <c r="BF201" s="13">
        <f t="shared" si="167"/>
        <v>7.5374618042508364E-13</v>
      </c>
      <c r="BG201" s="20">
        <f t="shared" si="168"/>
        <v>1.392570441580175E-12</v>
      </c>
      <c r="BH201" s="59">
        <f t="shared" si="194"/>
        <v>291.5330506542922</v>
      </c>
      <c r="BI201" s="59">
        <f ca="1">AVERAGE(OFFSET($BH$3,0,0,'Données projet'!$E$11+1,1))-AVERAGE(OFFSET($H$3,0,0,'Données projet'!$E$11+1,1))</f>
        <v>377.91408971696819</v>
      </c>
      <c r="BJ201" s="59">
        <f t="shared" si="206"/>
        <v>321.68797596002366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18.20466339654665</v>
      </c>
      <c r="BQ201" s="21">
        <f>EXP(-LN(2)/25)*BQ200+(1-EXP(-LN(2)/25))/(LN(2)/25)*Calculateur!BL201*Calculateur!BN201*VLOOKUP('Données projet'!$B$11,Paramètres!$A$1:$I$89,3,0)*0.475*44/12</f>
        <v>2.4872844684181556</v>
      </c>
      <c r="BR201" s="21">
        <f>EXP(-LN(2)/2)*BR200+(1-EXP(-LN(2)/2))/(LN(2)/2)*BL201*BO201*VLOOKUP('Données projet'!$B$11,Paramètres!$A$1:$I$89,3,0)*0.475*44/12</f>
        <v>1.243246021969829E-16</v>
      </c>
      <c r="BS201" s="22">
        <f t="shared" si="169"/>
        <v>20.691947864964806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69.509013814806593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69.509013814806593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69.509013814806593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69.509013814806593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69.509013814806593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69.509013814806593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69.509013814806593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3.14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11.513333333333334</v>
      </c>
      <c r="H202" s="67">
        <f t="shared" si="192"/>
        <v>210.61333333333332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69.517531327439031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1.064108801074326E-13</v>
      </c>
      <c r="P202" s="13">
        <f t="shared" si="203"/>
        <v>1.5870730813698654E-12</v>
      </c>
      <c r="Q202" s="20">
        <f t="shared" si="162"/>
        <v>2.9494845662396269E-12</v>
      </c>
      <c r="R202" s="59">
        <f t="shared" si="191"/>
        <v>291.56428153394609</v>
      </c>
      <c r="S202" s="59">
        <f ca="1">AVERAGE(OFFSET($R$3,0,0,'Données projet'!$E$9+1,1))-AVERAGE(OFFSET($H$3,0,0,'Données projet'!$E$9+1,1))</f>
        <v>302.99089313578685</v>
      </c>
      <c r="T202" s="59">
        <f t="shared" si="204"/>
        <v>335.51949678160906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6.1510171357270771</v>
      </c>
      <c r="AA202" s="21">
        <f>EXP(-LN(2)/25)*AA201+(1-EXP(-LN(2)/25))/(LN(2)/25)*Calculateur!V202*Calculateur!X202*VLOOKUP('Données projet'!$B$9,Paramètres!$A$1:$I$89,3,0)*0.475*44/12</f>
        <v>0.9711094279188216</v>
      </c>
      <c r="AB202" s="21">
        <f>EXP(-LN(2)/2)*AB201+(1-EXP(-LN(2)/2))/(LN(2)/2)*V202*Y202*VLOOKUP('Données projet'!$B$9,Paramètres!$A$1:$I$89,3,0)*0.475*44/12</f>
        <v>6.0910321153128837E-21</v>
      </c>
      <c r="AC202" s="22">
        <f t="shared" si="163"/>
        <v>7.1221265636458986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69.517531327439031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69.517531327439031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1.1368683772161603E-13</v>
      </c>
      <c r="BE202" s="13">
        <f>BD202*VLOOKUP('Données projet'!$B$11,Paramètres!$A$1:$I$89,3,0)*VLOOKUP('Données projet'!$B$11,Paramètres!$A$1:$I$89,5,0)</f>
        <v>4.5815795601811263E-14</v>
      </c>
      <c r="BF202" s="13">
        <f t="shared" si="167"/>
        <v>7.5374618042508364E-13</v>
      </c>
      <c r="BG202" s="20">
        <f t="shared" si="168"/>
        <v>1.392570441580175E-12</v>
      </c>
      <c r="BH202" s="59">
        <f t="shared" si="194"/>
        <v>291.5642815339445</v>
      </c>
      <c r="BI202" s="59">
        <f ca="1">AVERAGE(OFFSET($BH$3,0,0,'Données projet'!$E$11+1,1))-AVERAGE(OFFSET($H$3,0,0,'Données projet'!$E$11+1,1))</f>
        <v>377.91408971696819</v>
      </c>
      <c r="BJ202" s="59">
        <f t="shared" si="206"/>
        <v>321.68797596002366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17.847681051088639</v>
      </c>
      <c r="BQ202" s="21">
        <f>EXP(-LN(2)/25)*BQ201+(1-EXP(-LN(2)/25))/(LN(2)/25)*Calculateur!BL202*Calculateur!BN202*VLOOKUP('Données projet'!$B$11,Paramètres!$A$1:$I$89,3,0)*0.475*44/12</f>
        <v>2.4192695438286558</v>
      </c>
      <c r="BR202" s="21">
        <f>EXP(-LN(2)/2)*BR201+(1-EXP(-LN(2)/2))/(LN(2)/2)*BL202*BO202*VLOOKUP('Données projet'!$B$11,Paramètres!$A$1:$I$89,3,0)*0.475*44/12</f>
        <v>8.7910769281806553E-17</v>
      </c>
      <c r="BS202" s="22">
        <f t="shared" si="169"/>
        <v>20.266950594917294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69.517531327439031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69.517531327439031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69.517531327439031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69.517531327439031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69.517531327439031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69.517531327439031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69.517531327439031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3.14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54.3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11.513333333333334</v>
      </c>
      <c r="H203" s="67">
        <f t="shared" si="192"/>
        <v>210.61333333333332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69.525901080269591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1.064108801074326E-13</v>
      </c>
      <c r="P203" s="13">
        <f t="shared" si="203"/>
        <v>1.5870730813698654E-12</v>
      </c>
      <c r="Q203" s="20">
        <f t="shared" si="162"/>
        <v>2.9494845662396269E-12</v>
      </c>
      <c r="R203" s="59">
        <f t="shared" si="191"/>
        <v>291.59497062765814</v>
      </c>
      <c r="S203" s="59">
        <f ca="1">AVERAGE(OFFSET($R$3,0,0,'Données projet'!$E$9+1,1))-AVERAGE(OFFSET($H$3,0,0,'Données projet'!$E$9+1,1))</f>
        <v>302.99089313578685</v>
      </c>
      <c r="T203" s="59">
        <f t="shared" si="204"/>
        <v>335.51949678160906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6.0303994414454678</v>
      </c>
      <c r="AA203" s="21">
        <f>EXP(-LN(2)/25)*AA202+(1-EXP(-LN(2)/25))/(LN(2)/25)*Calculateur!V203*Calculateur!X203*VLOOKUP('Données projet'!$B$9,Paramètres!$A$1:$I$89,3,0)*0.475*44/12</f>
        <v>0.9445543895439561</v>
      </c>
      <c r="AB203" s="21">
        <f>EXP(-LN(2)/2)*AB202+(1-EXP(-LN(2)/2))/(LN(2)/2)*V203*Y203*VLOOKUP('Données projet'!$B$9,Paramètres!$A$1:$I$89,3,0)*0.475*44/12</f>
        <v>4.3070101131627809E-21</v>
      </c>
      <c r="AC203" s="22">
        <f t="shared" si="163"/>
        <v>6.9749538309894241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69.525901080269591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69.525901080269591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1.1368683772161603E-13</v>
      </c>
      <c r="BE203" s="13">
        <f>BD203*VLOOKUP('Données projet'!$B$11,Paramètres!$A$1:$I$89,3,0)*VLOOKUP('Données projet'!$B$11,Paramètres!$A$1:$I$89,5,0)</f>
        <v>4.5815795601811263E-14</v>
      </c>
      <c r="BF203" s="13">
        <f t="shared" si="167"/>
        <v>7.5374618042508364E-13</v>
      </c>
      <c r="BG203" s="20">
        <f t="shared" si="168"/>
        <v>1.392570441580175E-12</v>
      </c>
      <c r="BH203" s="59">
        <f t="shared" si="194"/>
        <v>291.59497062765655</v>
      </c>
      <c r="BI203" s="59">
        <f ca="1">AVERAGE(OFFSET($BH$3,0,0,'Données projet'!$E$11+1,1))-AVERAGE(OFFSET($H$3,0,0,'Données projet'!$E$11+1,1))</f>
        <v>377.91408971696819</v>
      </c>
      <c r="BJ203" s="59">
        <f t="shared" si="206"/>
        <v>321.68797596002366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17.497698911687326</v>
      </c>
      <c r="BQ203" s="21">
        <f>EXP(-LN(2)/25)*BQ202+(1-EXP(-LN(2)/25))/(LN(2)/25)*Calculateur!BL203*Calculateur!BN203*VLOOKUP('Données projet'!$B$11,Paramètres!$A$1:$I$89,3,0)*0.475*44/12</f>
        <v>2.3531144909288053</v>
      </c>
      <c r="BR203" s="21">
        <f>EXP(-LN(2)/2)*BR202+(1-EXP(-LN(2)/2))/(LN(2)/2)*BL203*BO203*VLOOKUP('Données projet'!$B$11,Paramètres!$A$1:$I$89,3,0)*0.475*44/12</f>
        <v>6.2162301098491449E-17</v>
      </c>
      <c r="BS203" s="22">
        <f t="shared" si="169"/>
        <v>19.850813402616133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69.525901080269591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69.525901080269591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69.525901080269591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69.525901080269591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69.525901080269591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69.525901080269591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69.525901080269591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99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99</v>
      </c>
      <c r="BA204" s="81" t="s">
        <v>99</v>
      </c>
      <c r="BV204" s="81" t="s">
        <v>99</v>
      </c>
      <c r="CQ204" s="81" t="s">
        <v>99</v>
      </c>
      <c r="DL204" s="81" t="s">
        <v>99</v>
      </c>
      <c r="EG204" s="81" t="s">
        <v>99</v>
      </c>
      <c r="FB204" s="81" t="s">
        <v>99</v>
      </c>
      <c r="FW204" s="81" t="s">
        <v>99</v>
      </c>
      <c r="GR204" s="81" t="s">
        <v>99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1.2485684178796581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>
        <f>EXP(LN('Données projet'!B88)/'Données projet'!A88)</f>
        <v>1.277483324775911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5429687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54296875" style="4" bestFit="1" customWidth="1"/>
    <col min="7" max="7" width="11.453125" style="4" bestFit="1" customWidth="1"/>
    <col min="8" max="8" width="39" style="4" bestFit="1" customWidth="1"/>
    <col min="9" max="9" width="16.5429687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100</v>
      </c>
      <c r="B1" s="112" t="s">
        <v>101</v>
      </c>
      <c r="C1" s="113" t="s">
        <v>102</v>
      </c>
      <c r="D1" s="112" t="s">
        <v>103</v>
      </c>
      <c r="E1" s="113" t="s">
        <v>104</v>
      </c>
      <c r="F1" s="113" t="s">
        <v>103</v>
      </c>
      <c r="G1" s="113" t="s">
        <v>105</v>
      </c>
      <c r="H1" s="113" t="s">
        <v>103</v>
      </c>
      <c r="I1" s="114" t="s">
        <v>106</v>
      </c>
      <c r="J1" s="78"/>
      <c r="K1" s="78"/>
      <c r="L1" s="78"/>
      <c r="M1" s="78"/>
      <c r="N1" s="78"/>
    </row>
    <row r="2" spans="1:16" x14ac:dyDescent="0.35">
      <c r="A2" s="115" t="s">
        <v>107</v>
      </c>
      <c r="B2" s="116" t="s">
        <v>108</v>
      </c>
      <c r="C2" s="117">
        <v>0.62</v>
      </c>
      <c r="D2" s="117" t="s">
        <v>109</v>
      </c>
      <c r="E2" s="117">
        <v>1.56</v>
      </c>
      <c r="F2" s="117" t="s">
        <v>110</v>
      </c>
      <c r="G2" s="118">
        <v>0.43</v>
      </c>
      <c r="H2" s="119" t="s">
        <v>111</v>
      </c>
      <c r="I2" s="120">
        <v>0.25</v>
      </c>
      <c r="J2" s="78"/>
      <c r="K2" s="78"/>
      <c r="L2" s="78"/>
      <c r="M2" s="78"/>
      <c r="N2" s="78"/>
      <c r="O2" s="282" t="s">
        <v>112</v>
      </c>
      <c r="P2" s="121">
        <v>0</v>
      </c>
    </row>
    <row r="3" spans="1:16" ht="15" thickBot="1" x14ac:dyDescent="0.4">
      <c r="A3" s="122" t="s">
        <v>113</v>
      </c>
      <c r="B3" s="123" t="s">
        <v>114</v>
      </c>
      <c r="C3" s="124">
        <v>0.64</v>
      </c>
      <c r="D3" s="124" t="s">
        <v>109</v>
      </c>
      <c r="E3" s="124">
        <v>1.56</v>
      </c>
      <c r="F3" s="125" t="s">
        <v>110</v>
      </c>
      <c r="G3" s="126">
        <v>0.43</v>
      </c>
      <c r="H3" s="124" t="s">
        <v>111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4">
      <c r="A4" s="122" t="s">
        <v>115</v>
      </c>
      <c r="B4" s="123" t="s">
        <v>116</v>
      </c>
      <c r="C4" s="124">
        <v>0.42</v>
      </c>
      <c r="D4" s="124" t="s">
        <v>109</v>
      </c>
      <c r="E4" s="124">
        <v>1.56</v>
      </c>
      <c r="F4" s="125" t="s">
        <v>110</v>
      </c>
      <c r="G4" s="126">
        <v>0.43</v>
      </c>
      <c r="H4" s="124" t="s">
        <v>111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117</v>
      </c>
      <c r="B5" s="123" t="s">
        <v>118</v>
      </c>
      <c r="C5" s="124">
        <v>0.42</v>
      </c>
      <c r="D5" s="124" t="s">
        <v>109</v>
      </c>
      <c r="E5" s="124">
        <v>1.56</v>
      </c>
      <c r="F5" s="125" t="s">
        <v>110</v>
      </c>
      <c r="G5" s="126">
        <v>0.43</v>
      </c>
      <c r="H5" s="124" t="s">
        <v>111</v>
      </c>
      <c r="I5" s="127">
        <v>0.25</v>
      </c>
      <c r="J5" s="78"/>
      <c r="K5" s="78"/>
      <c r="L5" s="78"/>
      <c r="M5" s="78"/>
      <c r="N5" s="78"/>
      <c r="O5" s="282" t="s">
        <v>119</v>
      </c>
      <c r="P5" s="121">
        <v>0</v>
      </c>
    </row>
    <row r="6" spans="1:16" x14ac:dyDescent="0.35">
      <c r="A6" s="122" t="s">
        <v>120</v>
      </c>
      <c r="B6" s="123" t="s">
        <v>121</v>
      </c>
      <c r="C6" s="124">
        <v>0.42</v>
      </c>
      <c r="D6" s="124" t="s">
        <v>109</v>
      </c>
      <c r="E6" s="124">
        <v>1.56</v>
      </c>
      <c r="F6" s="125" t="s">
        <v>110</v>
      </c>
      <c r="G6" s="126">
        <v>0.43</v>
      </c>
      <c r="H6" s="124" t="s">
        <v>111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5">
      <c r="A7" s="122" t="s">
        <v>122</v>
      </c>
      <c r="B7" s="123" t="s">
        <v>123</v>
      </c>
      <c r="C7" s="124">
        <v>0.52</v>
      </c>
      <c r="D7" s="124" t="s">
        <v>109</v>
      </c>
      <c r="E7" s="124">
        <v>1.56</v>
      </c>
      <c r="F7" s="125" t="s">
        <v>110</v>
      </c>
      <c r="G7" s="126">
        <v>0.43</v>
      </c>
      <c r="H7" s="124" t="s">
        <v>111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4">
      <c r="A8" s="122" t="s">
        <v>124</v>
      </c>
      <c r="B8" s="123" t="s">
        <v>125</v>
      </c>
      <c r="C8" s="124">
        <v>0.36</v>
      </c>
      <c r="D8" s="124" t="s">
        <v>109</v>
      </c>
      <c r="E8" s="124">
        <v>1.3</v>
      </c>
      <c r="F8" s="125" t="s">
        <v>110</v>
      </c>
      <c r="G8" s="126">
        <v>0.55000000000000004</v>
      </c>
      <c r="H8" s="124" t="s">
        <v>126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4">
      <c r="A9" s="122" t="s">
        <v>127</v>
      </c>
      <c r="B9" s="123" t="s">
        <v>128</v>
      </c>
      <c r="C9" s="124">
        <v>0.61</v>
      </c>
      <c r="D9" s="124" t="s">
        <v>109</v>
      </c>
      <c r="E9" s="124">
        <v>1.56</v>
      </c>
      <c r="F9" s="125" t="s">
        <v>110</v>
      </c>
      <c r="G9" s="126">
        <v>0.43</v>
      </c>
      <c r="H9" s="124" t="s">
        <v>111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129</v>
      </c>
      <c r="B10" s="123" t="s">
        <v>130</v>
      </c>
      <c r="C10" s="124">
        <v>0.66</v>
      </c>
      <c r="D10" s="124" t="s">
        <v>109</v>
      </c>
      <c r="E10" s="124">
        <v>1.56</v>
      </c>
      <c r="F10" s="125" t="s">
        <v>110</v>
      </c>
      <c r="G10" s="126">
        <v>0.43</v>
      </c>
      <c r="H10" s="124" t="s">
        <v>111</v>
      </c>
      <c r="I10" s="127">
        <v>0.25</v>
      </c>
      <c r="J10" s="78"/>
      <c r="K10" s="78"/>
      <c r="L10" s="78"/>
      <c r="M10" s="78"/>
      <c r="N10" s="78"/>
      <c r="O10" s="282" t="s">
        <v>131</v>
      </c>
      <c r="P10" s="121">
        <v>0</v>
      </c>
    </row>
    <row r="11" spans="1:16" ht="15" thickBot="1" x14ac:dyDescent="0.4">
      <c r="A11" s="122" t="s">
        <v>132</v>
      </c>
      <c r="B11" s="123" t="s">
        <v>133</v>
      </c>
      <c r="C11" s="124">
        <v>0.47</v>
      </c>
      <c r="D11" s="124" t="s">
        <v>109</v>
      </c>
      <c r="E11" s="124">
        <v>1.56</v>
      </c>
      <c r="F11" s="125" t="s">
        <v>110</v>
      </c>
      <c r="G11" s="126">
        <v>0.43</v>
      </c>
      <c r="H11" s="124" t="s">
        <v>111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5">
      <c r="A12" s="122" t="s">
        <v>134</v>
      </c>
      <c r="B12" s="123" t="s">
        <v>135</v>
      </c>
      <c r="C12" s="124">
        <v>0.67</v>
      </c>
      <c r="D12" s="124" t="s">
        <v>109</v>
      </c>
      <c r="E12" s="124">
        <v>1.56</v>
      </c>
      <c r="F12" s="125" t="s">
        <v>110</v>
      </c>
      <c r="G12" s="126">
        <v>0.43</v>
      </c>
      <c r="H12" s="124" t="s">
        <v>136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137</v>
      </c>
      <c r="B13" s="123" t="s">
        <v>138</v>
      </c>
      <c r="C13" s="124">
        <v>0.7</v>
      </c>
      <c r="D13" s="124" t="s">
        <v>109</v>
      </c>
      <c r="E13" s="124">
        <v>1.56</v>
      </c>
      <c r="F13" s="125" t="s">
        <v>110</v>
      </c>
      <c r="G13" s="126">
        <v>0.43</v>
      </c>
      <c r="H13" s="124" t="s">
        <v>136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139</v>
      </c>
      <c r="B14" s="123" t="s">
        <v>140</v>
      </c>
      <c r="C14" s="124">
        <v>0.54</v>
      </c>
      <c r="D14" s="124" t="s">
        <v>109</v>
      </c>
      <c r="E14" s="124">
        <v>1.56</v>
      </c>
      <c r="F14" s="125" t="s">
        <v>110</v>
      </c>
      <c r="G14" s="126">
        <v>0.43</v>
      </c>
      <c r="H14" s="124" t="s">
        <v>136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141</v>
      </c>
      <c r="B15" s="123" t="s">
        <v>142</v>
      </c>
      <c r="C15" s="124">
        <v>0.65</v>
      </c>
      <c r="D15" s="124" t="s">
        <v>109</v>
      </c>
      <c r="E15" s="124">
        <v>1.56</v>
      </c>
      <c r="F15" s="125" t="s">
        <v>110</v>
      </c>
      <c r="G15" s="126">
        <v>0.43</v>
      </c>
      <c r="H15" s="124" t="s">
        <v>136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143</v>
      </c>
      <c r="B16" s="123" t="s">
        <v>144</v>
      </c>
      <c r="C16" s="124">
        <v>0.56000000000000005</v>
      </c>
      <c r="D16" s="124" t="s">
        <v>109</v>
      </c>
      <c r="E16" s="124">
        <v>1.56</v>
      </c>
      <c r="F16" s="125" t="s">
        <v>110</v>
      </c>
      <c r="G16" s="126">
        <v>0.43</v>
      </c>
      <c r="H16" s="124" t="s">
        <v>136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145</v>
      </c>
      <c r="B17" s="123" t="s">
        <v>146</v>
      </c>
      <c r="C17" s="124">
        <v>0.57999999999999996</v>
      </c>
      <c r="D17" s="124" t="s">
        <v>109</v>
      </c>
      <c r="E17" s="124">
        <v>1.56</v>
      </c>
      <c r="F17" s="125" t="s">
        <v>110</v>
      </c>
      <c r="G17" s="126">
        <v>0.43</v>
      </c>
      <c r="H17" s="124" t="s">
        <v>136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147</v>
      </c>
      <c r="B18" s="123" t="s">
        <v>148</v>
      </c>
      <c r="C18" s="124">
        <v>0.64</v>
      </c>
      <c r="D18" s="124" t="s">
        <v>109</v>
      </c>
      <c r="E18" s="124">
        <v>1.56</v>
      </c>
      <c r="F18" s="125" t="s">
        <v>110</v>
      </c>
      <c r="G18" s="126">
        <v>0.43</v>
      </c>
      <c r="H18" s="124" t="s">
        <v>136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149</v>
      </c>
      <c r="B19" s="123" t="s">
        <v>150</v>
      </c>
      <c r="C19" s="124">
        <v>0.73</v>
      </c>
      <c r="D19" s="124" t="s">
        <v>109</v>
      </c>
      <c r="E19" s="124">
        <v>1.56</v>
      </c>
      <c r="F19" s="125" t="s">
        <v>110</v>
      </c>
      <c r="G19" s="126">
        <v>0.43</v>
      </c>
      <c r="H19" s="124" t="s">
        <v>136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151</v>
      </c>
      <c r="B20" s="123" t="s">
        <v>152</v>
      </c>
      <c r="C20" s="124">
        <v>0.69</v>
      </c>
      <c r="D20" s="124" t="s">
        <v>153</v>
      </c>
      <c r="E20" s="124">
        <v>1.56</v>
      </c>
      <c r="F20" s="125" t="s">
        <v>110</v>
      </c>
      <c r="G20" s="126">
        <v>0.43</v>
      </c>
      <c r="H20" s="124" t="s">
        <v>154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155</v>
      </c>
      <c r="B21" s="123" t="s">
        <v>156</v>
      </c>
      <c r="C21" s="124">
        <v>0.36</v>
      </c>
      <c r="D21" s="124" t="s">
        <v>109</v>
      </c>
      <c r="E21" s="124">
        <v>1.3</v>
      </c>
      <c r="F21" s="125" t="s">
        <v>110</v>
      </c>
      <c r="G21" s="126">
        <v>0.55000000000000004</v>
      </c>
      <c r="H21" s="124" t="s">
        <v>126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157</v>
      </c>
      <c r="B22" s="123" t="s">
        <v>158</v>
      </c>
      <c r="C22" s="124">
        <v>0.4</v>
      </c>
      <c r="D22" s="124" t="s">
        <v>109</v>
      </c>
      <c r="E22" s="124">
        <v>1.3</v>
      </c>
      <c r="F22" s="125" t="s">
        <v>110</v>
      </c>
      <c r="G22" s="126">
        <v>0.55000000000000004</v>
      </c>
      <c r="H22" s="124" t="s">
        <v>126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159</v>
      </c>
      <c r="B23" s="123" t="s">
        <v>160</v>
      </c>
      <c r="C23" s="124">
        <v>0.43</v>
      </c>
      <c r="D23" s="124" t="s">
        <v>109</v>
      </c>
      <c r="E23" s="124">
        <v>1.3</v>
      </c>
      <c r="F23" s="125" t="s">
        <v>110</v>
      </c>
      <c r="G23" s="126">
        <v>0.55000000000000004</v>
      </c>
      <c r="H23" s="124" t="s">
        <v>126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161</v>
      </c>
      <c r="B24" s="123" t="s">
        <v>162</v>
      </c>
      <c r="C24" s="124">
        <v>0.37</v>
      </c>
      <c r="D24" s="124" t="s">
        <v>109</v>
      </c>
      <c r="E24" s="124">
        <v>1.3</v>
      </c>
      <c r="F24" s="125" t="s">
        <v>110</v>
      </c>
      <c r="G24" s="126">
        <v>0.55000000000000004</v>
      </c>
      <c r="H24" s="124" t="s">
        <v>136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</v>
      </c>
      <c r="B25" s="123" t="s">
        <v>163</v>
      </c>
      <c r="C25" s="124">
        <v>0.36</v>
      </c>
      <c r="D25" s="124" t="s">
        <v>109</v>
      </c>
      <c r="E25" s="124">
        <v>1.3</v>
      </c>
      <c r="F25" s="125" t="s">
        <v>110</v>
      </c>
      <c r="G25" s="126">
        <v>0.55000000000000004</v>
      </c>
      <c r="H25" s="124" t="s">
        <v>136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164</v>
      </c>
      <c r="B26" s="123" t="s">
        <v>165</v>
      </c>
      <c r="C26" s="124">
        <v>0.56000000000000005</v>
      </c>
      <c r="D26" s="124" t="s">
        <v>109</v>
      </c>
      <c r="E26" s="124">
        <v>1.56</v>
      </c>
      <c r="F26" s="125" t="s">
        <v>110</v>
      </c>
      <c r="G26" s="126">
        <v>0.53</v>
      </c>
      <c r="H26" s="124" t="s">
        <v>166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167</v>
      </c>
      <c r="B27" s="123" t="s">
        <v>168</v>
      </c>
      <c r="C27" s="124">
        <v>0.51</v>
      </c>
      <c r="D27" s="124" t="s">
        <v>109</v>
      </c>
      <c r="E27" s="124">
        <v>1.56</v>
      </c>
      <c r="F27" s="125" t="s">
        <v>110</v>
      </c>
      <c r="G27" s="126">
        <v>0.53</v>
      </c>
      <c r="H27" s="124" t="s">
        <v>166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169</v>
      </c>
      <c r="B28" s="123" t="s">
        <v>170</v>
      </c>
      <c r="C28" s="124">
        <v>0.51</v>
      </c>
      <c r="D28" s="124" t="s">
        <v>109</v>
      </c>
      <c r="E28" s="124">
        <v>1.56</v>
      </c>
      <c r="F28" s="125" t="s">
        <v>110</v>
      </c>
      <c r="G28" s="126">
        <v>0.53</v>
      </c>
      <c r="H28" s="124" t="s">
        <v>166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171</v>
      </c>
      <c r="B29" s="123" t="s">
        <v>171</v>
      </c>
      <c r="C29" s="124">
        <v>0.56000000000000005</v>
      </c>
      <c r="D29" s="124" t="s">
        <v>109</v>
      </c>
      <c r="E29" s="124">
        <v>1.56</v>
      </c>
      <c r="F29" s="125" t="s">
        <v>110</v>
      </c>
      <c r="G29" s="126">
        <v>0.53</v>
      </c>
      <c r="H29" s="124" t="s">
        <v>166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172</v>
      </c>
      <c r="B30" s="123" t="s">
        <v>173</v>
      </c>
      <c r="C30" s="124">
        <v>0.55000000000000004</v>
      </c>
      <c r="D30" s="124" t="s">
        <v>109</v>
      </c>
      <c r="E30" s="124">
        <v>1.56</v>
      </c>
      <c r="F30" s="125" t="s">
        <v>110</v>
      </c>
      <c r="G30" s="126">
        <v>0.53</v>
      </c>
      <c r="H30" s="124" t="s">
        <v>136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174</v>
      </c>
      <c r="B31" s="123" t="s">
        <v>175</v>
      </c>
      <c r="C31" s="124">
        <v>0.56000000000000005</v>
      </c>
      <c r="D31" s="124" t="s">
        <v>109</v>
      </c>
      <c r="E31" s="124">
        <v>1.56</v>
      </c>
      <c r="F31" s="125" t="s">
        <v>110</v>
      </c>
      <c r="G31" s="126">
        <v>0.43</v>
      </c>
      <c r="H31" s="124" t="s">
        <v>111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176</v>
      </c>
      <c r="B32" s="123" t="s">
        <v>177</v>
      </c>
      <c r="C32" s="124">
        <v>0.48</v>
      </c>
      <c r="D32" s="124" t="s">
        <v>109</v>
      </c>
      <c r="E32" s="124">
        <v>1.3</v>
      </c>
      <c r="F32" s="125" t="s">
        <v>110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179</v>
      </c>
      <c r="B33" s="123" t="s">
        <v>180</v>
      </c>
      <c r="C33" s="124">
        <v>0.42</v>
      </c>
      <c r="D33" s="124" t="s">
        <v>109</v>
      </c>
      <c r="E33" s="124">
        <v>1.3</v>
      </c>
      <c r="F33" s="125" t="s">
        <v>110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110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185</v>
      </c>
      <c r="B35" s="123" t="s">
        <v>186</v>
      </c>
      <c r="C35" s="124">
        <v>0.5</v>
      </c>
      <c r="D35" s="124" t="s">
        <v>109</v>
      </c>
      <c r="E35" s="124">
        <v>1.56</v>
      </c>
      <c r="F35" s="125" t="s">
        <v>110</v>
      </c>
      <c r="G35" s="126">
        <v>0.43</v>
      </c>
      <c r="H35" s="124" t="s">
        <v>111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187</v>
      </c>
      <c r="B36" s="123" t="s">
        <v>188</v>
      </c>
      <c r="C36" s="124">
        <v>0.55000000000000004</v>
      </c>
      <c r="D36" s="124" t="s">
        <v>109</v>
      </c>
      <c r="E36" s="124">
        <v>1.56</v>
      </c>
      <c r="F36" s="125" t="s">
        <v>110</v>
      </c>
      <c r="G36" s="126">
        <v>0.53</v>
      </c>
      <c r="H36" s="124" t="s">
        <v>166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189</v>
      </c>
      <c r="B37" s="123" t="s">
        <v>190</v>
      </c>
      <c r="C37" s="124">
        <v>0.52</v>
      </c>
      <c r="D37" s="124" t="s">
        <v>109</v>
      </c>
      <c r="E37" s="124">
        <v>1.56</v>
      </c>
      <c r="F37" s="125" t="s">
        <v>110</v>
      </c>
      <c r="G37" s="126">
        <v>0.53</v>
      </c>
      <c r="H37" s="124" t="s">
        <v>166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191</v>
      </c>
      <c r="B38" s="123" t="s">
        <v>192</v>
      </c>
      <c r="C38" s="124">
        <v>0.52</v>
      </c>
      <c r="D38" s="124" t="s">
        <v>109</v>
      </c>
      <c r="E38" s="124">
        <v>1.56</v>
      </c>
      <c r="F38" s="125" t="s">
        <v>110</v>
      </c>
      <c r="G38" s="126">
        <v>0.43</v>
      </c>
      <c r="H38" s="124" t="s">
        <v>111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193</v>
      </c>
      <c r="B39" s="123" t="s">
        <v>194</v>
      </c>
      <c r="C39" s="124">
        <v>0.313</v>
      </c>
      <c r="D39" s="124" t="s">
        <v>195</v>
      </c>
      <c r="E39" s="124">
        <v>1.56</v>
      </c>
      <c r="F39" s="125" t="s">
        <v>110</v>
      </c>
      <c r="G39" s="126">
        <v>0.6</v>
      </c>
      <c r="H39" s="124" t="s">
        <v>196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197</v>
      </c>
      <c r="B40" s="123" t="s">
        <v>194</v>
      </c>
      <c r="C40" s="124">
        <v>0.35199999999999998</v>
      </c>
      <c r="D40" s="124" t="s">
        <v>195</v>
      </c>
      <c r="E40" s="124">
        <v>1.56</v>
      </c>
      <c r="F40" s="125" t="s">
        <v>110</v>
      </c>
      <c r="G40" s="126">
        <v>0.6</v>
      </c>
      <c r="H40" s="124" t="s">
        <v>196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198</v>
      </c>
      <c r="B41" s="123" t="s">
        <v>194</v>
      </c>
      <c r="C41" s="124">
        <v>0.32200000000000001</v>
      </c>
      <c r="D41" s="124" t="s">
        <v>195</v>
      </c>
      <c r="E41" s="124">
        <v>1.56</v>
      </c>
      <c r="F41" s="125" t="s">
        <v>110</v>
      </c>
      <c r="G41" s="126">
        <v>0.6</v>
      </c>
      <c r="H41" s="124" t="s">
        <v>196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199</v>
      </c>
      <c r="B42" s="123" t="s">
        <v>194</v>
      </c>
      <c r="C42" s="124">
        <v>0.311</v>
      </c>
      <c r="D42" s="124" t="s">
        <v>195</v>
      </c>
      <c r="E42" s="124">
        <v>1.56</v>
      </c>
      <c r="F42" s="125" t="s">
        <v>110</v>
      </c>
      <c r="G42" s="126">
        <v>0.6</v>
      </c>
      <c r="H42" s="124" t="s">
        <v>196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200</v>
      </c>
      <c r="B43" s="123" t="s">
        <v>194</v>
      </c>
      <c r="C43" s="124">
        <v>0.33900000000000002</v>
      </c>
      <c r="D43" s="124" t="s">
        <v>195</v>
      </c>
      <c r="E43" s="124">
        <v>1.56</v>
      </c>
      <c r="F43" s="125" t="s">
        <v>110</v>
      </c>
      <c r="G43" s="126">
        <v>0.6</v>
      </c>
      <c r="H43" s="124" t="s">
        <v>196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201</v>
      </c>
      <c r="B44" s="123" t="s">
        <v>194</v>
      </c>
      <c r="C44" s="124">
        <v>0.33600000000000002</v>
      </c>
      <c r="D44" s="124" t="s">
        <v>195</v>
      </c>
      <c r="E44" s="124">
        <v>1.56</v>
      </c>
      <c r="F44" s="125" t="s">
        <v>110</v>
      </c>
      <c r="G44" s="126">
        <v>0.6</v>
      </c>
      <c r="H44" s="124" t="s">
        <v>196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202</v>
      </c>
      <c r="B45" s="123" t="s">
        <v>194</v>
      </c>
      <c r="C45" s="124">
        <v>0.32900000000000001</v>
      </c>
      <c r="D45" s="124" t="s">
        <v>195</v>
      </c>
      <c r="E45" s="124">
        <v>1.56</v>
      </c>
      <c r="F45" s="125" t="s">
        <v>110</v>
      </c>
      <c r="G45" s="126">
        <v>0.6</v>
      </c>
      <c r="H45" s="124" t="s">
        <v>196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203</v>
      </c>
      <c r="B46" s="123" t="s">
        <v>194</v>
      </c>
      <c r="C46" s="124">
        <v>0.34300000000000003</v>
      </c>
      <c r="D46" s="124" t="s">
        <v>195</v>
      </c>
      <c r="E46" s="124">
        <v>1.56</v>
      </c>
      <c r="F46" s="125" t="s">
        <v>110</v>
      </c>
      <c r="G46" s="126">
        <v>0.6</v>
      </c>
      <c r="H46" s="124" t="s">
        <v>196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204</v>
      </c>
      <c r="B47" s="123" t="s">
        <v>194</v>
      </c>
      <c r="C47" s="124">
        <v>0.32500000000000001</v>
      </c>
      <c r="D47" s="124" t="s">
        <v>195</v>
      </c>
      <c r="E47" s="124">
        <v>1.56</v>
      </c>
      <c r="F47" s="125" t="s">
        <v>110</v>
      </c>
      <c r="G47" s="126">
        <v>0.6</v>
      </c>
      <c r="H47" s="124" t="s">
        <v>196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205</v>
      </c>
      <c r="B48" s="123" t="s">
        <v>194</v>
      </c>
      <c r="C48" s="124">
        <v>0.32</v>
      </c>
      <c r="D48" s="124" t="s">
        <v>195</v>
      </c>
      <c r="E48" s="124">
        <v>1.56</v>
      </c>
      <c r="F48" s="125" t="s">
        <v>110</v>
      </c>
      <c r="G48" s="126">
        <v>0.6</v>
      </c>
      <c r="H48" s="124" t="s">
        <v>196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206</v>
      </c>
      <c r="B49" s="123" t="s">
        <v>194</v>
      </c>
      <c r="C49" s="124">
        <v>0.28199999999999997</v>
      </c>
      <c r="D49" s="124" t="s">
        <v>195</v>
      </c>
      <c r="E49" s="124">
        <v>1.56</v>
      </c>
      <c r="F49" s="125" t="s">
        <v>110</v>
      </c>
      <c r="G49" s="126">
        <v>0.6</v>
      </c>
      <c r="H49" s="124" t="s">
        <v>196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207</v>
      </c>
      <c r="B50" s="123" t="s">
        <v>194</v>
      </c>
      <c r="C50" s="124">
        <v>0.32800000000000001</v>
      </c>
      <c r="D50" s="124" t="s">
        <v>195</v>
      </c>
      <c r="E50" s="124">
        <v>1.56</v>
      </c>
      <c r="F50" s="125" t="s">
        <v>110</v>
      </c>
      <c r="G50" s="126">
        <v>0.6</v>
      </c>
      <c r="H50" s="124" t="s">
        <v>196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208</v>
      </c>
      <c r="B51" s="123" t="s">
        <v>194</v>
      </c>
      <c r="C51" s="124">
        <v>0.32600000000000001</v>
      </c>
      <c r="D51" s="124" t="s">
        <v>195</v>
      </c>
      <c r="E51" s="124">
        <v>1.56</v>
      </c>
      <c r="F51" s="125" t="s">
        <v>110</v>
      </c>
      <c r="G51" s="126">
        <v>0.6</v>
      </c>
      <c r="H51" s="124" t="s">
        <v>196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209</v>
      </c>
      <c r="B52" s="123" t="s">
        <v>194</v>
      </c>
      <c r="C52" s="124">
        <v>0.35899999999999999</v>
      </c>
      <c r="D52" s="124" t="s">
        <v>195</v>
      </c>
      <c r="E52" s="124">
        <v>1.56</v>
      </c>
      <c r="F52" s="125" t="s">
        <v>110</v>
      </c>
      <c r="G52" s="126">
        <v>0.6</v>
      </c>
      <c r="H52" s="124" t="s">
        <v>196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210</v>
      </c>
      <c r="B53" s="123" t="s">
        <v>194</v>
      </c>
      <c r="C53" s="124">
        <v>0.34599999999999997</v>
      </c>
      <c r="D53" s="124" t="s">
        <v>195</v>
      </c>
      <c r="E53" s="124">
        <v>1.56</v>
      </c>
      <c r="F53" s="125" t="s">
        <v>110</v>
      </c>
      <c r="G53" s="126">
        <v>0.6</v>
      </c>
      <c r="H53" s="124" t="s">
        <v>196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211</v>
      </c>
      <c r="B54" s="123" t="s">
        <v>194</v>
      </c>
      <c r="C54" s="124">
        <v>0.32600000000000001</v>
      </c>
      <c r="D54" s="124" t="s">
        <v>195</v>
      </c>
      <c r="E54" s="124">
        <v>1.56</v>
      </c>
      <c r="F54" s="125" t="s">
        <v>110</v>
      </c>
      <c r="G54" s="126">
        <v>0.6</v>
      </c>
      <c r="H54" s="124" t="s">
        <v>196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212</v>
      </c>
      <c r="B55" s="123" t="s">
        <v>194</v>
      </c>
      <c r="C55" s="124">
        <v>0.30499999999999999</v>
      </c>
      <c r="D55" s="124" t="s">
        <v>195</v>
      </c>
      <c r="E55" s="124">
        <v>1.56</v>
      </c>
      <c r="F55" s="125" t="s">
        <v>110</v>
      </c>
      <c r="G55" s="126">
        <v>0.6</v>
      </c>
      <c r="H55" s="124" t="s">
        <v>196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213</v>
      </c>
      <c r="B56" s="123" t="s">
        <v>194</v>
      </c>
      <c r="C56" s="124">
        <v>0.32300000000000001</v>
      </c>
      <c r="D56" s="124" t="s">
        <v>195</v>
      </c>
      <c r="E56" s="124">
        <v>1.56</v>
      </c>
      <c r="F56" s="125" t="s">
        <v>110</v>
      </c>
      <c r="G56" s="126">
        <v>0.6</v>
      </c>
      <c r="H56" s="124" t="s">
        <v>196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214</v>
      </c>
      <c r="B57" s="123" t="s">
        <v>194</v>
      </c>
      <c r="C57" s="124">
        <v>0.36699999999999999</v>
      </c>
      <c r="D57" s="124" t="s">
        <v>195</v>
      </c>
      <c r="E57" s="124">
        <v>1.56</v>
      </c>
      <c r="F57" s="125" t="s">
        <v>110</v>
      </c>
      <c r="G57" s="126">
        <v>0.6</v>
      </c>
      <c r="H57" s="124" t="s">
        <v>196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215</v>
      </c>
      <c r="B58" s="123" t="s">
        <v>194</v>
      </c>
      <c r="C58" s="124">
        <v>0.36</v>
      </c>
      <c r="D58" s="124" t="s">
        <v>195</v>
      </c>
      <c r="E58" s="124">
        <v>1.56</v>
      </c>
      <c r="F58" s="125" t="s">
        <v>110</v>
      </c>
      <c r="G58" s="126">
        <v>0.6</v>
      </c>
      <c r="H58" s="124" t="s">
        <v>196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216</v>
      </c>
      <c r="B59" s="123" t="s">
        <v>194</v>
      </c>
      <c r="C59" s="124">
        <v>0.36799999999999999</v>
      </c>
      <c r="D59" s="124" t="s">
        <v>195</v>
      </c>
      <c r="E59" s="124">
        <v>1.56</v>
      </c>
      <c r="F59" s="125" t="s">
        <v>110</v>
      </c>
      <c r="G59" s="126">
        <v>0.6</v>
      </c>
      <c r="H59" s="124" t="s">
        <v>196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217</v>
      </c>
      <c r="B60" s="123" t="s">
        <v>194</v>
      </c>
      <c r="C60" s="124">
        <v>0.30599999999999999</v>
      </c>
      <c r="D60" s="124" t="s">
        <v>195</v>
      </c>
      <c r="E60" s="124">
        <v>1.56</v>
      </c>
      <c r="F60" s="125" t="s">
        <v>110</v>
      </c>
      <c r="G60" s="126">
        <v>0.6</v>
      </c>
      <c r="H60" s="124" t="s">
        <v>196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218</v>
      </c>
      <c r="B61" s="123" t="s">
        <v>194</v>
      </c>
      <c r="C61" s="124">
        <v>0.313</v>
      </c>
      <c r="D61" s="124" t="s">
        <v>195</v>
      </c>
      <c r="E61" s="124">
        <v>1.56</v>
      </c>
      <c r="F61" s="125" t="s">
        <v>110</v>
      </c>
      <c r="G61" s="126">
        <v>0.6</v>
      </c>
      <c r="H61" s="124" t="s">
        <v>196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219</v>
      </c>
      <c r="B62" s="123" t="s">
        <v>220</v>
      </c>
      <c r="C62" s="124">
        <v>0.37</v>
      </c>
      <c r="D62" s="124" t="s">
        <v>109</v>
      </c>
      <c r="E62" s="124">
        <v>1.56</v>
      </c>
      <c r="F62" s="125" t="s">
        <v>110</v>
      </c>
      <c r="G62" s="126">
        <v>0.6</v>
      </c>
      <c r="H62" s="124" t="s">
        <v>196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221</v>
      </c>
      <c r="B63" s="123" t="s">
        <v>222</v>
      </c>
      <c r="C63" s="124">
        <v>0.45</v>
      </c>
      <c r="D63" s="124" t="s">
        <v>109</v>
      </c>
      <c r="E63" s="124">
        <v>1.3</v>
      </c>
      <c r="F63" s="125" t="s">
        <v>110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224</v>
      </c>
      <c r="B64" s="123" t="s">
        <v>225</v>
      </c>
      <c r="C64" s="124">
        <v>0.39</v>
      </c>
      <c r="D64" s="124" t="s">
        <v>109</v>
      </c>
      <c r="E64" s="124">
        <v>1.3</v>
      </c>
      <c r="F64" s="125" t="s">
        <v>110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226</v>
      </c>
      <c r="B65" s="123" t="s">
        <v>227</v>
      </c>
      <c r="C65" s="124">
        <v>0.44</v>
      </c>
      <c r="D65" s="124" t="s">
        <v>109</v>
      </c>
      <c r="E65" s="124">
        <v>1.3</v>
      </c>
      <c r="F65" s="125" t="s">
        <v>110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228</v>
      </c>
      <c r="B66" s="123" t="s">
        <v>229</v>
      </c>
      <c r="C66" s="124">
        <v>0.46</v>
      </c>
      <c r="D66" s="124" t="s">
        <v>109</v>
      </c>
      <c r="E66" s="124">
        <v>1.3</v>
      </c>
      <c r="F66" s="125" t="s">
        <v>110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230</v>
      </c>
      <c r="B67" s="123" t="s">
        <v>231</v>
      </c>
      <c r="C67" s="124">
        <v>0.46</v>
      </c>
      <c r="D67" s="124" t="s">
        <v>109</v>
      </c>
      <c r="E67" s="124">
        <v>1.3</v>
      </c>
      <c r="F67" s="125" t="s">
        <v>110</v>
      </c>
      <c r="G67" s="126">
        <v>0.45</v>
      </c>
      <c r="H67" s="124" t="s">
        <v>136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232</v>
      </c>
      <c r="B68" s="123" t="s">
        <v>233</v>
      </c>
      <c r="C68" s="124">
        <v>0.44</v>
      </c>
      <c r="D68" s="124" t="s">
        <v>109</v>
      </c>
      <c r="E68" s="124">
        <v>1.3</v>
      </c>
      <c r="F68" s="125" t="s">
        <v>110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234</v>
      </c>
      <c r="B69" s="123" t="s">
        <v>235</v>
      </c>
      <c r="C69" s="124">
        <v>0.46</v>
      </c>
      <c r="D69" s="124" t="s">
        <v>109</v>
      </c>
      <c r="E69" s="124">
        <v>1.3</v>
      </c>
      <c r="F69" s="125" t="s">
        <v>110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236</v>
      </c>
      <c r="B70" s="123" t="s">
        <v>237</v>
      </c>
      <c r="C70" s="124">
        <v>0.48</v>
      </c>
      <c r="D70" s="124" t="s">
        <v>109</v>
      </c>
      <c r="E70" s="124">
        <v>2.4</v>
      </c>
      <c r="F70" s="124" t="s">
        <v>238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110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242</v>
      </c>
      <c r="B72" s="123" t="s">
        <v>243</v>
      </c>
      <c r="C72" s="124">
        <v>0.44</v>
      </c>
      <c r="D72" s="124" t="s">
        <v>109</v>
      </c>
      <c r="E72" s="124">
        <v>1.3</v>
      </c>
      <c r="F72" s="125" t="s">
        <v>110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110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247</v>
      </c>
      <c r="B74" s="123" t="s">
        <v>248</v>
      </c>
      <c r="C74" s="124">
        <v>0.34</v>
      </c>
      <c r="D74" s="124" t="s">
        <v>109</v>
      </c>
      <c r="E74" s="124">
        <v>1.3</v>
      </c>
      <c r="F74" s="125" t="s">
        <v>110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249</v>
      </c>
      <c r="B75" s="123" t="s">
        <v>250</v>
      </c>
      <c r="C75" s="124">
        <v>0.5</v>
      </c>
      <c r="D75" s="124" t="s">
        <v>109</v>
      </c>
      <c r="E75" s="124">
        <v>1.56</v>
      </c>
      <c r="F75" s="125" t="s">
        <v>110</v>
      </c>
      <c r="G75" s="126">
        <v>0.53</v>
      </c>
      <c r="H75" s="124" t="s">
        <v>166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251</v>
      </c>
      <c r="B76" s="123" t="s">
        <v>252</v>
      </c>
      <c r="C76" s="124">
        <v>0.57999999999999996</v>
      </c>
      <c r="D76" s="124" t="s">
        <v>109</v>
      </c>
      <c r="E76" s="124">
        <v>1.56</v>
      </c>
      <c r="F76" s="125" t="s">
        <v>110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254</v>
      </c>
      <c r="B77" s="123" t="s">
        <v>255</v>
      </c>
      <c r="C77" s="124">
        <v>0.37</v>
      </c>
      <c r="D77" s="124" t="s">
        <v>109</v>
      </c>
      <c r="E77" s="124">
        <v>1.3</v>
      </c>
      <c r="F77" s="125" t="s">
        <v>110</v>
      </c>
      <c r="G77" s="126">
        <v>0.55000000000000004</v>
      </c>
      <c r="H77" s="124" t="s">
        <v>136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256</v>
      </c>
      <c r="B78" s="123" t="s">
        <v>257</v>
      </c>
      <c r="C78" s="124">
        <v>0.37</v>
      </c>
      <c r="D78" s="124" t="s">
        <v>109</v>
      </c>
      <c r="E78" s="124">
        <v>1.3</v>
      </c>
      <c r="F78" s="125" t="s">
        <v>110</v>
      </c>
      <c r="G78" s="126">
        <v>0.55000000000000004</v>
      </c>
      <c r="H78" s="124" t="s">
        <v>136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258</v>
      </c>
      <c r="B79" s="123" t="s">
        <v>259</v>
      </c>
      <c r="C79" s="124">
        <v>0.38</v>
      </c>
      <c r="D79" s="124" t="s">
        <v>109</v>
      </c>
      <c r="E79" s="124">
        <v>1.3</v>
      </c>
      <c r="F79" s="125" t="s">
        <v>110</v>
      </c>
      <c r="G79" s="126">
        <v>0.55000000000000004</v>
      </c>
      <c r="H79" s="124" t="s">
        <v>126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260</v>
      </c>
      <c r="B80" s="123" t="s">
        <v>261</v>
      </c>
      <c r="C80" s="124">
        <v>0.36</v>
      </c>
      <c r="D80" s="124" t="s">
        <v>109</v>
      </c>
      <c r="E80" s="124">
        <v>1.3</v>
      </c>
      <c r="F80" s="125" t="s">
        <v>110</v>
      </c>
      <c r="G80" s="126">
        <v>0.55000000000000004</v>
      </c>
      <c r="H80" s="124" t="s">
        <v>126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262</v>
      </c>
      <c r="B81" s="123" t="s">
        <v>263</v>
      </c>
      <c r="C81" s="124">
        <v>0.37</v>
      </c>
      <c r="D81" s="124" t="s">
        <v>109</v>
      </c>
      <c r="E81" s="124">
        <v>1.56</v>
      </c>
      <c r="F81" s="125" t="s">
        <v>110</v>
      </c>
      <c r="G81" s="126">
        <v>0.43</v>
      </c>
      <c r="H81" s="124" t="s">
        <v>111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264</v>
      </c>
      <c r="B82" s="123" t="s">
        <v>265</v>
      </c>
      <c r="C82" s="124">
        <v>0.35</v>
      </c>
      <c r="D82" s="124" t="s">
        <v>266</v>
      </c>
      <c r="E82" s="124">
        <v>1.3</v>
      </c>
      <c r="F82" s="125" t="s">
        <v>110</v>
      </c>
      <c r="G82" s="126">
        <v>0.55000000000000004</v>
      </c>
      <c r="H82" s="124" t="s">
        <v>126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267</v>
      </c>
      <c r="B83" s="123" t="s">
        <v>268</v>
      </c>
      <c r="C83" s="124">
        <v>0.34</v>
      </c>
      <c r="D83" s="124" t="s">
        <v>109</v>
      </c>
      <c r="E83" s="124">
        <v>1.3</v>
      </c>
      <c r="F83" s="125" t="s">
        <v>110</v>
      </c>
      <c r="G83" s="126">
        <v>0.55000000000000004</v>
      </c>
      <c r="H83" s="124" t="s">
        <v>126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19</v>
      </c>
      <c r="B84" s="123" t="s">
        <v>269</v>
      </c>
      <c r="C84" s="124">
        <v>0.31</v>
      </c>
      <c r="D84" s="124" t="s">
        <v>109</v>
      </c>
      <c r="E84" s="124">
        <v>1.3</v>
      </c>
      <c r="F84" s="125" t="s">
        <v>110</v>
      </c>
      <c r="G84" s="126">
        <v>0.55000000000000004</v>
      </c>
      <c r="H84" s="124" t="s">
        <v>126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109</v>
      </c>
      <c r="E85" s="124">
        <v>1.56</v>
      </c>
      <c r="F85" s="125" t="s">
        <v>110</v>
      </c>
      <c r="G85" s="126">
        <v>0.53</v>
      </c>
      <c r="H85" s="124" t="s">
        <v>166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109</v>
      </c>
      <c r="E86" s="124">
        <v>1.56</v>
      </c>
      <c r="F86" s="125" t="s">
        <v>110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110</v>
      </c>
      <c r="G87" s="255">
        <v>0.43</v>
      </c>
      <c r="H87" s="253" t="s">
        <v>111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69</v>
      </c>
      <c r="B88" s="130"/>
      <c r="C88" s="124">
        <v>0.42</v>
      </c>
      <c r="D88" s="124" t="s">
        <v>109</v>
      </c>
      <c r="E88" s="124">
        <v>1.3</v>
      </c>
      <c r="F88" s="125" t="s">
        <v>110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109</v>
      </c>
      <c r="E89" s="135">
        <v>1.56</v>
      </c>
      <c r="F89" s="135" t="s">
        <v>110</v>
      </c>
      <c r="G89" s="134"/>
      <c r="H89" s="134"/>
      <c r="I89" s="137"/>
    </row>
    <row r="93" spans="1:14" x14ac:dyDescent="0.35">
      <c r="A93" s="122" t="s">
        <v>70</v>
      </c>
    </row>
    <row r="94" spans="1:14" x14ac:dyDescent="0.35">
      <c r="A94" s="122" t="s">
        <v>71</v>
      </c>
    </row>
    <row r="95" spans="1:14" x14ac:dyDescent="0.35">
      <c r="A95" s="122" t="s">
        <v>72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5" sqref="M5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3" t="s">
        <v>279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Epicéa de Sitka</v>
      </c>
      <c r="B6" s="146">
        <f>'Données projet'!D9</f>
        <v>3.4739999999999998</v>
      </c>
      <c r="C6" s="147">
        <f ca="1">IF(OR('Données projet'!B9="",'Données projet'!C9="",'Données projet'!C9=0%),0,Calculateur!S3)</f>
        <v>302.99089313578685</v>
      </c>
      <c r="D6" s="147">
        <f>IF(OR('Données projet'!B9="",'Données projet'!C9="",'Données projet'!C9=0%),0,Calculateur!T3)</f>
        <v>335.51949678160906</v>
      </c>
      <c r="E6" s="147">
        <f ca="1">MIN(C6,D6)</f>
        <v>302.99089313578685</v>
      </c>
      <c r="F6" s="147">
        <f ca="1">E6*B6</f>
        <v>1052.5903627537234</v>
      </c>
      <c r="G6" s="147">
        <f ca="1">F6*(100%-'Données projet'!$C$24)*(100%-'Données projet'!$C$25)*(100%-'Données projet'!$C$26)*(100%-'Données projet'!$C$27)</f>
        <v>852.59819383051604</v>
      </c>
      <c r="H6" s="148">
        <f>IF(OR('Données projet'!B9="",'Données projet'!C9="",'Données projet'!C9=0%),0,AVERAGE(Calculateur!$AC$3:$AC$33)*B6)</f>
        <v>22.399962532382983</v>
      </c>
      <c r="I6" s="149">
        <f>H6*(100%-'Données projet'!$C$24)*(100%-'Données projet'!$C$25)*(100%-'Données projet'!$C$26)*(100%-'Données projet'!$C$27)</f>
        <v>18.143969651230215</v>
      </c>
      <c r="J6" s="150">
        <f>IF(OR('Données projet'!B9="",'Données projet'!C9="",'Données projet'!C9=0%),0,SUM(Calculateur!$V$3:$V$33)*VLOOKUP('Données projet'!$B$9,Paramètres!$A$1:$I$89,9,0)*B6)</f>
        <v>177.76458</v>
      </c>
      <c r="K6" s="151">
        <f>J6*(100%-'Données projet'!$C$24)*(100%-'Données projet'!$C$25)*(100%-'Données projet'!$C$26)*(100%-'Données projet'!$C$27)</f>
        <v>143.9893098</v>
      </c>
      <c r="L6" s="152">
        <f ca="1">G6+I6+K6</f>
        <v>1014.7314732817463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Thuya géant</v>
      </c>
      <c r="B8" s="154">
        <f>'Données projet'!D11</f>
        <v>0.38600000000000001</v>
      </c>
      <c r="C8" s="147">
        <f ca="1">IF(OR('Données projet'!B11="",'Données projet'!C11="",'Données projet'!C11=0%),0,Calculateur!BI3)</f>
        <v>377.91408971696819</v>
      </c>
      <c r="D8" s="147">
        <f>IF(OR('Données projet'!B11="",'Données projet'!C11="",'Données projet'!C11=0%),0,Calculateur!BJ3)</f>
        <v>321.68797596002366</v>
      </c>
      <c r="E8" s="147">
        <f t="shared" ca="1" si="0"/>
        <v>321.68797596002366</v>
      </c>
      <c r="F8" s="147">
        <f t="shared" ca="1" si="1"/>
        <v>124.17155872056914</v>
      </c>
      <c r="G8" s="147">
        <f ca="1">F8*(100%-'Données projet'!$C$24)*(100%-'Données projet'!$C$25)*(100%-'Données projet'!$C$26)*(100%-'Données projet'!$C$27)</f>
        <v>100.57896256366101</v>
      </c>
      <c r="H8" s="155">
        <f>IF(OR('Données projet'!B11="",'Données projet'!C11="",'Données projet'!C11=0%),0,AVERAGE(Calculateur!$BS$3:$BS$33)*B8)</f>
        <v>1.6374787306891234</v>
      </c>
      <c r="I8" s="149">
        <f>H8*(100%-'Données projet'!$C$24)*(100%-'Données projet'!$C$25)*(100%-'Données projet'!$C$26)*(100%-'Données projet'!$C$27)</f>
        <v>1.32635777185819</v>
      </c>
      <c r="J8" s="150">
        <f>IF(OR('Données projet'!B11="",'Données projet'!C11="",'Données projet'!C11=0%),0,SUM(Calculateur!$BL$3:$BL$33)*VLOOKUP('Données projet'!$B$11,Paramètres!$A$1:$I$89,9,0)*B8)</f>
        <v>21.743379999999998</v>
      </c>
      <c r="K8" s="151">
        <f>J8*(100%-'Données projet'!$C$24)*(100%-'Données projet'!$C$25)*(100%-'Données projet'!$C$26)*(100%-'Données projet'!$C$27)</f>
        <v>17.612137799999999</v>
      </c>
      <c r="L8" s="152">
        <f t="shared" ca="1" si="2"/>
        <v>119.51745813551919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1176.7619214742926</v>
      </c>
      <c r="G16" s="166">
        <f t="shared" ca="1" si="3"/>
        <v>953.17715639417702</v>
      </c>
      <c r="H16" s="167">
        <f t="shared" si="3"/>
        <v>24.037441263072107</v>
      </c>
      <c r="I16" s="167">
        <f t="shared" si="3"/>
        <v>19.470327423088406</v>
      </c>
      <c r="J16" s="168">
        <f t="shared" si="3"/>
        <v>199.50796</v>
      </c>
      <c r="K16" s="168">
        <f t="shared" si="3"/>
        <v>161.6014476</v>
      </c>
      <c r="L16" s="169">
        <f t="shared" ca="1" si="3"/>
        <v>1134.2489314172656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5" t="s">
        <v>290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Epicéa de Sitka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Thuya géant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C1" zoomScale="80" zoomScaleNormal="80" workbookViewId="0">
      <selection activeCell="J25" sqref="J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5429687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3" t="s">
        <v>291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3" t="s">
        <v>292</v>
      </c>
      <c r="I4" s="263"/>
      <c r="K4" s="287" t="s">
        <v>293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55</v>
      </c>
      <c r="O7" s="247"/>
      <c r="P7" s="248"/>
      <c r="Q7" s="249"/>
      <c r="R7" s="297" t="s">
        <v>294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Epicéa de Sitka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4846.8951653747718</v>
      </c>
      <c r="U10" s="178">
        <f>'Données projet'!D9</f>
        <v>3.4739999999999998</v>
      </c>
      <c r="V10" s="177">
        <f>U10*T10</f>
        <v>16838.113804511955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Thuya géant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2342.7791323031806</v>
      </c>
      <c r="U12" s="178">
        <f>'Données projet'!D11</f>
        <v>0.38600000000000001</v>
      </c>
      <c r="V12" s="177">
        <f t="shared" ref="V12:V19" si="1">U12*T12</f>
        <v>904.31274506902776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Epicéa de Sitka</v>
      </c>
      <c r="C14" s="4"/>
      <c r="D14" s="4"/>
      <c r="E14" s="4"/>
      <c r="F14" s="230"/>
      <c r="G14" s="23"/>
      <c r="H14" s="36" t="s">
        <v>74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90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46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90"/>
      <c r="H16" s="190"/>
      <c r="I16" s="191"/>
      <c r="J16" s="202"/>
      <c r="K16" s="208"/>
      <c r="L16" s="287" t="s">
        <v>311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194</v>
      </c>
      <c r="C17" s="198" t="s">
        <v>194</v>
      </c>
      <c r="D17" s="197" t="s">
        <v>194</v>
      </c>
      <c r="E17" s="193"/>
      <c r="F17" s="230"/>
      <c r="G17" s="290"/>
      <c r="J17" s="202"/>
      <c r="K17" s="208"/>
      <c r="L17" s="260" t="s">
        <v>312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194</v>
      </c>
      <c r="C18" s="198" t="s">
        <v>194</v>
      </c>
      <c r="D18" s="197" t="s">
        <v>194</v>
      </c>
      <c r="E18" s="193"/>
      <c r="F18" s="230"/>
      <c r="G18" s="290"/>
      <c r="J18" s="202"/>
      <c r="K18" s="208"/>
      <c r="L18" s="260" t="s">
        <v>308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194</v>
      </c>
      <c r="C19" s="198" t="s">
        <v>194</v>
      </c>
      <c r="D19" s="197" t="s">
        <v>194</v>
      </c>
      <c r="E19" s="193"/>
      <c r="F19" s="230"/>
      <c r="G19" s="290"/>
      <c r="H19" s="212" t="s">
        <v>74</v>
      </c>
      <c r="I19" s="212" t="s">
        <v>313</v>
      </c>
      <c r="J19" s="93"/>
      <c r="K19" s="173"/>
      <c r="L19" s="287" t="s">
        <v>314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194</v>
      </c>
      <c r="C20" s="198" t="s">
        <v>194</v>
      </c>
      <c r="D20" s="197" t="s">
        <v>194</v>
      </c>
      <c r="E20" s="193"/>
      <c r="F20" s="230"/>
      <c r="G20" s="290"/>
      <c r="H20" s="190">
        <v>1</v>
      </c>
      <c r="I20" s="191">
        <v>9549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194</v>
      </c>
      <c r="C21" s="198" t="s">
        <v>194</v>
      </c>
      <c r="D21" s="197" t="s">
        <v>194</v>
      </c>
      <c r="E21" s="193"/>
      <c r="F21" s="230"/>
      <c r="H21" s="190">
        <v>2</v>
      </c>
      <c r="I21" s="191">
        <v>702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194</v>
      </c>
      <c r="C22" s="198" t="s">
        <v>194</v>
      </c>
      <c r="D22" s="197" t="s">
        <v>194</v>
      </c>
      <c r="E22" s="193"/>
      <c r="F22" s="230"/>
      <c r="H22" s="190">
        <v>3</v>
      </c>
      <c r="I22" s="191">
        <v>702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23</v>
      </c>
      <c r="B23" s="181">
        <f>'Données projet'!D36</f>
        <v>55</v>
      </c>
      <c r="C23" s="193">
        <v>15</v>
      </c>
      <c r="D23" s="182">
        <f>B23*C23</f>
        <v>825</v>
      </c>
      <c r="E23" s="193">
        <v>60</v>
      </c>
      <c r="F23" s="230"/>
      <c r="H23" s="190">
        <v>4</v>
      </c>
      <c r="I23" s="191">
        <v>702</v>
      </c>
      <c r="K23" s="208"/>
      <c r="L23" s="289" t="s">
        <v>315</v>
      </c>
      <c r="M23" s="289"/>
      <c r="N23" s="289"/>
      <c r="O23" s="23"/>
      <c r="P23" s="23"/>
      <c r="Q23" s="234"/>
      <c r="R23" s="23"/>
      <c r="S23" s="36" t="s">
        <v>316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-26832.052047730969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27</v>
      </c>
      <c r="B24" s="181">
        <f>'Données projet'!D37</f>
        <v>64</v>
      </c>
      <c r="C24" s="193">
        <v>15</v>
      </c>
      <c r="D24" s="182">
        <f t="shared" ref="D24:D42" si="2">B24*C24</f>
        <v>960</v>
      </c>
      <c r="E24" s="193">
        <v>60</v>
      </c>
      <c r="F24" s="233"/>
      <c r="H24" s="190">
        <v>5</v>
      </c>
      <c r="I24" s="191">
        <v>702</v>
      </c>
      <c r="J24" s="257">
        <f>SUM(I20:I24)</f>
        <v>12357</v>
      </c>
      <c r="K24" s="208"/>
      <c r="O24" s="23"/>
      <c r="P24" s="23"/>
      <c r="Q24" s="234"/>
      <c r="R24" s="23"/>
      <c r="S24" s="36" t="s">
        <v>317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9757.9308465016475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31</v>
      </c>
      <c r="B25" s="181">
        <f>'Données projet'!D38</f>
        <v>57</v>
      </c>
      <c r="C25" s="193">
        <v>30.875</v>
      </c>
      <c r="D25" s="182">
        <f t="shared" si="2"/>
        <v>1759.875</v>
      </c>
      <c r="E25" s="193">
        <v>60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>
        <v>120</v>
      </c>
      <c r="Q25" s="234"/>
      <c r="R25" s="23"/>
      <c r="S25" s="186" t="s">
        <v>319</v>
      </c>
      <c r="T25" s="304">
        <f ca="1">T23-T24</f>
        <v>-36589.982894232613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35</v>
      </c>
      <c r="B26" s="181">
        <f>'Données projet'!D39</f>
        <v>64</v>
      </c>
      <c r="C26" s="193">
        <v>30.875</v>
      </c>
      <c r="D26" s="182">
        <f t="shared" si="2"/>
        <v>1976</v>
      </c>
      <c r="E26" s="193">
        <v>60</v>
      </c>
      <c r="F26" s="233"/>
      <c r="G26" s="229"/>
      <c r="H26" s="190"/>
      <c r="I26" s="191"/>
      <c r="K26" s="208"/>
      <c r="L26" s="291" t="s">
        <v>320</v>
      </c>
      <c r="M26" s="292"/>
      <c r="N26" s="292"/>
      <c r="O26" s="292"/>
      <c r="P26" s="293"/>
      <c r="Q26" s="234"/>
      <c r="R26" s="23"/>
      <c r="S26" s="186" t="s">
        <v>321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39</v>
      </c>
      <c r="B27" s="181">
        <f>'Données projet'!D40</f>
        <v>50</v>
      </c>
      <c r="C27" s="193">
        <v>30.875</v>
      </c>
      <c r="D27" s="182">
        <f t="shared" si="2"/>
        <v>1543.75</v>
      </c>
      <c r="E27" s="193">
        <v>60</v>
      </c>
      <c r="F27" s="233"/>
      <c r="G27" s="229"/>
      <c r="H27" s="190"/>
      <c r="I27" s="191"/>
      <c r="J27" s="257"/>
      <c r="K27" s="208"/>
      <c r="L27" s="294"/>
      <c r="M27" s="295"/>
      <c r="N27" s="295"/>
      <c r="O27" s="295"/>
      <c r="P27" s="296"/>
      <c r="Q27" s="234"/>
      <c r="R27" s="23"/>
      <c r="S27" s="300" t="s">
        <v>322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44</v>
      </c>
      <c r="B28" s="181">
        <f>'Données projet'!D41</f>
        <v>57</v>
      </c>
      <c r="C28" s="193">
        <v>30.875</v>
      </c>
      <c r="D28" s="182">
        <f t="shared" si="2"/>
        <v>1759.875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50</v>
      </c>
      <c r="B29" s="181">
        <f>'Données projet'!D42</f>
        <v>67</v>
      </c>
      <c r="C29" s="193">
        <v>30.875</v>
      </c>
      <c r="D29" s="182">
        <f t="shared" si="2"/>
        <v>2068.625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53</v>
      </c>
      <c r="B30" s="181">
        <f>'Données projet'!D43</f>
        <v>697</v>
      </c>
      <c r="C30" s="193">
        <v>40.25</v>
      </c>
      <c r="D30" s="182">
        <f t="shared" si="2"/>
        <v>28054.25</v>
      </c>
      <c r="E30" s="193">
        <v>60</v>
      </c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2527.961359197318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74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120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114.83253588516747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109.88759414848563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105.15559248658911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100.62736123118579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96.294125580082095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92.147488593380018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88.179414921894747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84.382215236262937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80.748531326567416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77.271321843605193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73.943848654167653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70.759663783892506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67.71259692238516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46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64.796743466397302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194</v>
      </c>
      <c r="C48" s="198" t="s">
        <v>194</v>
      </c>
      <c r="D48" s="197" t="s">
        <v>194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62.006453077892154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194</v>
      </c>
      <c r="C49" s="198" t="s">
        <v>194</v>
      </c>
      <c r="D49" s="197" t="s">
        <v>194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59.336318734825049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194</v>
      </c>
      <c r="C50" s="198" t="s">
        <v>194</v>
      </c>
      <c r="D50" s="197" t="s">
        <v>194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56.781166253421098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194</v>
      </c>
      <c r="C51" s="198" t="s">
        <v>194</v>
      </c>
      <c r="D51" s="197" t="s">
        <v>194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54.336044261646997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194</v>
      </c>
      <c r="C52" s="198" t="s">
        <v>194</v>
      </c>
      <c r="D52" s="197" t="s">
        <v>194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51.996214604446891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194</v>
      </c>
      <c r="C53" s="198" t="s">
        <v>194</v>
      </c>
      <c r="D53" s="197" t="s">
        <v>194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49.757143162150143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>
        <v>13.396875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47.614491064258509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>
        <v>13.396875</v>
      </c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45.564106281587101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>
        <v>13.396875</v>
      </c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43.602015580466123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>
        <v>13.396875</v>
      </c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41.724416823412568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>
        <v>13.396875</v>
      </c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39.92767160135174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>
        <v>29.599999999999998</v>
      </c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38.208298183111729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>
        <v>29.599999999999998</v>
      </c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36.562964768527969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>
        <v>29.599999999999998</v>
      </c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34.98848303208419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>
        <v>29.599999999999998</v>
      </c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33.481801944578166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>
        <v>29.599999999999998</v>
      </c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32.040001860840363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>
        <v>29.599999999999998</v>
      </c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30.660288862048187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>
        <v>29.599999999999998</v>
      </c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29.339989341672922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>
        <v>29.599999999999998</v>
      </c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28.076544824567392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26.867507009155403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25.710533023115218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24.603380883363851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23.543905151544354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22.530052776597472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21.559859116361217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20.631444130489207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19.743008737310252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18.89283132756962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Thuya géant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18.079264428296288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17.300731510331378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46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16.555723933331461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194</v>
      </c>
      <c r="C79" s="198" t="s">
        <v>194</v>
      </c>
      <c r="D79" s="197" t="s">
        <v>194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15.842798022326761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194</v>
      </c>
      <c r="C80" s="198" t="s">
        <v>194</v>
      </c>
      <c r="D80" s="197" t="s">
        <v>194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15.160572270169148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194</v>
      </c>
      <c r="C81" s="198" t="s">
        <v>194</v>
      </c>
      <c r="D81" s="197" t="s">
        <v>194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14.507724660448952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194</v>
      </c>
      <c r="C82" s="198" t="s">
        <v>194</v>
      </c>
      <c r="D82" s="197" t="s">
        <v>194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13.882990105692777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194</v>
      </c>
      <c r="C83" s="198" t="s">
        <v>194</v>
      </c>
      <c r="D83" s="197" t="s">
        <v>194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13.285157995878258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194</v>
      </c>
      <c r="C84" s="198" t="s">
        <v>194</v>
      </c>
      <c r="D84" s="197" t="s">
        <v>194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12.71306985251508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20</v>
      </c>
      <c r="B85" s="181">
        <f>'Données projet'!D88</f>
        <v>5</v>
      </c>
      <c r="C85" s="191">
        <v>13.396875</v>
      </c>
      <c r="D85" s="179">
        <f>B85*C85</f>
        <v>66.984375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12.16561708374649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25</v>
      </c>
      <c r="B86" s="181">
        <f>'Données projet'!D89</f>
        <v>63</v>
      </c>
      <c r="C86" s="191">
        <v>13.396875</v>
      </c>
      <c r="D86" s="179">
        <f t="shared" ref="D86:D104" si="6">B86*C86</f>
        <v>844.00312499999995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11.641738836121043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30</v>
      </c>
      <c r="B87" s="181">
        <f>'Données projet'!D90</f>
        <v>63</v>
      </c>
      <c r="C87" s="191">
        <v>13.396875</v>
      </c>
      <c r="D87" s="179">
        <f t="shared" si="6"/>
        <v>844.00312499999995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str">
        <f>IF(O86+1&lt;=MIN('Données projet'!$E$9:$E$18),O86+1,"STOP")</f>
        <v>STOP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35</v>
      </c>
      <c r="B88" s="181">
        <f>'Données projet'!D91</f>
        <v>63</v>
      </c>
      <c r="C88" s="191">
        <v>13.396875</v>
      </c>
      <c r="D88" s="179">
        <f t="shared" si="6"/>
        <v>844.00312499999995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40</v>
      </c>
      <c r="B89" s="181">
        <f>'Données projet'!D92</f>
        <v>63</v>
      </c>
      <c r="C89" s="191">
        <v>13.396875</v>
      </c>
      <c r="D89" s="179">
        <f t="shared" si="6"/>
        <v>844.00312499999995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45</v>
      </c>
      <c r="B90" s="181">
        <f>'Données projet'!D93</f>
        <v>63</v>
      </c>
      <c r="C90" s="191">
        <v>29.599999999999998</v>
      </c>
      <c r="D90" s="179">
        <f t="shared" si="6"/>
        <v>1864.8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50</v>
      </c>
      <c r="B91" s="181">
        <f>'Données projet'!D94</f>
        <v>63</v>
      </c>
      <c r="C91" s="191">
        <v>29.599999999999998</v>
      </c>
      <c r="D91" s="179">
        <f t="shared" si="6"/>
        <v>1864.8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55</v>
      </c>
      <c r="B92" s="181">
        <f>'Données projet'!D95</f>
        <v>60</v>
      </c>
      <c r="C92" s="191">
        <v>29.599999999999998</v>
      </c>
      <c r="D92" s="179">
        <f t="shared" si="6"/>
        <v>1775.9999999999998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60</v>
      </c>
      <c r="B93" s="181">
        <f>'Données projet'!D96</f>
        <v>53</v>
      </c>
      <c r="C93" s="191">
        <v>29.599999999999998</v>
      </c>
      <c r="D93" s="179">
        <f t="shared" si="6"/>
        <v>1568.8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65</v>
      </c>
      <c r="B94" s="181">
        <f>'Données projet'!D97</f>
        <v>48</v>
      </c>
      <c r="C94" s="191">
        <v>29.599999999999998</v>
      </c>
      <c r="D94" s="179">
        <f t="shared" si="6"/>
        <v>1420.8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70</v>
      </c>
      <c r="B95" s="181">
        <f>'Données projet'!D98</f>
        <v>45</v>
      </c>
      <c r="C95" s="191">
        <v>29.599999999999998</v>
      </c>
      <c r="D95" s="179">
        <f t="shared" si="6"/>
        <v>1332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75</v>
      </c>
      <c r="B96" s="181">
        <f>'Données projet'!D99</f>
        <v>43</v>
      </c>
      <c r="C96" s="191">
        <v>29.599999999999998</v>
      </c>
      <c r="D96" s="179">
        <f t="shared" si="6"/>
        <v>1272.8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80</v>
      </c>
      <c r="B97" s="181">
        <f>'Données projet'!D100</f>
        <v>776</v>
      </c>
      <c r="C97" s="191">
        <v>29.599999999999998</v>
      </c>
      <c r="D97" s="179">
        <f t="shared" si="6"/>
        <v>22969.599999999999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21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46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194</v>
      </c>
      <c r="C110" s="198" t="s">
        <v>194</v>
      </c>
      <c r="D110" s="197" t="s">
        <v>194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194</v>
      </c>
      <c r="C111" s="198" t="s">
        <v>194</v>
      </c>
      <c r="D111" s="197" t="s">
        <v>194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194</v>
      </c>
      <c r="C112" s="198" t="s">
        <v>194</v>
      </c>
      <c r="D112" s="197" t="s">
        <v>194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194</v>
      </c>
      <c r="C113" s="198" t="s">
        <v>194</v>
      </c>
      <c r="D113" s="197" t="s">
        <v>194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194</v>
      </c>
      <c r="C114" s="198" t="s">
        <v>194</v>
      </c>
      <c r="D114" s="197" t="s">
        <v>194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194</v>
      </c>
      <c r="C115" s="198" t="s">
        <v>194</v>
      </c>
      <c r="D115" s="197" t="s">
        <v>194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22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46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194</v>
      </c>
      <c r="C141" s="198" t="s">
        <v>194</v>
      </c>
      <c r="D141" s="197" t="s">
        <v>194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194</v>
      </c>
      <c r="C142" s="198" t="s">
        <v>194</v>
      </c>
      <c r="D142" s="197" t="s">
        <v>194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194</v>
      </c>
      <c r="C143" s="198" t="s">
        <v>194</v>
      </c>
      <c r="D143" s="197" t="s">
        <v>194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194</v>
      </c>
      <c r="C144" s="198" t="s">
        <v>194</v>
      </c>
      <c r="D144" s="197" t="s">
        <v>194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194</v>
      </c>
      <c r="C145" s="198" t="s">
        <v>194</v>
      </c>
      <c r="D145" s="197" t="s">
        <v>194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194</v>
      </c>
      <c r="C146" s="198" t="s">
        <v>194</v>
      </c>
      <c r="D146" s="197" t="s">
        <v>194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23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46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194</v>
      </c>
      <c r="C172" s="198" t="s">
        <v>194</v>
      </c>
      <c r="D172" s="197" t="s">
        <v>194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194</v>
      </c>
      <c r="C173" s="198" t="s">
        <v>194</v>
      </c>
      <c r="D173" s="197" t="s">
        <v>194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194</v>
      </c>
      <c r="C174" s="198" t="s">
        <v>194</v>
      </c>
      <c r="D174" s="197" t="s">
        <v>194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194</v>
      </c>
      <c r="C175" s="198" t="s">
        <v>194</v>
      </c>
      <c r="D175" s="197" t="s">
        <v>194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194</v>
      </c>
      <c r="C176" s="198" t="s">
        <v>194</v>
      </c>
      <c r="D176" s="197" t="s">
        <v>194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194</v>
      </c>
      <c r="C177" s="198" t="s">
        <v>194</v>
      </c>
      <c r="D177" s="197" t="s">
        <v>194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24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46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194</v>
      </c>
      <c r="C203" s="198" t="s">
        <v>194</v>
      </c>
      <c r="D203" s="197" t="s">
        <v>194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194</v>
      </c>
      <c r="C204" s="198" t="s">
        <v>194</v>
      </c>
      <c r="D204" s="197" t="s">
        <v>194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194</v>
      </c>
      <c r="C205" s="198" t="s">
        <v>194</v>
      </c>
      <c r="D205" s="197" t="s">
        <v>194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194</v>
      </c>
      <c r="C206" s="198" t="s">
        <v>194</v>
      </c>
      <c r="D206" s="197" t="s">
        <v>194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194</v>
      </c>
      <c r="C207" s="198" t="s">
        <v>194</v>
      </c>
      <c r="D207" s="197" t="s">
        <v>194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194</v>
      </c>
      <c r="C208" s="198" t="s">
        <v>194</v>
      </c>
      <c r="D208" s="197" t="s">
        <v>194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25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46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194</v>
      </c>
      <c r="C234" s="198" t="s">
        <v>194</v>
      </c>
      <c r="D234" s="197" t="s">
        <v>194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194</v>
      </c>
      <c r="C235" s="198" t="s">
        <v>194</v>
      </c>
      <c r="D235" s="197" t="s">
        <v>194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194</v>
      </c>
      <c r="C236" s="198" t="s">
        <v>194</v>
      </c>
      <c r="D236" s="197" t="s">
        <v>194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194</v>
      </c>
      <c r="C237" s="198" t="s">
        <v>194</v>
      </c>
      <c r="D237" s="197" t="s">
        <v>194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194</v>
      </c>
      <c r="C238" s="198" t="s">
        <v>194</v>
      </c>
      <c r="D238" s="197" t="s">
        <v>194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194</v>
      </c>
      <c r="C239" s="198" t="s">
        <v>194</v>
      </c>
      <c r="D239" s="197" t="s">
        <v>194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26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46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194</v>
      </c>
      <c r="C265" s="198" t="s">
        <v>194</v>
      </c>
      <c r="D265" s="197" t="s">
        <v>194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194</v>
      </c>
      <c r="C266" s="198" t="s">
        <v>194</v>
      </c>
      <c r="D266" s="197" t="s">
        <v>194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194</v>
      </c>
      <c r="C267" s="198" t="s">
        <v>194</v>
      </c>
      <c r="D267" s="197" t="s">
        <v>194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194</v>
      </c>
      <c r="C268" s="198" t="s">
        <v>194</v>
      </c>
      <c r="D268" s="197" t="s">
        <v>194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194</v>
      </c>
      <c r="C269" s="198" t="s">
        <v>194</v>
      </c>
      <c r="D269" s="197" t="s">
        <v>194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194</v>
      </c>
      <c r="C270" s="198" t="s">
        <v>194</v>
      </c>
      <c r="D270" s="197" t="s">
        <v>194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27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46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194</v>
      </c>
      <c r="C296" s="198" t="s">
        <v>194</v>
      </c>
      <c r="D296" s="197" t="s">
        <v>194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194</v>
      </c>
      <c r="C297" s="198" t="s">
        <v>194</v>
      </c>
      <c r="D297" s="197" t="s">
        <v>194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194</v>
      </c>
      <c r="C298" s="198" t="s">
        <v>194</v>
      </c>
      <c r="D298" s="197" t="s">
        <v>194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194</v>
      </c>
      <c r="C299" s="198" t="s">
        <v>194</v>
      </c>
      <c r="D299" s="197" t="s">
        <v>194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194</v>
      </c>
      <c r="C300" s="198" t="s">
        <v>194</v>
      </c>
      <c r="D300" s="197" t="s">
        <v>194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194</v>
      </c>
      <c r="C301" s="198" t="s">
        <v>194</v>
      </c>
      <c r="D301" s="197" t="s">
        <v>194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5bb434-efa9-48e7-aaef-941a592e1885">
      <Terms xmlns="http://schemas.microsoft.com/office/infopath/2007/PartnerControls"/>
    </lcf76f155ced4ddcb4097134ff3c332f>
    <TaxCatchAll xmlns="9378a1d9-e793-4112-a93f-fdc555eec1a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B5687B92954E8A6ACFFCDB08691C" ma:contentTypeVersion="11" ma:contentTypeDescription="Create a new document." ma:contentTypeScope="" ma:versionID="b97f89fed3fae3a16aeb0195b2617fba">
  <xsd:schema xmlns:xsd="http://www.w3.org/2001/XMLSchema" xmlns:xs="http://www.w3.org/2001/XMLSchema" xmlns:p="http://schemas.microsoft.com/office/2006/metadata/properties" xmlns:ns2="305bb434-efa9-48e7-aaef-941a592e1885" xmlns:ns3="9378a1d9-e793-4112-a93f-fdc555eec1ac" targetNamespace="http://schemas.microsoft.com/office/2006/metadata/properties" ma:root="true" ma:fieldsID="3714619342134e7baa1ecbb188f9dddd" ns2:_="" ns3:_="">
    <xsd:import namespace="305bb434-efa9-48e7-aaef-941a592e1885"/>
    <xsd:import namespace="9378a1d9-e793-4112-a93f-fdc555eec1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bb434-efa9-48e7-aaef-941a592e1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8a1d9-e793-4112-a93f-fdc555eec1a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18b9869-43e1-46ca-bbe2-672c4faf2fe5}" ma:internalName="TaxCatchAll" ma:showField="CatchAllData" ma:web="9378a1d9-e793-4112-a93f-fdc555eec1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305bb434-efa9-48e7-aaef-941a592e1885"/>
    <ds:schemaRef ds:uri="9378a1d9-e793-4112-a93f-fdc555eec1ac"/>
  </ds:schemaRefs>
</ds:datastoreItem>
</file>

<file path=customXml/itemProps3.xml><?xml version="1.0" encoding="utf-8"?>
<ds:datastoreItem xmlns:ds="http://schemas.openxmlformats.org/officeDocument/2006/customXml" ds:itemID="{1168622E-7756-499C-83AC-FAB1F14A87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5bb434-efa9-48e7-aaef-941a592e1885"/>
    <ds:schemaRef ds:uri="9378a1d9-e793-4112-a93f-fdc555eec1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Adrian valette</cp:lastModifiedBy>
  <cp:revision/>
  <dcterms:created xsi:type="dcterms:W3CDTF">2021-02-01T08:22:39Z</dcterms:created>
  <dcterms:modified xsi:type="dcterms:W3CDTF">2025-10-28T11:14:08Z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0x010100B489B5687B92954E8A6ACFFCDB08691C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