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ctoiredegez/Downloads/"/>
    </mc:Choice>
  </mc:AlternateContent>
  <xr:revisionPtr revIDLastSave="0" documentId="13_ncr:1_{DD72032E-21EC-9040-81C2-645B25B02053}" xr6:coauthVersionLast="47" xr6:coauthVersionMax="47" xr10:uidLastSave="{00000000-0000-0000-0000-000000000000}"/>
  <bookViews>
    <workbookView xWindow="0" yWindow="500" windowWidth="28800" windowHeight="11700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D59" i="5" s="1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86" i="5" l="1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G32" i="5" s="1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J32" i="5" l="1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s="1"/>
  <c r="C25" i="9" l="1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D127" i="5" l="1"/>
  <c r="D130" i="5" s="1"/>
  <c r="D141" i="5" s="1"/>
  <c r="E127" i="5"/>
  <c r="E130" i="5" s="1"/>
  <c r="E141" i="5" s="1"/>
  <c r="F127" i="5"/>
  <c r="F130" i="5" s="1"/>
  <c r="F141" i="5" s="1"/>
  <c r="G127" i="5"/>
  <c r="G130" i="5" s="1"/>
  <c r="G141" i="5" s="1"/>
  <c r="H127" i="5"/>
  <c r="H130" i="5" s="1"/>
  <c r="H141" i="5" s="1"/>
  <c r="I127" i="5"/>
  <c r="I130" i="5" s="1"/>
  <c r="I141" i="5" s="1"/>
  <c r="J127" i="5"/>
  <c r="J130" i="5" s="1"/>
  <c r="J141" i="5" s="1"/>
  <c r="K127" i="5"/>
  <c r="K130" i="5" s="1"/>
  <c r="K141" i="5" s="1"/>
  <c r="L127" i="5"/>
  <c r="L130" i="5" s="1"/>
  <c r="L141" i="5" s="1"/>
  <c r="C127" i="5"/>
  <c r="C130" i="5" s="1"/>
  <c r="C141" i="5" s="1"/>
  <c r="D100" i="5"/>
  <c r="D103" i="5" s="1"/>
  <c r="D114" i="5" s="1"/>
  <c r="E100" i="5"/>
  <c r="E103" i="5" s="1"/>
  <c r="E114" i="5" s="1"/>
  <c r="F100" i="5"/>
  <c r="F103" i="5" s="1"/>
  <c r="F114" i="5" s="1"/>
  <c r="G100" i="5"/>
  <c r="G103" i="5" s="1"/>
  <c r="G114" i="5" s="1"/>
  <c r="H100" i="5"/>
  <c r="H103" i="5" s="1"/>
  <c r="H114" i="5" s="1"/>
  <c r="I100" i="5"/>
  <c r="I103" i="5" s="1"/>
  <c r="I114" i="5" s="1"/>
  <c r="J100" i="5"/>
  <c r="J103" i="5" s="1"/>
  <c r="J114" i="5" s="1"/>
  <c r="K100" i="5"/>
  <c r="K103" i="5" s="1"/>
  <c r="K114" i="5" s="1"/>
  <c r="L100" i="5"/>
  <c r="L103" i="5" s="1"/>
  <c r="L114" i="5" s="1"/>
  <c r="C100" i="5"/>
  <c r="C103" i="5" s="1"/>
  <c r="C114" i="5" s="1"/>
  <c r="D73" i="5"/>
  <c r="D76" i="5" s="1"/>
  <c r="D87" i="5" s="1"/>
  <c r="E73" i="5"/>
  <c r="E76" i="5" s="1"/>
  <c r="E87" i="5" s="1"/>
  <c r="F73" i="5"/>
  <c r="F76" i="5" s="1"/>
  <c r="F87" i="5" s="1"/>
  <c r="G73" i="5"/>
  <c r="G76" i="5" s="1"/>
  <c r="G87" i="5" s="1"/>
  <c r="H73" i="5"/>
  <c r="H76" i="5" s="1"/>
  <c r="H87" i="5" s="1"/>
  <c r="I73" i="5"/>
  <c r="I76" i="5" s="1"/>
  <c r="I87" i="5" s="1"/>
  <c r="J73" i="5"/>
  <c r="J76" i="5" s="1"/>
  <c r="J87" i="5" s="1"/>
  <c r="K73" i="5"/>
  <c r="K76" i="5" s="1"/>
  <c r="K87" i="5" s="1"/>
  <c r="L73" i="5"/>
  <c r="L76" i="5" s="1"/>
  <c r="L87" i="5" s="1"/>
  <c r="C73" i="5"/>
  <c r="C76" i="5" s="1"/>
  <c r="C87" i="5" s="1"/>
  <c r="D46" i="5"/>
  <c r="D49" i="5" s="1"/>
  <c r="D60" i="5" s="1"/>
  <c r="E46" i="5"/>
  <c r="E49" i="5" s="1"/>
  <c r="E60" i="5" s="1"/>
  <c r="F46" i="5"/>
  <c r="F49" i="5" s="1"/>
  <c r="F60" i="5" s="1"/>
  <c r="G46" i="5"/>
  <c r="G49" i="5" s="1"/>
  <c r="G60" i="5" s="1"/>
  <c r="H46" i="5"/>
  <c r="H49" i="5" s="1"/>
  <c r="H60" i="5" s="1"/>
  <c r="I46" i="5"/>
  <c r="I49" i="5" s="1"/>
  <c r="I60" i="5" s="1"/>
  <c r="J46" i="5"/>
  <c r="J49" i="5" s="1"/>
  <c r="J60" i="5" s="1"/>
  <c r="K46" i="5"/>
  <c r="K49" i="5" s="1"/>
  <c r="K60" i="5" s="1"/>
  <c r="L46" i="5"/>
  <c r="L49" i="5" s="1"/>
  <c r="L60" i="5" s="1"/>
  <c r="C46" i="5"/>
  <c r="C49" i="5" s="1"/>
  <c r="C60" i="5" s="1"/>
  <c r="D19" i="5"/>
  <c r="D22" i="5" s="1"/>
  <c r="D33" i="5" s="1"/>
  <c r="E19" i="5"/>
  <c r="E22" i="5" s="1"/>
  <c r="E33" i="5" s="1"/>
  <c r="F19" i="5"/>
  <c r="F22" i="5" s="1"/>
  <c r="F33" i="5" s="1"/>
  <c r="G19" i="5"/>
  <c r="G22" i="5" s="1"/>
  <c r="G33" i="5" s="1"/>
  <c r="H19" i="5"/>
  <c r="H22" i="5" s="1"/>
  <c r="H33" i="5" s="1"/>
  <c r="I19" i="5"/>
  <c r="I22" i="5" s="1"/>
  <c r="I33" i="5" s="1"/>
  <c r="J19" i="5"/>
  <c r="J22" i="5" s="1"/>
  <c r="J33" i="5" s="1"/>
  <c r="K19" i="5"/>
  <c r="K22" i="5" s="1"/>
  <c r="K33" i="5" s="1"/>
  <c r="L19" i="5"/>
  <c r="L22" i="5" s="1"/>
  <c r="L33" i="5" s="1"/>
  <c r="C19" i="5"/>
  <c r="C22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L38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<sst xmlns="http://schemas.openxmlformats.org/spreadsheetml/2006/main" count="885" uniqueCount="347">
  <si>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Les cellules à remplir sont indiquées en jaune (si vous ne parvenez pas à supprimer une donnée, tappez sur Suppr)</t>
  </si>
  <si>
    <t>Ce calculateur a été élaboré par le Minitère de la Transition Ecologique et permet notamment de calculer les réductions d'émissions associés aux projets suivant la méthode "Plantation de vergers".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</si>
  <si>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</si>
  <si>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</si>
  <si>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</si>
  <si>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t>NON</t>
  </si>
  <si>
    <t>OUI</t>
  </si>
  <si>
    <t>INFORMATIONS (une seule espèce/parcelle)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</si>
  <si>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</si>
  <si>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</si>
  <si>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</si>
  <si>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</si>
  <si>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</si>
  <si>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</si>
  <si>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</si>
  <si>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</si>
  <si>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</si>
  <si>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</si>
  <si>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TOTAL</t>
  </si>
  <si>
    <t xml:space="preserve">Commune </t>
  </si>
  <si>
    <t>47400 Gontaud-de-Nogaret, France</t>
  </si>
  <si>
    <t>Surface parcelle (ha)</t>
  </si>
  <si>
    <t>Espèce plantée</t>
  </si>
  <si>
    <t>Noyer</t>
  </si>
  <si>
    <t>Espèce selon référentiel Agribalyse (à compléter si vous souhaitez planter des pommiers/pêchers/clémentiniers)</t>
  </si>
  <si>
    <t>Type de plantation</t>
  </si>
  <si>
    <t>Plein vent</t>
  </si>
  <si>
    <t>Densité objectif de plantation (plants/ha)</t>
  </si>
  <si>
    <t>Climat de la zone de plantation</t>
  </si>
  <si>
    <t>Hors climat Mediterranéen</t>
  </si>
  <si>
    <t>Durée de vie prévue du verger (années)</t>
  </si>
  <si>
    <t>% enherbement prévu</t>
  </si>
  <si>
    <t>Usage de référence</t>
  </si>
  <si>
    <t>Grandes cultures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</si>
  <si>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</si>
  <si>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t>Orge de brasserie, conventionnelle – Moyenne nationale (France)</t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</si>
  <si>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</si>
  <si>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Blé dur, conventionnel – Moyenne nationale (France)</t>
  </si>
  <si>
    <t>Culture en place année n-3  (ou culture qui s'en rapproche le plus si elle n'est pas dans la liste, sauf cas extreme et contacter le service instructeur)</t>
  </si>
  <si>
    <t>Tournesol, conventionnel, 9% humidité – Moyenne nationale (France)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</si>
  <si>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</si>
  <si>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</si>
  <si>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CRITERE D'ELIGIBILITE</t>
  </si>
  <si>
    <t>Critère d'éligibilité 1 - Densité minimale de plants</t>
  </si>
  <si>
    <t>Espèce - Type plantation</t>
  </si>
  <si>
    <t>Densité objectif minimale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</si>
  <si>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</si>
  <si>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Critère d'éligibilité 2 - Augmentation de la surface nette en culture fruitière</t>
  </si>
  <si>
    <t xml:space="preserve">Validation critère </t>
  </si>
  <si>
    <t>Critère d'éligibilité 3 - Augmentation du stock de carbone total</t>
  </si>
  <si>
    <t>Climat-Usage de référence</t>
  </si>
  <si>
    <t>Durée de vie - Usage de référence</t>
  </si>
  <si>
    <t>Estimation REC ANT_SOL (en teqCO2)</t>
  </si>
  <si>
    <t>Estimation REC ANT_BIOM (en teqCO2)</t>
  </si>
  <si>
    <t>Estimation REC ANT_SOL + REC ANT_BIOM (en teq CO2)</t>
  </si>
  <si>
    <t>Critère d'éligibilité 4 - Enherbement du verger sur au moins 50% de sa surface</t>
  </si>
  <si>
    <t>Rien n'est à compléter</t>
  </si>
  <si>
    <t>Somme des parcelles</t>
  </si>
  <si>
    <t>EGES ref (en teqCO2/ha/an)</t>
  </si>
  <si>
    <t>EGES projet (en teqCO2/ha/an)</t>
  </si>
  <si>
    <t>RE (en teqCO2)</t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</si>
  <si>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</si>
  <si>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EGESref (en teqCO2/ha/an)</t>
  </si>
  <si>
    <t>Année 1</t>
  </si>
  <si>
    <t>QNmin (en kgN/ha/an)</t>
  </si>
  <si>
    <t>QNorg (en kgN/ha/an)</t>
  </si>
  <si>
    <t>QNres (en kgN/ha/an)</t>
  </si>
  <si>
    <t>EN2O dir (kg N20-N/ha)</t>
  </si>
  <si>
    <t>EN2O vol (kg N20-N/ha)</t>
  </si>
  <si>
    <t>EN2O less (kg N20-N/ha)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</si>
  <si>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</si>
  <si>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</si>
  <si>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</si>
  <si>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</si>
  <si>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</si>
  <si>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</si>
  <si>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ECO2e engins (en teqCO2/ha/an)</t>
  </si>
  <si>
    <t>Consommation électricité pour l'irrigation (en kWh/ha/an)</t>
  </si>
  <si>
    <t>ECO2e irrigation (en teqCO2/ha/an)</t>
  </si>
  <si>
    <t>ECO2e energie (en teqCO2/ha/an)</t>
  </si>
  <si>
    <t>QP (en kgP2O5/ha/an)</t>
  </si>
  <si>
    <t>QK (en kgK2O/ha/an)</t>
  </si>
  <si>
    <t>ECO2engrais (en teqCO2/ha/an)</t>
  </si>
  <si>
    <t>ECO2plants</t>
  </si>
  <si>
    <t>MA = Matière Active</t>
  </si>
  <si>
    <t>Quantité MA Fongicides (kg/ha/an)</t>
  </si>
  <si>
    <t>Quantité MA Herbicides (kg/ha/an)</t>
  </si>
  <si>
    <t>Quantité MA Insecticides (kg/ha/an)</t>
  </si>
  <si>
    <t>Quantité MA Autres (kg/ha/an)</t>
  </si>
  <si>
    <t>ECO2phyto (en teqCO2/ha/an)</t>
  </si>
  <si>
    <t>ECO2e intrants (en teqCO2/ha/an)</t>
  </si>
  <si>
    <t>EGESprojet (en teqCO2/ha/an)</t>
  </si>
  <si>
    <t>Année 2</t>
  </si>
  <si>
    <t>attente modif texte méthode</t>
  </si>
  <si>
    <t>Année 3</t>
  </si>
  <si>
    <t>Année 4</t>
  </si>
  <si>
    <t>Année 5</t>
  </si>
  <si>
    <t>EGESprojet sur les 5 ans (en teqCO2/ha)</t>
  </si>
  <si>
    <t>RE sur 5 ans (en teqCO2/ha)</t>
  </si>
  <si>
    <t>EGESprojet sur les 5 ans (en teqCO2)</t>
  </si>
  <si>
    <t>Cet onglet est facultatif et n'est à remplir que si le porteur de projet fait le choix de valoriser des coproduits de son verger en énergie.</t>
  </si>
  <si>
    <t>Projet</t>
  </si>
  <si>
    <t>Pouvoir Calorifique Inférieur (PCI) du coproduit valorisé (en kWh PCI/ tonne)</t>
  </si>
  <si>
    <t>FE de l’énergie fossile substituée (en teq CO2/kWh PCI)</t>
  </si>
  <si>
    <t>EGES transport les émissions associées au transport du coproduit de son lieu de fabrication jusqu’au site énergétique (en teq CO2/tonne)</t>
  </si>
  <si>
    <t>Coefficient de substitution du coproduit du verger valorisé en phase de projet (en teq CO2/tonne)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</si>
  <si>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</si>
  <si>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</si>
  <si>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Référence pour une des 3 années précédant le projet</t>
  </si>
  <si>
    <t>Flux_CP ref, quantité de coproduits valorisées en énergie dans le scénario de référence (en tonnes)</t>
  </si>
  <si>
    <t>REIaval (teq CO2)</t>
  </si>
  <si>
    <t>Anthracite</t>
  </si>
  <si>
    <t>Butane - inclus maritime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</si>
  <si>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</si>
  <si>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</si>
  <si>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</si>
  <si>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</si>
  <si>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</si>
  <si>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</si>
  <si>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</si>
  <si>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</si>
  <si>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domestique</t>
  </si>
  <si>
    <t>Fioul lourd</t>
  </si>
  <si>
    <t>Gaz de cokerie</t>
  </si>
  <si>
    <t>Gaz de haut fourneau</t>
  </si>
  <si>
    <t>Gaz naturel</t>
  </si>
  <si>
    <t>Gazole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</si>
  <si>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</si>
  <si>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</si>
  <si>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</si>
  <si>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</si>
  <si>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</si>
  <si>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</si>
  <si>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</si>
  <si>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</si>
  <si>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</si>
  <si>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</si>
  <si>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</si>
  <si>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</si>
  <si>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</si>
  <si>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 xml:space="preserve">Energie fossile substituée </t>
  </si>
  <si>
    <t>FE (en teq CO2/kWh PCI)</t>
  </si>
  <si>
    <t>Combustibles fossiles liquides usage source fixe</t>
  </si>
  <si>
    <t>Combustible haute viscosité</t>
  </si>
  <si>
    <t>Fioul à base de carbone recyclé - VALORTEC - Basse teneur en soufre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</si>
  <si>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</si>
  <si>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</si>
  <si>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</si>
  <si>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</si>
  <si>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</si>
  <si>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</si>
  <si>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</si>
  <si>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</si>
  <si>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</si>
  <si>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</si>
  <si>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</si>
  <si>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</si>
  <si>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</si>
  <si>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</si>
  <si>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</si>
  <si>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>Combustibles fossiles liquides Usage sources mobiles Usage aérien</t>
  </si>
  <si>
    <t xml:space="preserve">Carbureacteur - large coupe (jet B) </t>
  </si>
  <si>
    <t xml:space="preserve">Essence aviation (AvGas) </t>
  </si>
  <si>
    <t xml:space="preserve">Kérosène - jet A1 ou A </t>
  </si>
  <si>
    <t>Combustibles fossiles liquides Usage sources mobiles autres usages</t>
  </si>
  <si>
    <t xml:space="preserve">Gazole non routier 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</si>
  <si>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</si>
  <si>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</si>
  <si>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</si>
  <si>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</si>
  <si>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</si>
  <si>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Si vous ne trouvez pas le FE correspondant, vous pouvez les retrouver dans le guide GESTIM+ ou la Base Carbone de l'Ademe.</t>
  </si>
  <si>
    <t>Année</t>
  </si>
  <si>
    <t>Stock_biomasse (en tC/ha)</t>
  </si>
  <si>
    <t>Stock_biomasse_projet (en tC/ha)</t>
  </si>
  <si>
    <t>Référence</t>
  </si>
  <si>
    <t>Stock_biomasse_référence (en tC/ha)</t>
  </si>
  <si>
    <t>Durée de vie de l’espèce fruitière + 1 an</t>
  </si>
  <si>
    <t>RECant_biom (teqCO2)</t>
  </si>
  <si>
    <t>Stock sol ref (teq CO2/ha)</t>
  </si>
  <si>
    <t>Stock sol projet (teq CO2/ha)</t>
  </si>
  <si>
    <t>Part enherbée (%)</t>
  </si>
  <si>
    <t>Durée de vie de l'espèce fruitière (années)</t>
  </si>
  <si>
    <t>RECant_sol (teq CO2)</t>
  </si>
  <si>
    <t>Rien n'est à compléter mais certaines valeurs doivent être reprises dans le Document Description de Projet (DDP)</t>
  </si>
  <si>
    <t>Avant rabais</t>
  </si>
  <si>
    <t>Option 1 (si non choisie, ne pas tenir compte du calcul)</t>
  </si>
  <si>
    <t>RECeff + REIamont (teq CO2)</t>
  </si>
  <si>
    <t>Option 2</t>
  </si>
  <si>
    <t>RECant_biom (teq CO2)</t>
  </si>
  <si>
    <t>RE (teq CO2)</t>
  </si>
  <si>
    <t>Avec rabais</t>
  </si>
  <si>
    <t>Variable</t>
  </si>
  <si>
    <t>Climat</t>
  </si>
  <si>
    <t>Climat_Usage</t>
  </si>
  <si>
    <t>Valeur</t>
  </si>
  <si>
    <t>Stock C sol (tC/ha)</t>
  </si>
  <si>
    <t>Prairies permanentes</t>
  </si>
  <si>
    <t>Viticulture</t>
  </si>
  <si>
    <t>Vergers</t>
  </si>
  <si>
    <t>Climat Sec Mediterranéen</t>
  </si>
  <si>
    <t>Friche herbacée</t>
  </si>
  <si>
    <t>Variation annuelle (tC/ha/an)</t>
  </si>
  <si>
    <t>Espèce fruitière</t>
  </si>
  <si>
    <t>Espèce -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</si>
  <si>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</si>
  <si>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</si>
  <si>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</si>
  <si>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</si>
  <si>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</si>
  <si>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</si>
  <si>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</si>
  <si>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</si>
  <si>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Clémentinier</t>
  </si>
  <si>
    <t>Cognassier</t>
  </si>
  <si>
    <t>Figuier</t>
  </si>
  <si>
    <t>Kiwi</t>
  </si>
  <si>
    <t>T-Barre</t>
  </si>
  <si>
    <t>Noisetier</t>
  </si>
  <si>
    <t>Pêcher</t>
  </si>
  <si>
    <t>Upsilon</t>
  </si>
  <si>
    <t>Palmette</t>
  </si>
  <si>
    <t>Poirier</t>
  </si>
  <si>
    <t>Pommier</t>
  </si>
  <si>
    <t>Prunier de table</t>
  </si>
  <si>
    <t>Climat non mediterranéen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</si>
  <si>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</si>
  <si>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</si>
  <si>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</si>
  <si>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</si>
  <si>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de vie de l'espèce fruitière</t>
  </si>
  <si>
    <t>Contexte climatique</t>
  </si>
  <si>
    <t>Durée - Usage ref</t>
  </si>
  <si>
    <t>REC ANT BIOM (tC/ha)</t>
  </si>
  <si>
    <t>Culture</t>
  </si>
  <si>
    <t>kg CO2 eq/ha</t>
  </si>
  <si>
    <t>Betterave sucrière, conventionnelle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</si>
  <si>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</si>
  <si>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</si>
  <si>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</si>
  <si>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</si>
  <si>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</si>
  <si>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</si>
  <si>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</si>
  <si>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</si>
  <si>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</si>
  <si>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</si>
  <si>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</si>
  <si>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</si>
  <si>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</si>
  <si>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</si>
  <si>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</si>
  <si>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</si>
  <si>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</si>
  <si>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</si>
  <si>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</si>
  <si>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</si>
  <si>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</si>
  <si>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</si>
  <si>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</si>
  <si>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</si>
  <si>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</si>
  <si>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</si>
  <si>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</si>
  <si>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</si>
  <si>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</si>
  <si>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</si>
  <si>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</si>
  <si>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</si>
  <si>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</si>
  <si>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</si>
  <si>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</si>
  <si>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</si>
  <si>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</si>
  <si>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</si>
  <si>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</si>
  <si>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</si>
  <si>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</si>
  <si>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</si>
  <si>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</si>
  <si>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</si>
  <si>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</si>
  <si>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</si>
  <si>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</si>
  <si>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</si>
  <si>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</si>
  <si>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Triticale, biologique (cas type), région Centre</t>
  </si>
  <si>
    <t>Triticale, conventionnelle – Moyenne nationale (France)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</si>
  <si>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</si>
  <si>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</si>
  <si>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</si>
  <si>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</si>
  <si>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</si>
  <si>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</si>
  <si>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</si>
  <si>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</si>
  <si>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</si>
  <si>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</si>
  <si>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Facteurs d'émissions (unité)</t>
  </si>
  <si>
    <t>EF1min (en kgN2O-N/kg N)</t>
  </si>
  <si>
    <t>EF1org (kg N2O-N/kg N)</t>
  </si>
  <si>
    <t>EF4 (en kg N2O-N/kg NH3-N + NOx-N)</t>
  </si>
  <si>
    <t>EF5 (en kg N2O-N/kg N lessivé)</t>
  </si>
  <si>
    <t>FE indirect électricité (en kg CO2 eq/kWh)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</si>
  <si>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</si>
  <si>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</si>
  <si>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</si>
  <si>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FE fongicides</t>
  </si>
  <si>
    <t>FE herbicides</t>
  </si>
  <si>
    <t>FE insecticides</t>
  </si>
  <si>
    <t>FE autres</t>
  </si>
  <si>
    <t xml:space="preserve">Frac GASF (en kg NH3-N + NOx-N /kg N apporté) (valeur IPCC 2019 par défaut) </t>
  </si>
  <si>
    <t xml:space="preserve">Frac GASM (en kg NH3-N + NOx-N /kg N apporté) (valeur IPCC 2019 par défaut) </t>
  </si>
  <si>
    <t>Frac LESS (en kg N /kg N apporté) (valeur IPCC 2019 par défaut)</t>
  </si>
  <si>
    <t>Combustible</t>
  </si>
  <si>
    <t>Unité</t>
  </si>
  <si>
    <t>FE (kg eqCO2/unité)</t>
  </si>
  <si>
    <t>FE directes (kg eq CO2/unité)</t>
  </si>
  <si>
    <t>FE indirectes (kg eq CO2/unité)</t>
  </si>
  <si>
    <t>Litres</t>
  </si>
  <si>
    <t>Essence</t>
  </si>
  <si>
    <t>kg</t>
  </si>
  <si>
    <t>kWh</t>
  </si>
  <si>
    <t>Butane/Propane</t>
  </si>
  <si>
    <t>PRG N2O (IPCC 2013)</t>
  </si>
  <si>
    <t>Verger hors climat sec méditerranéen</t>
  </si>
  <si>
    <t xml:space="preserve">Verger en climat Sec Méditerranéen </t>
  </si>
  <si>
    <t xml:space="preserve">Usage de référence </t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</si>
  <si>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</si>
  <si>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Sources</t>
  </si>
  <si>
    <t>OMINEA, 2020</t>
  </si>
  <si>
    <t>IFN/FCBA/SOLAGRO, 2009</t>
  </si>
  <si>
    <t>Chiti et al., 2018</t>
  </si>
  <si>
    <t>Verger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</si>
  <si>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</si>
  <si>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</si>
  <si>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t xml:space="preserve">Verger en climat Sec Méditerranéen (en tC/ha) </t>
  </si>
  <si>
    <t>Verger hors climat sec méditerranéen (en tC/ha)</t>
  </si>
  <si>
    <t>Source</t>
  </si>
  <si>
    <t>MediNet</t>
  </si>
  <si>
    <t>GIS Fruits (RMQS)</t>
  </si>
  <si>
    <t>Verger en climat Sec Méditerranéen (en tC/ha)</t>
  </si>
  <si>
    <t>Effenherb (en tC/ha/an)</t>
  </si>
  <si>
    <t>Facteur de conversion GJ en kWh</t>
  </si>
  <si>
    <t>Climats</t>
  </si>
  <si>
    <t>Durée de vie</t>
  </si>
  <si>
    <t xml:space="preserve">Prairies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</si>
</sst>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3C4043"/>
      <name val="Roboto"/>
      <charset val="1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6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3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3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3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7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3" fillId="0" borderId="0" xfId="0" applyFont="1"/>
    <xf numFmtId="164" fontId="10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3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0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3" fillId="0" borderId="0" xfId="0" applyFont="1" applyAlignment="1">
      <alignment horizontal="right"/>
    </xf>
    <xf numFmtId="2" fontId="3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3" fillId="2" borderId="4" xfId="0" applyFont="1" applyFill="1" applyBorder="1"/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3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10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3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3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10" fillId="16" borderId="0" xfId="0" applyFont="1" applyFill="1" applyAlignment="1" applyProtection="1">
      <alignment horizontal="center"/>
      <protection locked="0"/>
    </xf>
    <xf numFmtId="0" fontId="10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30" fillId="15" borderId="0" xfId="0" applyNumberFormat="1" applyFont="1" applyFill="1"/>
    <xf numFmtId="0" fontId="31" fillId="0" borderId="0" xfId="0" applyFont="1" applyProtection="1">
      <protection locked="0"/>
    </xf>
    <xf numFmtId="0" fontId="0" fillId="8" borderId="0" xfId="0" applyFill="1" applyAlignment="1">
      <alignment horizontal="center" vertical="center" wrapText="1"/>
    </xf>
    <xf numFmtId="0" fontId="20" fillId="14" borderId="0" xfId="0" applyFont="1" applyFill="1" applyAlignment="1">
      <alignment horizontal="left" vertical="center" wrapText="1"/>
    </xf>
    <xf numFmtId="0" fontId="20" fillId="14" borderId="15" xfId="0" applyFont="1" applyFill="1" applyBorder="1" applyAlignment="1">
      <alignment horizontal="left" vertical="center" wrapText="1"/>
    </xf>
    <xf numFmtId="0" fontId="20" fillId="14" borderId="16" xfId="0" applyFont="1" applyFill="1" applyBorder="1" applyAlignment="1">
      <alignment horizontal="left" vertical="center" wrapText="1"/>
    </xf>
    <xf numFmtId="0" fontId="20" fillId="14" borderId="17" xfId="0" applyFont="1" applyFill="1" applyBorder="1" applyAlignment="1">
      <alignment horizontal="left" vertical="center" wrapText="1"/>
    </xf>
    <xf numFmtId="0" fontId="20" fillId="14" borderId="18" xfId="0" applyFont="1" applyFill="1" applyBorder="1" applyAlignment="1">
      <alignment horizontal="left" vertical="center" wrapText="1"/>
    </xf>
    <xf numFmtId="0" fontId="20" fillId="14" borderId="19" xfId="0" applyFont="1" applyFill="1" applyBorder="1" applyAlignment="1">
      <alignment horizontal="left" vertical="center" wrapText="1"/>
    </xf>
    <xf numFmtId="0" fontId="20" fillId="14" borderId="20" xfId="0" applyFont="1" applyFill="1" applyBorder="1" applyAlignment="1">
      <alignment horizontal="left" vertical="center" wrapText="1"/>
    </xf>
    <xf numFmtId="0" fontId="20" fillId="14" borderId="21" xfId="0" applyFont="1" applyFill="1" applyBorder="1" applyAlignment="1">
      <alignment horizontal="left" vertical="center" wrapText="1"/>
    </xf>
    <xf numFmtId="0" fontId="20" fillId="14" borderId="22" xfId="0" applyFont="1" applyFill="1" applyBorder="1" applyAlignment="1">
      <alignment horizontal="left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3" fillId="13" borderId="13" xfId="0" applyFont="1" applyFill="1" applyBorder="1" applyAlignment="1">
      <alignment horizontal="center" vertical="center" wrapText="1"/>
    </xf>
    <xf numFmtId="0" fontId="3" fillId="13" borderId="14" xfId="0" applyFont="1" applyFill="1" applyBorder="1" applyAlignment="1">
      <alignment horizontal="center" vertical="center" wrapText="1"/>
    </xf>
    <xf numFmtId="0" fontId="25" fillId="11" borderId="23" xfId="0" applyFont="1" applyFill="1" applyBorder="1" applyAlignment="1">
      <alignment horizontal="center" vertical="center" wrapText="1"/>
    </xf>
    <xf numFmtId="0" fontId="25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ColWidth="11.5" defaultRowHeight="15" x14ac:dyDescent="0.2"/>
  <cols>
    <col min="1" max="1" width="4.83203125" customWidth="1"/>
    <col min="15" max="15" width="11.5" customWidth="1"/>
  </cols>
  <sheetData>
    <row r="3" spans="2:16" ht="15" customHeight="1" x14ac:dyDescent="0.2">
      <c r="K3" s="90" t="s">
        <v>0</v>
      </c>
      <c r="L3" s="90"/>
      <c r="M3" s="90"/>
      <c r="N3" s="90"/>
      <c r="O3" s="90"/>
      <c r="P3" s="90"/>
    </row>
    <row r="4" spans="2:16" x14ac:dyDescent="0.2">
      <c r="K4" s="90"/>
      <c r="L4" s="90"/>
      <c r="M4" s="90"/>
      <c r="N4" s="90"/>
      <c r="O4" s="90"/>
      <c r="P4" s="90"/>
    </row>
    <row r="5" spans="2:16" x14ac:dyDescent="0.2">
      <c r="K5" s="90"/>
      <c r="L5" s="90"/>
      <c r="M5" s="90"/>
      <c r="N5" s="90"/>
      <c r="O5" s="90"/>
      <c r="P5" s="90"/>
    </row>
    <row r="7" spans="2:16" ht="15" customHeight="1" x14ac:dyDescent="0.2">
      <c r="B7" s="91" t="s">
        <v>1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</row>
    <row r="8" spans="2:16" ht="15" customHeight="1" x14ac:dyDescent="0.2"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</row>
    <row r="9" spans="2:16" ht="15" customHeight="1" x14ac:dyDescent="0.2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</row>
    <row r="11" spans="2:16" ht="15" customHeight="1" x14ac:dyDescent="0.2">
      <c r="B11" s="92" t="s">
        <v>2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4"/>
    </row>
    <row r="12" spans="2:16" ht="15" customHeight="1" x14ac:dyDescent="0.2">
      <c r="B12" s="95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6"/>
    </row>
    <row r="13" spans="2:16" ht="15" customHeight="1" x14ac:dyDescent="0.2">
      <c r="B13" s="95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6"/>
    </row>
    <row r="14" spans="2:16" ht="15" customHeight="1" x14ac:dyDescent="0.2">
      <c r="B14" s="95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6"/>
    </row>
    <row r="15" spans="2:16" ht="15" customHeight="1" x14ac:dyDescent="0.2">
      <c r="B15" s="95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6"/>
    </row>
    <row r="16" spans="2:16" ht="15" customHeight="1" x14ac:dyDescent="0.2">
      <c r="B16" s="95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6"/>
    </row>
    <row r="17" spans="2:16" ht="15" customHeight="1" x14ac:dyDescent="0.2">
      <c r="B17" s="95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6"/>
    </row>
    <row r="18" spans="2:16" ht="15" customHeight="1" x14ac:dyDescent="0.2">
      <c r="B18" s="95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6"/>
    </row>
    <row r="19" spans="2:16" ht="15" customHeight="1" x14ac:dyDescent="0.2">
      <c r="B19" s="95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6"/>
    </row>
    <row r="20" spans="2:16" ht="15" customHeight="1" x14ac:dyDescent="0.2">
      <c r="B20" s="95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6"/>
    </row>
    <row r="21" spans="2:16" ht="15" customHeight="1" x14ac:dyDescent="0.2">
      <c r="B21" s="95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6"/>
    </row>
    <row r="22" spans="2:16" ht="15" customHeight="1" x14ac:dyDescent="0.2">
      <c r="B22" s="95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6"/>
    </row>
    <row r="23" spans="2:16" ht="15" customHeight="1" x14ac:dyDescent="0.2">
      <c r="B23" s="95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6"/>
    </row>
    <row r="24" spans="2:16" ht="15" customHeight="1" x14ac:dyDescent="0.2">
      <c r="B24" s="95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6"/>
    </row>
    <row r="25" spans="2:16" ht="15.75" customHeight="1" x14ac:dyDescent="0.2">
      <c r="B25" s="95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6"/>
    </row>
    <row r="26" spans="2:16" ht="15.75" customHeight="1" x14ac:dyDescent="0.2">
      <c r="B26" s="95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6"/>
    </row>
    <row r="27" spans="2:16" ht="15.75" customHeight="1" x14ac:dyDescent="0.2">
      <c r="B27" s="95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6"/>
    </row>
    <row r="28" spans="2:16" ht="15.75" customHeight="1" x14ac:dyDescent="0.2">
      <c r="B28" s="95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6"/>
    </row>
    <row r="29" spans="2:16" ht="15.75" customHeight="1" x14ac:dyDescent="0.2">
      <c r="B29" s="95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6"/>
    </row>
    <row r="30" spans="2:16" ht="15.75" customHeight="1" x14ac:dyDescent="0.2"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9"/>
    </row>
    <row r="32" spans="2:16" ht="22.5" customHeight="1" x14ac:dyDescent="0.2">
      <c r="B32" s="91" t="s">
        <v>3</v>
      </c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</row>
    <row r="33" spans="2:16" x14ac:dyDescent="0.2"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</row>
    <row r="34" spans="2:16" x14ac:dyDescent="0.2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5" defaultRowHeight="15" x14ac:dyDescent="0.2"/>
  <cols>
    <col min="1" max="1" width="25" bestFit="1" customWidth="1"/>
    <col min="2" max="2" width="20.1640625" bestFit="1" customWidth="1"/>
    <col min="3" max="3" width="15.5" bestFit="1" customWidth="1"/>
  </cols>
  <sheetData>
    <row r="1" spans="1:6" x14ac:dyDescent="0.2">
      <c r="A1" s="23" t="s">
        <v>344</v>
      </c>
      <c r="B1" s="23" t="s">
        <v>32</v>
      </c>
      <c r="C1" s="23" t="s">
        <v>203</v>
      </c>
      <c r="D1" s="23" t="s">
        <v>25</v>
      </c>
      <c r="E1" s="23" t="s">
        <v>345</v>
      </c>
      <c r="F1" t="s">
        <v>234</v>
      </c>
    </row>
    <row r="2" spans="1:6" x14ac:dyDescent="0.2">
      <c r="A2" t="s">
        <v>29</v>
      </c>
      <c r="B2" t="s">
        <v>33</v>
      </c>
      <c r="C2" t="s">
        <v>206</v>
      </c>
      <c r="D2" t="s">
        <v>210</v>
      </c>
      <c r="E2" s="60">
        <v>10</v>
      </c>
      <c r="F2" t="s">
        <v>236</v>
      </c>
    </row>
    <row r="3" spans="1:6" x14ac:dyDescent="0.2">
      <c r="A3" t="s">
        <v>200</v>
      </c>
      <c r="B3" t="s">
        <v>346</v>
      </c>
      <c r="C3" t="s">
        <v>208</v>
      </c>
      <c r="D3" t="s">
        <v>207</v>
      </c>
      <c r="E3" s="60">
        <v>11</v>
      </c>
      <c r="F3" t="s">
        <v>37</v>
      </c>
    </row>
    <row r="4" spans="1:6" x14ac:dyDescent="0.2">
      <c r="B4" t="s">
        <v>198</v>
      </c>
      <c r="C4" t="s">
        <v>209</v>
      </c>
      <c r="D4" t="s">
        <v>221</v>
      </c>
      <c r="E4" s="60">
        <v>12</v>
      </c>
      <c r="F4" t="s">
        <v>237</v>
      </c>
    </row>
    <row r="5" spans="1:6" x14ac:dyDescent="0.2">
      <c r="C5" t="s">
        <v>211</v>
      </c>
      <c r="D5" t="s">
        <v>26</v>
      </c>
      <c r="E5" s="60">
        <v>13</v>
      </c>
      <c r="F5" t="s">
        <v>238</v>
      </c>
    </row>
    <row r="6" spans="1:6" x14ac:dyDescent="0.2">
      <c r="C6" t="s">
        <v>212</v>
      </c>
      <c r="D6" t="s">
        <v>217</v>
      </c>
      <c r="E6" s="60">
        <v>14</v>
      </c>
      <c r="F6" t="s">
        <v>239</v>
      </c>
    </row>
    <row r="7" spans="1:6" x14ac:dyDescent="0.2">
      <c r="C7" t="s">
        <v>213</v>
      </c>
      <c r="D7" t="s">
        <v>220</v>
      </c>
      <c r="E7" s="60">
        <v>15</v>
      </c>
      <c r="F7" t="s">
        <v>240</v>
      </c>
    </row>
    <row r="8" spans="1:6" x14ac:dyDescent="0.2">
      <c r="C8" t="s">
        <v>214</v>
      </c>
      <c r="E8" s="60">
        <v>16</v>
      </c>
      <c r="F8" t="s">
        <v>241</v>
      </c>
    </row>
    <row r="9" spans="1:6" x14ac:dyDescent="0.2">
      <c r="C9" t="s">
        <v>215</v>
      </c>
      <c r="E9" s="60">
        <v>17</v>
      </c>
      <c r="F9" t="s">
        <v>242</v>
      </c>
    </row>
    <row r="10" spans="1:6" x14ac:dyDescent="0.2">
      <c r="C10" t="s">
        <v>216</v>
      </c>
      <c r="E10" s="60">
        <v>18</v>
      </c>
      <c r="F10" t="s">
        <v>243</v>
      </c>
    </row>
    <row r="11" spans="1:6" x14ac:dyDescent="0.2">
      <c r="C11" t="s">
        <v>218</v>
      </c>
      <c r="E11" s="60">
        <v>19</v>
      </c>
      <c r="F11" t="s">
        <v>244</v>
      </c>
    </row>
    <row r="12" spans="1:6" x14ac:dyDescent="0.2">
      <c r="C12" t="s">
        <v>23</v>
      </c>
      <c r="E12" s="60">
        <v>20</v>
      </c>
      <c r="F12" t="s">
        <v>245</v>
      </c>
    </row>
    <row r="13" spans="1:6" x14ac:dyDescent="0.2">
      <c r="C13" t="s">
        <v>219</v>
      </c>
      <c r="F13" t="s">
        <v>246</v>
      </c>
    </row>
    <row r="14" spans="1:6" x14ac:dyDescent="0.2">
      <c r="C14" t="s">
        <v>222</v>
      </c>
      <c r="F14" t="s">
        <v>247</v>
      </c>
    </row>
    <row r="15" spans="1:6" x14ac:dyDescent="0.2">
      <c r="C15" t="s">
        <v>223</v>
      </c>
      <c r="F15" t="s">
        <v>248</v>
      </c>
    </row>
    <row r="16" spans="1:6" x14ac:dyDescent="0.2">
      <c r="C16" t="s">
        <v>224</v>
      </c>
      <c r="F16" t="s">
        <v>249</v>
      </c>
    </row>
    <row r="17" spans="6:6" x14ac:dyDescent="0.2">
      <c r="F17" t="s">
        <v>250</v>
      </c>
    </row>
    <row r="18" spans="6:6" x14ac:dyDescent="0.2">
      <c r="F18" t="s">
        <v>251</v>
      </c>
    </row>
    <row r="19" spans="6:6" x14ac:dyDescent="0.2">
      <c r="F19" t="s">
        <v>252</v>
      </c>
    </row>
    <row r="20" spans="6:6" x14ac:dyDescent="0.2">
      <c r="F20" t="s">
        <v>253</v>
      </c>
    </row>
    <row r="21" spans="6:6" x14ac:dyDescent="0.2">
      <c r="F21" t="s">
        <v>254</v>
      </c>
    </row>
    <row r="22" spans="6:6" x14ac:dyDescent="0.2">
      <c r="F22" t="s">
        <v>255</v>
      </c>
    </row>
    <row r="23" spans="6:6" x14ac:dyDescent="0.2">
      <c r="F23" t="s">
        <v>256</v>
      </c>
    </row>
    <row r="24" spans="6:6" x14ac:dyDescent="0.2">
      <c r="F24" t="s">
        <v>257</v>
      </c>
    </row>
    <row r="25" spans="6:6" x14ac:dyDescent="0.2">
      <c r="F25" t="s">
        <v>258</v>
      </c>
    </row>
    <row r="26" spans="6:6" x14ac:dyDescent="0.2">
      <c r="F26" t="s">
        <v>259</v>
      </c>
    </row>
    <row r="27" spans="6:6" x14ac:dyDescent="0.2">
      <c r="F27" t="s">
        <v>260</v>
      </c>
    </row>
    <row r="28" spans="6:6" x14ac:dyDescent="0.2">
      <c r="F28" t="s">
        <v>261</v>
      </c>
    </row>
    <row r="29" spans="6:6" x14ac:dyDescent="0.2">
      <c r="F29" t="s">
        <v>262</v>
      </c>
    </row>
    <row r="30" spans="6:6" x14ac:dyDescent="0.2">
      <c r="F30" t="s">
        <v>263</v>
      </c>
    </row>
    <row r="31" spans="6:6" x14ac:dyDescent="0.2">
      <c r="F31" t="s">
        <v>264</v>
      </c>
    </row>
    <row r="32" spans="6:6" x14ac:dyDescent="0.2">
      <c r="F32" t="s">
        <v>265</v>
      </c>
    </row>
    <row r="33" spans="6:6" x14ac:dyDescent="0.2">
      <c r="F33" t="s">
        <v>266</v>
      </c>
    </row>
    <row r="34" spans="6:6" x14ac:dyDescent="0.2">
      <c r="F34" t="s">
        <v>267</v>
      </c>
    </row>
    <row r="35" spans="6:6" x14ac:dyDescent="0.2">
      <c r="F35" t="s">
        <v>268</v>
      </c>
    </row>
    <row r="36" spans="6:6" x14ac:dyDescent="0.2">
      <c r="F36" t="s">
        <v>269</v>
      </c>
    </row>
    <row r="37" spans="6:6" x14ac:dyDescent="0.2">
      <c r="F37" t="s">
        <v>35</v>
      </c>
    </row>
    <row r="38" spans="6:6" x14ac:dyDescent="0.2">
      <c r="F38" t="s">
        <v>270</v>
      </c>
    </row>
    <row r="39" spans="6:6" x14ac:dyDescent="0.2">
      <c r="F39" t="s">
        <v>271</v>
      </c>
    </row>
    <row r="40" spans="6:6" x14ac:dyDescent="0.2">
      <c r="F40" t="s">
        <v>272</v>
      </c>
    </row>
    <row r="41" spans="6:6" x14ac:dyDescent="0.2">
      <c r="F41" t="s">
        <v>273</v>
      </c>
    </row>
    <row r="42" spans="6:6" x14ac:dyDescent="0.2">
      <c r="F42" t="s">
        <v>274</v>
      </c>
    </row>
    <row r="43" spans="6:6" x14ac:dyDescent="0.2">
      <c r="F43" t="s">
        <v>275</v>
      </c>
    </row>
    <row r="44" spans="6:6" x14ac:dyDescent="0.2">
      <c r="F44" t="s">
        <v>276</v>
      </c>
    </row>
    <row r="45" spans="6:6" x14ac:dyDescent="0.2">
      <c r="F45" t="s">
        <v>277</v>
      </c>
    </row>
    <row r="46" spans="6:6" x14ac:dyDescent="0.2">
      <c r="F46" t="s">
        <v>278</v>
      </c>
    </row>
    <row r="47" spans="6:6" x14ac:dyDescent="0.2">
      <c r="F47" t="s">
        <v>279</v>
      </c>
    </row>
    <row r="48" spans="6:6" x14ac:dyDescent="0.2">
      <c r="F48" t="s">
        <v>280</v>
      </c>
    </row>
    <row r="49" spans="6:6" x14ac:dyDescent="0.2">
      <c r="F49" t="s">
        <v>281</v>
      </c>
    </row>
    <row r="50" spans="6:6" x14ac:dyDescent="0.2">
      <c r="F50" t="s">
        <v>282</v>
      </c>
    </row>
    <row r="51" spans="6:6" x14ac:dyDescent="0.2">
      <c r="F51" t="s">
        <v>283</v>
      </c>
    </row>
    <row r="52" spans="6:6" x14ac:dyDescent="0.2">
      <c r="F52" t="s">
        <v>284</v>
      </c>
    </row>
    <row r="53" spans="6:6" x14ac:dyDescent="0.2">
      <c r="F53" t="s">
        <v>285</v>
      </c>
    </row>
    <row r="54" spans="6:6" x14ac:dyDescent="0.2">
      <c r="F54" t="s">
        <v>39</v>
      </c>
    </row>
    <row r="55" spans="6:6" x14ac:dyDescent="0.2">
      <c r="F55" t="s">
        <v>286</v>
      </c>
    </row>
    <row r="56" spans="6:6" x14ac:dyDescent="0.2">
      <c r="F56" t="s">
        <v>287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15" zoomScale="70" zoomScaleNormal="70" workbookViewId="0">
      <selection activeCell="B22" sqref="B22"/>
    </sheetView>
  </sheetViews>
  <sheetFormatPr baseColWidth="10" defaultColWidth="11.5" defaultRowHeight="15" x14ac:dyDescent="0.2"/>
  <cols>
    <col min="1" max="1" width="71.33203125" customWidth="1"/>
    <col min="2" max="2" width="16.5" style="2" customWidth="1"/>
    <col min="3" max="3" width="14.6640625" style="2" customWidth="1"/>
    <col min="4" max="4" width="17" style="2" customWidth="1"/>
    <col min="5" max="5" width="15" style="2" customWidth="1"/>
    <col min="6" max="6" width="16.164062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5" style="2"/>
  </cols>
  <sheetData>
    <row r="1" spans="1:52" ht="12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5" customHeight="1" x14ac:dyDescent="0.2">
      <c r="A2" s="103" t="s">
        <v>4</v>
      </c>
      <c r="B2" s="104"/>
      <c r="C2" s="31" t="s">
        <v>5</v>
      </c>
      <c r="D2"/>
      <c r="E2"/>
      <c r="F2"/>
      <c r="G2"/>
      <c r="H2"/>
      <c r="I2"/>
      <c r="J2"/>
      <c r="K2"/>
      <c r="AG2" s="2" t="s">
        <v>6</v>
      </c>
    </row>
    <row r="3" spans="1:52" x14ac:dyDescent="0.2">
      <c r="A3" s="2"/>
      <c r="AG3" s="2" t="s">
        <v>5</v>
      </c>
    </row>
    <row r="4" spans="1:52" customFormat="1" ht="16" thickBot="1" x14ac:dyDescent="0.2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25">
      <c r="A5" s="100" t="s">
        <v>7</v>
      </c>
      <c r="B5" s="101"/>
      <c r="C5" s="101"/>
      <c r="D5" s="101"/>
      <c r="E5" s="101"/>
      <c r="F5" s="101"/>
      <c r="G5" s="101"/>
      <c r="H5" s="101"/>
      <c r="I5" s="101"/>
      <c r="J5" s="101"/>
      <c r="K5" s="10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ht="16" x14ac:dyDescent="0.2">
      <c r="A6" s="75"/>
      <c r="B6" s="76" t="s">
        <v>8</v>
      </c>
      <c r="C6" s="76" t="s">
        <v>9</v>
      </c>
      <c r="D6" s="76" t="s">
        <v>10</v>
      </c>
      <c r="E6" s="76" t="s">
        <v>11</v>
      </c>
      <c r="F6" s="76" t="s">
        <v>12</v>
      </c>
      <c r="G6" s="76" t="s">
        <v>13</v>
      </c>
      <c r="H6" s="76" t="s">
        <v>14</v>
      </c>
      <c r="I6" s="76" t="s">
        <v>15</v>
      </c>
      <c r="J6" s="76" t="s">
        <v>16</v>
      </c>
      <c r="K6" s="76" t="s">
        <v>17</v>
      </c>
      <c r="L6" s="84" t="s">
        <v>18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ht="16" x14ac:dyDescent="0.2">
      <c r="A7" s="3" t="s">
        <v>19</v>
      </c>
      <c r="B7" s="89" t="s">
        <v>20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16" x14ac:dyDescent="0.2">
      <c r="A8" s="3" t="s">
        <v>21</v>
      </c>
      <c r="B8" s="25">
        <v>6.5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6.5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ht="16" x14ac:dyDescent="0.2">
      <c r="A9" s="3" t="s">
        <v>22</v>
      </c>
      <c r="B9" s="1" t="s">
        <v>23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32" x14ac:dyDescent="0.2">
      <c r="A10" s="3" t="s">
        <v>24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ht="16" x14ac:dyDescent="0.2">
      <c r="A11" s="3" t="s">
        <v>25</v>
      </c>
      <c r="B11" s="1" t="s">
        <v>26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ht="16" x14ac:dyDescent="0.2">
      <c r="A12" s="3" t="s">
        <v>27</v>
      </c>
      <c r="B12" s="1">
        <v>100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2">
      <c r="A13" s="3" t="s">
        <v>28</v>
      </c>
      <c r="B13" s="26" t="s">
        <v>29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ht="16" x14ac:dyDescent="0.2">
      <c r="A14" s="3" t="s">
        <v>30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ht="16" x14ac:dyDescent="0.2">
      <c r="A15" s="3" t="s">
        <v>31</v>
      </c>
      <c r="B15" s="28">
        <v>0.8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16" x14ac:dyDescent="0.2">
      <c r="A16" s="3" t="s">
        <v>32</v>
      </c>
      <c r="B16" s="1" t="s">
        <v>33</v>
      </c>
      <c r="C16" s="1"/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30" x14ac:dyDescent="0.2">
      <c r="A17" s="4" t="s">
        <v>34</v>
      </c>
      <c r="B17" s="1" t="s">
        <v>35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30" x14ac:dyDescent="0.2">
      <c r="A18" s="4" t="s">
        <v>36</v>
      </c>
      <c r="B18" s="1" t="s">
        <v>37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30" x14ac:dyDescent="0.2">
      <c r="A19" s="4" t="s">
        <v>38</v>
      </c>
      <c r="B19" s="1" t="s">
        <v>39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16" x14ac:dyDescent="0.2">
      <c r="A20" s="3" t="s">
        <v>40</v>
      </c>
      <c r="B20" s="29">
        <v>18.72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31" x14ac:dyDescent="0.2">
      <c r="A21" s="3" t="s">
        <v>41</v>
      </c>
      <c r="B21" s="30">
        <v>25.22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6" thickBo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6" thickBot="1" x14ac:dyDescent="0.25">
      <c r="A24" s="100" t="s">
        <v>42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2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ht="16" x14ac:dyDescent="0.2">
      <c r="A25" s="6" t="s">
        <v>43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t="16" hidden="1" x14ac:dyDescent="0.2">
      <c r="A26" s="6" t="s">
        <v>44</v>
      </c>
      <c r="B26" s="10" t="str">
        <f t="shared" ref="B26:K26" si="0">CONCATENATE(B9," - ",B11)</f>
        <v>Noyer - Plein vent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ht="16" x14ac:dyDescent="0.2">
      <c r="A27" s="7" t="s">
        <v>45</v>
      </c>
      <c r="B27" s="11">
        <f>IF(B12="","",VLOOKUP(B26,'(ne pas modifier) BDD_REF'!$C$21:$D$42,2,FALSE))</f>
        <v>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32" x14ac:dyDescent="0.2">
      <c r="A28" s="7" t="s">
        <v>46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2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ht="16" x14ac:dyDescent="0.2">
      <c r="A30" s="6" t="s">
        <v>47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2">
      <c r="A31" s="7" t="s">
        <v>48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2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ht="16" x14ac:dyDescent="0.2">
      <c r="A33" s="6" t="s">
        <v>49</v>
      </c>
      <c r="L33" s="85" t="s">
        <v>18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8" hidden="1" x14ac:dyDescent="0.2">
      <c r="A34" s="7" t="s">
        <v>50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64" hidden="1" x14ac:dyDescent="0.2">
      <c r="A35" s="7" t="s">
        <v>51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ht="16" x14ac:dyDescent="0.2">
      <c r="A36" s="7" t="s">
        <v>52</v>
      </c>
      <c r="B36" s="44">
        <f>RECant_sol!C9</f>
        <v>67.686666666666667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67.686666666666667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ht="16" x14ac:dyDescent="0.2">
      <c r="A37" s="7" t="s">
        <v>53</v>
      </c>
      <c r="B37" s="45">
        <f>RECant_biom!C28</f>
        <v>266.59285714285721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266.59285714285721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ht="16" x14ac:dyDescent="0.2">
      <c r="A38" s="46" t="s">
        <v>54</v>
      </c>
      <c r="B38" s="45">
        <f t="shared" ref="B38:K38" si="3">IF(B36="","",B36+B37)</f>
        <v>334.27952380952388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334.27952380952388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ht="16" x14ac:dyDescent="0.2">
      <c r="A39" s="7" t="s">
        <v>48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2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2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ht="16" x14ac:dyDescent="0.2">
      <c r="A42" s="6" t="s">
        <v>55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ht="16" x14ac:dyDescent="0.2">
      <c r="A43" s="7" t="s">
        <v>48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">
      <c r="A54" s="2"/>
    </row>
    <row r="55" spans="1:11" x14ac:dyDescent="0.2">
      <c r="A55" s="2"/>
    </row>
    <row r="56" spans="1:11" x14ac:dyDescent="0.2">
      <c r="A56" s="2"/>
    </row>
    <row r="57" spans="1:11" x14ac:dyDescent="0.2">
      <c r="A57" s="2"/>
    </row>
    <row r="58" spans="1:11" x14ac:dyDescent="0.2">
      <c r="A58" s="2"/>
    </row>
    <row r="59" spans="1:11" x14ac:dyDescent="0.2">
      <c r="A59" s="2"/>
    </row>
    <row r="60" spans="1:11" x14ac:dyDescent="0.2">
      <c r="A60" s="2"/>
    </row>
    <row r="61" spans="1:11" x14ac:dyDescent="0.2">
      <c r="A61" s="2"/>
    </row>
    <row r="62" spans="1:11" x14ac:dyDescent="0.2">
      <c r="A62" s="2"/>
    </row>
    <row r="63" spans="1:11" x14ac:dyDescent="0.2">
      <c r="A63" s="2"/>
    </row>
    <row r="64" spans="1:11" x14ac:dyDescent="0.2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5" defaultRowHeight="15" x14ac:dyDescent="0.2"/>
  <cols>
    <col min="1" max="1" width="46.6640625" customWidth="1"/>
  </cols>
  <sheetData>
    <row r="2" spans="1:14" ht="14.25" customHeight="1" x14ac:dyDescent="0.2">
      <c r="A2" s="105" t="s">
        <v>56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7"/>
    </row>
    <row r="3" spans="1:14" x14ac:dyDescent="0.2">
      <c r="M3" s="2"/>
      <c r="N3" s="2"/>
    </row>
    <row r="4" spans="1:14" ht="32" x14ac:dyDescent="0.2"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57</v>
      </c>
      <c r="M4" s="2"/>
      <c r="N4" s="2"/>
    </row>
    <row r="5" spans="1:14" ht="16" x14ac:dyDescent="0.2">
      <c r="A5" s="3" t="s">
        <v>58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2.4999211875155329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2.4999211875155329</v>
      </c>
      <c r="M5" s="2"/>
      <c r="N5" s="2"/>
    </row>
    <row r="6" spans="1:14" ht="16" x14ac:dyDescent="0.2">
      <c r="A6" s="3" t="s">
        <v>59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ht="16" x14ac:dyDescent="0.2">
      <c r="A7" s="3" t="s">
        <v>60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-81.247438594254817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-81.247438594254817</v>
      </c>
      <c r="M7" s="2"/>
      <c r="N7" s="2"/>
    </row>
    <row r="8" spans="1:14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33" zoomScale="150" zoomScaleNormal="70" workbookViewId="0">
      <selection activeCell="C139" sqref="C139"/>
    </sheetView>
  </sheetViews>
  <sheetFormatPr baseColWidth="10" defaultColWidth="11.5" defaultRowHeight="15" x14ac:dyDescent="0.2"/>
  <cols>
    <col min="1" max="1" width="12.5" style="17" customWidth="1"/>
    <col min="2" max="2" width="53.83203125" customWidth="1"/>
    <col min="3" max="12" width="11.5" style="2"/>
    <col min="14" max="15" width="11.5" style="2"/>
    <col min="109" max="16384" width="11.5" style="2"/>
  </cols>
  <sheetData>
    <row r="2" spans="1:15" ht="36.5" customHeight="1" x14ac:dyDescent="0.2">
      <c r="B2" s="108" t="s">
        <v>61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5" customFormat="1" ht="29" customHeight="1" x14ac:dyDescent="0.2"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14" t="s">
        <v>57</v>
      </c>
      <c r="N4" s="2"/>
      <c r="O4" s="2"/>
    </row>
    <row r="5" spans="1:15" customFormat="1" ht="16" x14ac:dyDescent="0.2">
      <c r="A5" s="17"/>
      <c r="B5" s="3" t="s">
        <v>62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2.4999211875155329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2.4999211875155329</v>
      </c>
      <c r="N5" s="2"/>
      <c r="O5" s="2"/>
    </row>
    <row r="6" spans="1:15" customFormat="1" x14ac:dyDescent="0.2">
      <c r="A6" s="17"/>
      <c r="N6" s="2"/>
      <c r="O6" s="2"/>
    </row>
    <row r="7" spans="1:15" ht="16" x14ac:dyDescent="0.2">
      <c r="A7" s="13" t="s">
        <v>63</v>
      </c>
      <c r="B7" s="7" t="s">
        <v>64</v>
      </c>
      <c r="C7" s="80">
        <v>0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ht="16" x14ac:dyDescent="0.2">
      <c r="B8" s="7" t="s">
        <v>65</v>
      </c>
      <c r="C8" s="80">
        <v>0</v>
      </c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ht="16" x14ac:dyDescent="0.2">
      <c r="B9" s="7" t="s">
        <v>66</v>
      </c>
      <c r="C9" s="80">
        <v>0</v>
      </c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ht="16" x14ac:dyDescent="0.2">
      <c r="B10" s="19" t="s">
        <v>67</v>
      </c>
      <c r="C10" s="39">
        <f>C7*'(ne pas modifier) BDD_REF'!$B$206 + (C8+C9)*'(ne pas modifier) BDD_REF'!$B$207</f>
        <v>0</v>
      </c>
      <c r="D10" s="39">
        <f>D7*'(ne pas modifier) BDD_REF'!$B$206 + (D8+D9)*'(ne pas modifier) BDD_REF'!$B$207</f>
        <v>0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0</v>
      </c>
    </row>
    <row r="11" spans="1:15" ht="16" x14ac:dyDescent="0.2">
      <c r="B11" s="19" t="s">
        <v>68</v>
      </c>
      <c r="C11" s="39">
        <f>((C7*'(ne pas modifier) BDD_REF'!$B$219)+('RECeff + REIamont (2)'!C8+'RECeff + REIamont (2)'!C9)*'(ne pas modifier) BDD_REF'!$B$220)*'(ne pas modifier) BDD_REF'!$B$208</f>
        <v>0</v>
      </c>
      <c r="D11" s="39">
        <f>((D7*'(ne pas modifier) BDD_REF'!$B$219)+('RECeff + REIamont (2)'!D8+'RECeff + REIamont (2)'!D9)*'(ne pas modifier) BDD_REF'!$B$220)*'(ne pas modifier) BDD_REF'!$B$208</f>
        <v>0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0</v>
      </c>
    </row>
    <row r="12" spans="1:15" ht="16" x14ac:dyDescent="0.2">
      <c r="B12" s="19" t="s">
        <v>69</v>
      </c>
      <c r="C12" s="39">
        <f>(C7+C8+C9)*'(ne pas modifier) BDD_REF'!$B$221*'(ne pas modifier) BDD_REF'!$B$209</f>
        <v>0</v>
      </c>
      <c r="D12" s="39">
        <f>(D7+D8+D9)*'(ne pas modifier) BDD_REF'!$B$221*'(ne pas modifier) BDD_REF'!$B$209</f>
        <v>0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0</v>
      </c>
    </row>
    <row r="13" spans="1:15" ht="16" x14ac:dyDescent="0.2">
      <c r="B13" s="7" t="s">
        <v>70</v>
      </c>
      <c r="C13" s="80">
        <v>0</v>
      </c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ht="16" x14ac:dyDescent="0.2">
      <c r="B14" s="7" t="s">
        <v>71</v>
      </c>
      <c r="C14" s="80">
        <v>15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15</v>
      </c>
    </row>
    <row r="15" spans="1:15" ht="16" x14ac:dyDescent="0.2">
      <c r="B15" s="7" t="s">
        <v>72</v>
      </c>
      <c r="C15" s="80">
        <v>0</v>
      </c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ht="16" x14ac:dyDescent="0.2">
      <c r="B16" s="7" t="s">
        <v>73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ht="16" x14ac:dyDescent="0.2">
      <c r="B17" s="7" t="s">
        <v>74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ht="16" x14ac:dyDescent="0.2">
      <c r="B18" s="7" t="s">
        <v>75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ht="16" x14ac:dyDescent="0.2">
      <c r="B19" s="3" t="s">
        <v>76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4.6064999999999995E-2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4.6064999999999995E-2</v>
      </c>
    </row>
    <row r="20" spans="1:108" ht="16" x14ac:dyDescent="0.2">
      <c r="B20" s="7" t="s">
        <v>77</v>
      </c>
      <c r="C20" s="80">
        <v>0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0</v>
      </c>
    </row>
    <row r="21" spans="1:108" ht="16" x14ac:dyDescent="0.2">
      <c r="B21" s="3" t="s">
        <v>78</v>
      </c>
      <c r="C21" s="39">
        <f>(C20*'(ne pas modifier) BDD_REF'!$B$210)/1000</f>
        <v>0</v>
      </c>
      <c r="D21" s="39">
        <f>(D20*'(ne pas modifier) BDD_REF'!$B$210)/1000</f>
        <v>0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0</v>
      </c>
    </row>
    <row r="22" spans="1:108" s="16" customFormat="1" ht="16" x14ac:dyDescent="0.2">
      <c r="A22" s="18"/>
      <c r="B22" s="19" t="s">
        <v>79</v>
      </c>
      <c r="C22" s="81">
        <f>C19+C21</f>
        <v>4.6064999999999995E-2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4.6064999999999995E-2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ht="16" x14ac:dyDescent="0.2">
      <c r="B23" s="7" t="s">
        <v>80</v>
      </c>
      <c r="C23" s="80">
        <v>0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0</v>
      </c>
    </row>
    <row r="24" spans="1:108" ht="16" x14ac:dyDescent="0.2">
      <c r="B24" s="7" t="s">
        <v>81</v>
      </c>
      <c r="C24" s="80">
        <v>0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ht="16" x14ac:dyDescent="0.2">
      <c r="B25" s="3" t="s">
        <v>82</v>
      </c>
      <c r="C25" s="39">
        <f>(C7*'(ne pas modifier) BDD_REF'!$B$211+'RECeff + REIamont (2)'!C23*'(ne pas modifier) BDD_REF'!$B$212+'RECeff + REIamont (2)'!C24*'(ne pas modifier) BDD_REF'!$B$213)/1000</f>
        <v>0</v>
      </c>
      <c r="D25" s="39">
        <f>(D7*'(ne pas modifier) BDD_REF'!$B$211+'RECeff + REIamont (2)'!D23*'(ne pas modifier) BDD_REF'!$B$212+'RECeff + REIamont (2)'!D24*'(ne pas modifier) BDD_REF'!$B$213)/1000</f>
        <v>0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</v>
      </c>
    </row>
    <row r="26" spans="1:108" ht="16" hidden="1" x14ac:dyDescent="0.2">
      <c r="B26" s="3" t="s">
        <v>83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32" x14ac:dyDescent="0.2">
      <c r="A27" s="70" t="s">
        <v>84</v>
      </c>
      <c r="B27" s="7" t="s">
        <v>85</v>
      </c>
      <c r="C27" s="80">
        <v>0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ht="16" x14ac:dyDescent="0.2">
      <c r="B28" s="7" t="s">
        <v>86</v>
      </c>
      <c r="C28" s="80">
        <v>0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ht="16" x14ac:dyDescent="0.2">
      <c r="B29" s="7" t="s">
        <v>87</v>
      </c>
      <c r="C29" s="80">
        <v>0</v>
      </c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ht="16" x14ac:dyDescent="0.2">
      <c r="B30" s="7" t="s">
        <v>88</v>
      </c>
      <c r="C30" s="80">
        <v>0</v>
      </c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ht="16" x14ac:dyDescent="0.2">
      <c r="B31" s="3" t="s">
        <v>89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0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0</v>
      </c>
    </row>
    <row r="32" spans="1:108" s="16" customFormat="1" ht="16" x14ac:dyDescent="0.2">
      <c r="A32" s="18"/>
      <c r="B32" s="19" t="s">
        <v>90</v>
      </c>
      <c r="C32" s="81">
        <f>C25+C26+C31</f>
        <v>0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ht="16" x14ac:dyDescent="0.2">
      <c r="A33" s="18"/>
      <c r="B33" s="20" t="s">
        <v>91</v>
      </c>
      <c r="C33" s="20">
        <f>((C10+C11+C12)/1000*44/28*'(ne pas modifier) BDD_REF'!$B$231)+'RECeff + REIamont (2)'!C22+'RECeff + REIamont (2)'!C32</f>
        <v>4.6064999999999995E-2</v>
      </c>
      <c r="D33" s="20">
        <f>((D10+D11+D12)/1000*44/28*'(ne pas modifier) BDD_REF'!$B$231)+'RECeff + REIamont (2)'!D22+'RECeff + REIamont (2)'!D32</f>
        <v>0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4.6064999999999995E-2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ht="16" x14ac:dyDescent="0.2">
      <c r="A34" s="13" t="s">
        <v>92</v>
      </c>
      <c r="B34" s="7" t="s">
        <v>64</v>
      </c>
      <c r="C34" s="80">
        <v>0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ht="16" x14ac:dyDescent="0.2">
      <c r="B35" s="7" t="s">
        <v>65</v>
      </c>
      <c r="C35" s="80">
        <v>0</v>
      </c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ht="16" x14ac:dyDescent="0.2">
      <c r="B36" s="7" t="s">
        <v>66</v>
      </c>
      <c r="C36" s="80">
        <v>0</v>
      </c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2">
      <c r="B37" s="19" t="s">
        <v>67</v>
      </c>
      <c r="C37" s="39">
        <f>C34*'(ne pas modifier) BDD_REF'!$B$206 + (C35+C36)*'(ne pas modifier) BDD_REF'!$B$207</f>
        <v>0</v>
      </c>
      <c r="D37" s="39">
        <f>D34*'(ne pas modifier) BDD_REF'!$B$206 + (D35+D36)*'(ne pas modifier) BDD_REF'!$B$207</f>
        <v>0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0</v>
      </c>
    </row>
    <row r="38" spans="1:108" ht="16" x14ac:dyDescent="0.2">
      <c r="B38" s="19" t="s">
        <v>68</v>
      </c>
      <c r="C38" s="39">
        <f>((C34*'(ne pas modifier) BDD_REF'!$B$219)+('RECeff + REIamont (2)'!C35+'RECeff + REIamont (2)'!C36)*'(ne pas modifier) BDD_REF'!$B$220)*'(ne pas modifier) BDD_REF'!$B$208</f>
        <v>0</v>
      </c>
      <c r="D38" s="39">
        <f>((D34*'(ne pas modifier) BDD_REF'!$B$219)+('RECeff + REIamont (2)'!D35+'RECeff + REIamont (2)'!D36)*'(ne pas modifier) BDD_REF'!$B$220)*'(ne pas modifier) BDD_REF'!$B$208</f>
        <v>0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0</v>
      </c>
    </row>
    <row r="39" spans="1:108" ht="16" x14ac:dyDescent="0.2">
      <c r="B39" s="19" t="s">
        <v>69</v>
      </c>
      <c r="C39" s="39">
        <f>(C34+C35+C36)*'(ne pas modifier) BDD_REF'!$B$221*'(ne pas modifier) BDD_REF'!$B$209</f>
        <v>0</v>
      </c>
      <c r="D39" s="39">
        <f>(D34+D35+D36)*'(ne pas modifier) BDD_REF'!$B$221*'(ne pas modifier) BDD_REF'!$B$209</f>
        <v>0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0</v>
      </c>
    </row>
    <row r="40" spans="1:108" ht="16" x14ac:dyDescent="0.2">
      <c r="B40" s="7" t="s">
        <v>70</v>
      </c>
      <c r="C40" s="80">
        <v>0</v>
      </c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ht="16" x14ac:dyDescent="0.2">
      <c r="B41" s="7" t="s">
        <v>71</v>
      </c>
      <c r="C41" s="80">
        <v>15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15</v>
      </c>
    </row>
    <row r="42" spans="1:108" ht="16" x14ac:dyDescent="0.2">
      <c r="B42" s="7" t="s">
        <v>72</v>
      </c>
      <c r="C42" s="80">
        <v>0</v>
      </c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ht="16" x14ac:dyDescent="0.2">
      <c r="B43" s="7" t="s">
        <v>73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ht="16" x14ac:dyDescent="0.2">
      <c r="B44" s="7" t="s">
        <v>74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ht="16" x14ac:dyDescent="0.2">
      <c r="B45" s="7" t="s">
        <v>75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ht="16" x14ac:dyDescent="0.2">
      <c r="B46" s="3" t="s">
        <v>76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4.6064999999999995E-2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4.6064999999999995E-2</v>
      </c>
    </row>
    <row r="47" spans="1:108" ht="16" x14ac:dyDescent="0.2">
      <c r="B47" s="7" t="s">
        <v>77</v>
      </c>
      <c r="C47" s="80">
        <v>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0</v>
      </c>
    </row>
    <row r="48" spans="1:108" ht="16" x14ac:dyDescent="0.2">
      <c r="B48" s="3" t="s">
        <v>78</v>
      </c>
      <c r="C48" s="39">
        <f>(C47*'(ne pas modifier) BDD_REF'!$B$210)/1000</f>
        <v>0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0</v>
      </c>
    </row>
    <row r="49" spans="1:108" s="16" customFormat="1" ht="16" x14ac:dyDescent="0.2">
      <c r="A49" s="18"/>
      <c r="B49" s="19" t="s">
        <v>79</v>
      </c>
      <c r="C49" s="81">
        <f>C46+C48</f>
        <v>4.6064999999999995E-2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4.6064999999999995E-2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ht="16" x14ac:dyDescent="0.2">
      <c r="B50" s="7" t="s">
        <v>80</v>
      </c>
      <c r="C50" s="80">
        <v>0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0</v>
      </c>
    </row>
    <row r="51" spans="1:108" ht="16" x14ac:dyDescent="0.2">
      <c r="B51" s="7" t="s">
        <v>81</v>
      </c>
      <c r="C51" s="80">
        <v>0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ht="16" x14ac:dyDescent="0.2">
      <c r="B52" s="3" t="s">
        <v>82</v>
      </c>
      <c r="C52" s="39">
        <f>(C34*'(ne pas modifier) BDD_REF'!$B$211+'RECeff + REIamont (2)'!C50*'(ne pas modifier) BDD_REF'!$B$212+'RECeff + REIamont (2)'!C51*'(ne pas modifier) BDD_REF'!$B$213)/1000</f>
        <v>0</v>
      </c>
      <c r="D52" s="39">
        <f>(D34*'(ne pas modifier) BDD_REF'!$B$211+'RECeff + REIamont (2)'!D50*'(ne pas modifier) BDD_REF'!$B$212+'RECeff + REIamont (2)'!D51*'(ne pas modifier) BDD_REF'!$B$213)/1000</f>
        <v>0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0</v>
      </c>
    </row>
    <row r="53" spans="1:108" ht="16" hidden="1" x14ac:dyDescent="0.2">
      <c r="A53" s="17" t="s">
        <v>93</v>
      </c>
      <c r="B53" s="3" t="s">
        <v>83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ht="16" x14ac:dyDescent="0.2">
      <c r="B54" s="7" t="s">
        <v>85</v>
      </c>
      <c r="C54" s="80">
        <v>0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ht="16" x14ac:dyDescent="0.2">
      <c r="B55" s="7" t="s">
        <v>86</v>
      </c>
      <c r="C55" s="80">
        <v>0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ht="16" x14ac:dyDescent="0.2">
      <c r="B56" s="7" t="s">
        <v>87</v>
      </c>
      <c r="C56" s="80">
        <v>0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ht="16" x14ac:dyDescent="0.2">
      <c r="B57" s="7" t="s">
        <v>88</v>
      </c>
      <c r="C57" s="80">
        <v>0</v>
      </c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ht="16" x14ac:dyDescent="0.2">
      <c r="B58" s="3" t="s">
        <v>89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0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0</v>
      </c>
    </row>
    <row r="59" spans="1:108" s="16" customFormat="1" ht="16" x14ac:dyDescent="0.2">
      <c r="A59" s="18"/>
      <c r="B59" s="19" t="s">
        <v>90</v>
      </c>
      <c r="C59" s="81">
        <f>C52+C53+C58</f>
        <v>0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ht="16" x14ac:dyDescent="0.2">
      <c r="A60" s="18"/>
      <c r="B60" s="20" t="s">
        <v>91</v>
      </c>
      <c r="C60" s="20">
        <f>((C37+C38+C39)/1000*44/28*'(ne pas modifier) BDD_REF'!$B$231)+'RECeff + REIamont (2)'!C49+'RECeff + REIamont (2)'!C59</f>
        <v>4.6064999999999995E-2</v>
      </c>
      <c r="D60" s="20">
        <f>((D37+D38+D39)/1000*44/28*'(ne pas modifier) BDD_REF'!$B$231)+'RECeff + REIamont (2)'!D49+'RECeff + REIamont (2)'!D59</f>
        <v>0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4.6064999999999995E-2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ht="16" x14ac:dyDescent="0.2">
      <c r="A61" s="13" t="s">
        <v>94</v>
      </c>
      <c r="B61" s="7" t="s">
        <v>64</v>
      </c>
      <c r="C61" s="80">
        <v>0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 ht="16" x14ac:dyDescent="0.2">
      <c r="B62" s="7" t="s">
        <v>65</v>
      </c>
      <c r="C62" s="80">
        <v>0</v>
      </c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ht="16" x14ac:dyDescent="0.2">
      <c r="B63" s="7" t="s">
        <v>66</v>
      </c>
      <c r="C63" s="80">
        <v>0</v>
      </c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ht="16" x14ac:dyDescent="0.2">
      <c r="B64" s="19" t="s">
        <v>67</v>
      </c>
      <c r="C64" s="39">
        <f>C61*'(ne pas modifier) BDD_REF'!$B$206 + (C62+C63)*'(ne pas modifier) BDD_REF'!$B$207</f>
        <v>0</v>
      </c>
      <c r="D64" s="39">
        <f>D61*'(ne pas modifier) BDD_REF'!$B$206 + (D62+D63)*'(ne pas modifier) BDD_REF'!$B$207</f>
        <v>0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0</v>
      </c>
    </row>
    <row r="65" spans="1:108" ht="16" x14ac:dyDescent="0.2">
      <c r="B65" s="19" t="s">
        <v>68</v>
      </c>
      <c r="C65" s="39">
        <f>((C61*'(ne pas modifier) BDD_REF'!$B$219)+('RECeff + REIamont (2)'!C62+'RECeff + REIamont (2)'!C63)*'(ne pas modifier) BDD_REF'!$B$220)*'(ne pas modifier) BDD_REF'!$B$208</f>
        <v>0</v>
      </c>
      <c r="D65" s="39">
        <f>((D61*'(ne pas modifier) BDD_REF'!$B$219)+('RECeff + REIamont (2)'!D62+'RECeff + REIamont (2)'!D63)*'(ne pas modifier) BDD_REF'!$B$220)*'(ne pas modifier) BDD_REF'!$B$208</f>
        <v>0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0</v>
      </c>
    </row>
    <row r="66" spans="1:108" ht="16" x14ac:dyDescent="0.2">
      <c r="B66" s="19" t="s">
        <v>69</v>
      </c>
      <c r="C66" s="39">
        <f>(C61+C62+C63)*'(ne pas modifier) BDD_REF'!$B$221*'(ne pas modifier) BDD_REF'!$B$209</f>
        <v>0</v>
      </c>
      <c r="D66" s="39">
        <f>(D61+D62+D63)*'(ne pas modifier) BDD_REF'!$B$221*'(ne pas modifier) BDD_REF'!$B$209</f>
        <v>0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</v>
      </c>
    </row>
    <row r="67" spans="1:108" ht="16" x14ac:dyDescent="0.2">
      <c r="B67" s="7" t="s">
        <v>70</v>
      </c>
      <c r="C67" s="80">
        <v>0</v>
      </c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ht="16" x14ac:dyDescent="0.2">
      <c r="B68" s="7" t="s">
        <v>71</v>
      </c>
      <c r="C68" s="80">
        <v>15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15</v>
      </c>
    </row>
    <row r="69" spans="1:108" ht="16" x14ac:dyDescent="0.2">
      <c r="B69" s="7" t="s">
        <v>72</v>
      </c>
      <c r="C69" s="80">
        <v>0</v>
      </c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ht="16" x14ac:dyDescent="0.2">
      <c r="B70" s="7" t="s">
        <v>73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ht="16" x14ac:dyDescent="0.2">
      <c r="B71" s="7" t="s">
        <v>74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ht="16" x14ac:dyDescent="0.2">
      <c r="B72" s="7" t="s">
        <v>75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ht="16" x14ac:dyDescent="0.2">
      <c r="B73" s="3" t="s">
        <v>76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4.6064999999999995E-2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4.6064999999999995E-2</v>
      </c>
    </row>
    <row r="74" spans="1:108" ht="16" x14ac:dyDescent="0.2">
      <c r="B74" s="7" t="s">
        <v>77</v>
      </c>
      <c r="C74" s="80">
        <v>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0</v>
      </c>
    </row>
    <row r="75" spans="1:108" ht="16" x14ac:dyDescent="0.2">
      <c r="B75" s="3" t="s">
        <v>78</v>
      </c>
      <c r="C75" s="39">
        <f>(C74*'(ne pas modifier) BDD_REF'!$B$210)/1000</f>
        <v>0</v>
      </c>
      <c r="D75" s="39">
        <f>(D74*'(ne pas modifier) BDD_REF'!$B$210)/1000</f>
        <v>0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0</v>
      </c>
    </row>
    <row r="76" spans="1:108" s="16" customFormat="1" ht="16" x14ac:dyDescent="0.2">
      <c r="A76" s="18"/>
      <c r="B76" s="19" t="s">
        <v>79</v>
      </c>
      <c r="C76" s="81">
        <f>C73+C75</f>
        <v>4.6064999999999995E-2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4.6064999999999995E-2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ht="16" x14ac:dyDescent="0.2">
      <c r="B77" s="7" t="s">
        <v>80</v>
      </c>
      <c r="C77" s="80">
        <v>0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0</v>
      </c>
    </row>
    <row r="78" spans="1:108" ht="16" x14ac:dyDescent="0.2">
      <c r="B78" s="7" t="s">
        <v>81</v>
      </c>
      <c r="C78" s="80">
        <v>0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ht="16" x14ac:dyDescent="0.2">
      <c r="B79" s="3" t="s">
        <v>82</v>
      </c>
      <c r="C79" s="39">
        <f>(C61*'(ne pas modifier) BDD_REF'!$B$211+'RECeff + REIamont (2)'!C77*'(ne pas modifier) BDD_REF'!$B$212+'RECeff + REIamont (2)'!C78*'(ne pas modifier) BDD_REF'!$B$213)/1000</f>
        <v>0</v>
      </c>
      <c r="D79" s="39">
        <f>(D61*'(ne pas modifier) BDD_REF'!$B$211+'RECeff + REIamont (2)'!D77*'(ne pas modifier) BDD_REF'!$B$212+'RECeff + REIamont (2)'!D78*'(ne pas modifier) BDD_REF'!$B$213)/1000</f>
        <v>0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</v>
      </c>
    </row>
    <row r="80" spans="1:108" ht="16" hidden="1" x14ac:dyDescent="0.2">
      <c r="A80" s="17" t="s">
        <v>93</v>
      </c>
      <c r="B80" s="3" t="s">
        <v>83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ht="16" x14ac:dyDescent="0.2">
      <c r="B81" s="7" t="s">
        <v>85</v>
      </c>
      <c r="C81" s="80">
        <v>0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ht="16" x14ac:dyDescent="0.2">
      <c r="B82" s="7" t="s">
        <v>86</v>
      </c>
      <c r="C82" s="80">
        <v>0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ht="16" x14ac:dyDescent="0.2">
      <c r="B83" s="7" t="s">
        <v>87</v>
      </c>
      <c r="C83" s="80">
        <v>0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ht="16" x14ac:dyDescent="0.2">
      <c r="B84" s="7" t="s">
        <v>88</v>
      </c>
      <c r="C84" s="80">
        <v>0</v>
      </c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ht="16" x14ac:dyDescent="0.2">
      <c r="B85" s="3" t="s">
        <v>89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0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0</v>
      </c>
    </row>
    <row r="86" spans="1:108" s="16" customFormat="1" ht="16" x14ac:dyDescent="0.2">
      <c r="A86" s="18"/>
      <c r="B86" s="19" t="s">
        <v>90</v>
      </c>
      <c r="C86" s="81">
        <f>C79+C80+C85</f>
        <v>0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ht="16" x14ac:dyDescent="0.2">
      <c r="A87" s="18"/>
      <c r="B87" s="20" t="s">
        <v>91</v>
      </c>
      <c r="C87" s="20">
        <f>((C64+C65+C66)/1000*44/28*'(ne pas modifier) BDD_REF'!$B$231)+'RECeff + REIamont (2)'!C76+'RECeff + REIamont (2)'!C86</f>
        <v>4.6064999999999995E-2</v>
      </c>
      <c r="D87" s="20">
        <f>((D64+D65+D66)/1000*44/28*'(ne pas modifier) BDD_REF'!$B$231)+'RECeff + REIamont (2)'!D76+'RECeff + REIamont (2)'!D86</f>
        <v>0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4.6064999999999995E-2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ht="16" x14ac:dyDescent="0.2">
      <c r="A88" s="13" t="s">
        <v>95</v>
      </c>
      <c r="B88" s="7" t="s">
        <v>64</v>
      </c>
      <c r="C88" s="80">
        <v>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 ht="16" x14ac:dyDescent="0.2">
      <c r="B89" s="7" t="s">
        <v>65</v>
      </c>
      <c r="C89" s="80">
        <v>0</v>
      </c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ht="16" x14ac:dyDescent="0.2">
      <c r="B90" s="7" t="s">
        <v>66</v>
      </c>
      <c r="C90" s="80">
        <v>0</v>
      </c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ht="16" x14ac:dyDescent="0.2">
      <c r="B91" s="19" t="s">
        <v>67</v>
      </c>
      <c r="C91" s="39">
        <f>C88*'(ne pas modifier) BDD_REF'!$B$206 + (C89+C90)*'(ne pas modifier) BDD_REF'!$B$207</f>
        <v>0</v>
      </c>
      <c r="D91" s="39">
        <f>D88*'(ne pas modifier) BDD_REF'!$B$206 + (D89+D90)*'(ne pas modifier) BDD_REF'!$B$207</f>
        <v>0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0</v>
      </c>
    </row>
    <row r="92" spans="1:108" ht="16" x14ac:dyDescent="0.2">
      <c r="B92" s="19" t="s">
        <v>68</v>
      </c>
      <c r="C92" s="39">
        <f>((C88*'(ne pas modifier) BDD_REF'!$B$219)+('RECeff + REIamont (2)'!C89+'RECeff + REIamont (2)'!C90)*'(ne pas modifier) BDD_REF'!$B$220)*'(ne pas modifier) BDD_REF'!$B$208</f>
        <v>0</v>
      </c>
      <c r="D92" s="39">
        <f>((D88*'(ne pas modifier) BDD_REF'!$B$219)+('RECeff + REIamont (2)'!D89+'RECeff + REIamont (2)'!D90)*'(ne pas modifier) BDD_REF'!$B$220)*'(ne pas modifier) BDD_REF'!$B$208</f>
        <v>0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0</v>
      </c>
    </row>
    <row r="93" spans="1:108" ht="16" x14ac:dyDescent="0.2">
      <c r="B93" s="19" t="s">
        <v>69</v>
      </c>
      <c r="C93" s="39">
        <f>(C88+C89+C90)*'(ne pas modifier) BDD_REF'!$B$221*'(ne pas modifier) BDD_REF'!$B$209</f>
        <v>0</v>
      </c>
      <c r="D93" s="39">
        <f>(D88+D89+D90)*'(ne pas modifier) BDD_REF'!$B$221*'(ne pas modifier) BDD_REF'!$B$209</f>
        <v>0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</v>
      </c>
    </row>
    <row r="94" spans="1:108" ht="16" x14ac:dyDescent="0.2">
      <c r="B94" s="7" t="s">
        <v>70</v>
      </c>
      <c r="C94" s="80">
        <v>0</v>
      </c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ht="16" x14ac:dyDescent="0.2">
      <c r="B95" s="7" t="s">
        <v>71</v>
      </c>
      <c r="C95" s="80">
        <v>15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15</v>
      </c>
    </row>
    <row r="96" spans="1:108" ht="16" x14ac:dyDescent="0.2">
      <c r="B96" s="7" t="s">
        <v>72</v>
      </c>
      <c r="C96" s="80">
        <v>0</v>
      </c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ht="16" x14ac:dyDescent="0.2">
      <c r="B97" s="7" t="s">
        <v>73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ht="16" x14ac:dyDescent="0.2">
      <c r="B98" s="7" t="s">
        <v>74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ht="16" x14ac:dyDescent="0.2">
      <c r="B99" s="7" t="s">
        <v>75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ht="16" x14ac:dyDescent="0.2">
      <c r="B100" s="3" t="s">
        <v>76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4.6064999999999995E-2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4.6064999999999995E-2</v>
      </c>
    </row>
    <row r="101" spans="1:108" ht="16" x14ac:dyDescent="0.2">
      <c r="B101" s="7" t="s">
        <v>77</v>
      </c>
      <c r="C101" s="80">
        <v>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0</v>
      </c>
    </row>
    <row r="102" spans="1:108" ht="16" x14ac:dyDescent="0.2">
      <c r="B102" s="3" t="s">
        <v>78</v>
      </c>
      <c r="C102" s="39">
        <f>(C101*'(ne pas modifier) BDD_REF'!$B$210)/1000</f>
        <v>0</v>
      </c>
      <c r="D102" s="39">
        <f>(D101*'(ne pas modifier) BDD_REF'!$B$210)/1000</f>
        <v>0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0</v>
      </c>
    </row>
    <row r="103" spans="1:108" s="16" customFormat="1" ht="16" x14ac:dyDescent="0.2">
      <c r="A103" s="18"/>
      <c r="B103" s="19" t="s">
        <v>79</v>
      </c>
      <c r="C103" s="81">
        <f>C100+C102</f>
        <v>4.6064999999999995E-2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4.6064999999999995E-2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ht="16" x14ac:dyDescent="0.2">
      <c r="B104" s="7" t="s">
        <v>80</v>
      </c>
      <c r="C104" s="80">
        <v>0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0</v>
      </c>
    </row>
    <row r="105" spans="1:108" ht="16" x14ac:dyDescent="0.2">
      <c r="B105" s="7" t="s">
        <v>81</v>
      </c>
      <c r="C105" s="80">
        <v>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0</v>
      </c>
    </row>
    <row r="106" spans="1:108" ht="16" x14ac:dyDescent="0.2">
      <c r="B106" s="3" t="s">
        <v>82</v>
      </c>
      <c r="C106" s="39">
        <f>(C88*'(ne pas modifier) BDD_REF'!$B$211+'RECeff + REIamont (2)'!C104*'(ne pas modifier) BDD_REF'!$B$212+'RECeff + REIamont (2)'!C105*'(ne pas modifier) BDD_REF'!$B$213)/1000</f>
        <v>0</v>
      </c>
      <c r="D106" s="39">
        <f>(D88*'(ne pas modifier) BDD_REF'!$B$211+'RECeff + REIamont (2)'!D104*'(ne pas modifier) BDD_REF'!$B$212+'RECeff + REIamont (2)'!D105*'(ne pas modifier) BDD_REF'!$B$213)/1000</f>
        <v>0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</v>
      </c>
    </row>
    <row r="107" spans="1:108" ht="16" hidden="1" x14ac:dyDescent="0.2">
      <c r="A107" s="17" t="s">
        <v>93</v>
      </c>
      <c r="B107" s="3" t="s">
        <v>83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ht="16" x14ac:dyDescent="0.2">
      <c r="B108" s="7" t="s">
        <v>85</v>
      </c>
      <c r="C108" s="80">
        <v>0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</v>
      </c>
    </row>
    <row r="109" spans="1:108" ht="16" x14ac:dyDescent="0.2">
      <c r="B109" s="7" t="s">
        <v>86</v>
      </c>
      <c r="C109" s="80">
        <v>0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ht="16" x14ac:dyDescent="0.2">
      <c r="B110" s="7" t="s">
        <v>87</v>
      </c>
      <c r="C110" s="80">
        <v>0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ht="16" x14ac:dyDescent="0.2">
      <c r="B111" s="7" t="s">
        <v>88</v>
      </c>
      <c r="C111" s="80">
        <v>0</v>
      </c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ht="16" x14ac:dyDescent="0.2">
      <c r="B112" s="3" t="s">
        <v>89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0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0</v>
      </c>
    </row>
    <row r="113" spans="1:108" s="16" customFormat="1" ht="16" x14ac:dyDescent="0.2">
      <c r="A113" s="18"/>
      <c r="B113" s="19" t="s">
        <v>90</v>
      </c>
      <c r="C113" s="81">
        <f>C106+C107+C112</f>
        <v>0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ht="16" x14ac:dyDescent="0.2">
      <c r="A114" s="18"/>
      <c r="B114" s="20" t="s">
        <v>91</v>
      </c>
      <c r="C114" s="20">
        <f>((C91+C92+C93)/1000*44/28*'(ne pas modifier) BDD_REF'!$B$231)+'RECeff + REIamont (2)'!C103+'RECeff + REIamont (2)'!C113</f>
        <v>4.6064999999999995E-2</v>
      </c>
      <c r="D114" s="20">
        <f>((D91+D92+D93)/1000*44/28*'(ne pas modifier) BDD_REF'!$B$231)+'RECeff + REIamont (2)'!D103+'RECeff + REIamont (2)'!D113</f>
        <v>0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4.6064999999999995E-2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ht="16" x14ac:dyDescent="0.2">
      <c r="A115" s="13" t="s">
        <v>96</v>
      </c>
      <c r="B115" s="7" t="s">
        <v>64</v>
      </c>
      <c r="C115" s="80">
        <v>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ht="16" x14ac:dyDescent="0.2">
      <c r="B116" s="7" t="s">
        <v>65</v>
      </c>
      <c r="C116" s="80">
        <v>0</v>
      </c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ht="16" x14ac:dyDescent="0.2">
      <c r="B117" s="7" t="s">
        <v>66</v>
      </c>
      <c r="C117" s="80">
        <v>0</v>
      </c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ht="16" x14ac:dyDescent="0.2">
      <c r="B118" s="19" t="s">
        <v>67</v>
      </c>
      <c r="C118" s="39">
        <f>C115*'(ne pas modifier) BDD_REF'!$B$206 + (C116+C117)*'(ne pas modifier) BDD_REF'!$B$207</f>
        <v>0</v>
      </c>
      <c r="D118" s="39">
        <f>D115*'(ne pas modifier) BDD_REF'!$B$206 + (D116+D117)*'(ne pas modifier) BDD_REF'!$B$207</f>
        <v>0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0</v>
      </c>
    </row>
    <row r="119" spans="1:108" ht="16" x14ac:dyDescent="0.2">
      <c r="B119" s="19" t="s">
        <v>68</v>
      </c>
      <c r="C119" s="39">
        <f>((C115*'(ne pas modifier) BDD_REF'!$B$219)+('RECeff + REIamont (2)'!C116+'RECeff + REIamont (2)'!C117)*'(ne pas modifier) BDD_REF'!$B$220)*'(ne pas modifier) BDD_REF'!$B$208</f>
        <v>0</v>
      </c>
      <c r="D119" s="39">
        <f>((D115*'(ne pas modifier) BDD_REF'!$B$219)+('RECeff + REIamont (2)'!D116+'RECeff + REIamont (2)'!D117)*'(ne pas modifier) BDD_REF'!$B$220)*'(ne pas modifier) BDD_REF'!$B$208</f>
        <v>0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0</v>
      </c>
    </row>
    <row r="120" spans="1:108" ht="16" x14ac:dyDescent="0.2">
      <c r="B120" s="19" t="s">
        <v>69</v>
      </c>
      <c r="C120" s="39">
        <f>(C115+C116+C117)*'(ne pas modifier) BDD_REF'!$B$221*'(ne pas modifier) BDD_REF'!$B$209</f>
        <v>0</v>
      </c>
      <c r="D120" s="39">
        <f>(D115+D116+D117)*'(ne pas modifier) BDD_REF'!$B$221*'(ne pas modifier) BDD_REF'!$B$209</f>
        <v>0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</v>
      </c>
    </row>
    <row r="121" spans="1:108" ht="16" x14ac:dyDescent="0.2">
      <c r="B121" s="7" t="s">
        <v>70</v>
      </c>
      <c r="C121" s="80">
        <v>0</v>
      </c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ht="16" x14ac:dyDescent="0.2">
      <c r="B122" s="7" t="s">
        <v>71</v>
      </c>
      <c r="C122" s="80">
        <v>15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15</v>
      </c>
    </row>
    <row r="123" spans="1:108" ht="16" x14ac:dyDescent="0.2">
      <c r="B123" s="7" t="s">
        <v>72</v>
      </c>
      <c r="C123" s="80">
        <v>0</v>
      </c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ht="16" x14ac:dyDescent="0.2">
      <c r="B124" s="7" t="s">
        <v>73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ht="16" x14ac:dyDescent="0.2">
      <c r="B125" s="7" t="s">
        <v>74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ht="16" x14ac:dyDescent="0.2">
      <c r="B126" s="7" t="s">
        <v>75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ht="16" x14ac:dyDescent="0.2">
      <c r="B127" s="3" t="s">
        <v>76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4.6064999999999995E-2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4.6064999999999995E-2</v>
      </c>
    </row>
    <row r="128" spans="1:108" ht="16" x14ac:dyDescent="0.2">
      <c r="B128" s="7" t="s">
        <v>77</v>
      </c>
      <c r="C128" s="80">
        <v>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0</v>
      </c>
    </row>
    <row r="129" spans="1:108" ht="16" x14ac:dyDescent="0.2">
      <c r="B129" s="3" t="s">
        <v>78</v>
      </c>
      <c r="C129" s="39">
        <f>(C128*'(ne pas modifier) BDD_REF'!$B$210)/1000</f>
        <v>0</v>
      </c>
      <c r="D129" s="39">
        <f>(D128*'(ne pas modifier) BDD_REF'!$B$210)/1000</f>
        <v>0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0</v>
      </c>
    </row>
    <row r="130" spans="1:108" s="16" customFormat="1" ht="16" x14ac:dyDescent="0.2">
      <c r="A130" s="18"/>
      <c r="B130" s="19" t="s">
        <v>79</v>
      </c>
      <c r="C130" s="81">
        <f>C127+C129</f>
        <v>4.6064999999999995E-2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4.6064999999999995E-2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ht="16" x14ac:dyDescent="0.2">
      <c r="B131" s="7" t="s">
        <v>80</v>
      </c>
      <c r="C131" s="80">
        <v>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0</v>
      </c>
    </row>
    <row r="132" spans="1:108" ht="16" x14ac:dyDescent="0.2">
      <c r="B132" s="7" t="s">
        <v>81</v>
      </c>
      <c r="C132" s="80">
        <v>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0</v>
      </c>
    </row>
    <row r="133" spans="1:108" ht="16" x14ac:dyDescent="0.2">
      <c r="B133" s="3" t="s">
        <v>82</v>
      </c>
      <c r="C133" s="39">
        <f>(C115*'(ne pas modifier) BDD_REF'!$B$211+'RECeff + REIamont (2)'!C131*'(ne pas modifier) BDD_REF'!$B$212+'RECeff + REIamont (2)'!C132*'(ne pas modifier) BDD_REF'!$B$213)/1000</f>
        <v>0</v>
      </c>
      <c r="D133" s="39">
        <f>(D115*'(ne pas modifier) BDD_REF'!$B$211+'RECeff + REIamont (2)'!D131*'(ne pas modifier) BDD_REF'!$B$212+'RECeff + REIamont (2)'!D132*'(ne pas modifier) BDD_REF'!$B$213)/1000</f>
        <v>0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</v>
      </c>
    </row>
    <row r="134" spans="1:108" ht="16" hidden="1" x14ac:dyDescent="0.2">
      <c r="A134" s="17" t="s">
        <v>93</v>
      </c>
      <c r="B134" s="3" t="s">
        <v>83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ht="16" x14ac:dyDescent="0.2">
      <c r="B135" s="7" t="s">
        <v>85</v>
      </c>
      <c r="C135" s="80">
        <v>0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</v>
      </c>
    </row>
    <row r="136" spans="1:108" ht="16" x14ac:dyDescent="0.2">
      <c r="B136" s="7" t="s">
        <v>86</v>
      </c>
      <c r="C136" s="80">
        <v>0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ht="16" x14ac:dyDescent="0.2">
      <c r="B137" s="7" t="s">
        <v>87</v>
      </c>
      <c r="C137" s="80">
        <v>0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ht="16" x14ac:dyDescent="0.2">
      <c r="B138" s="7" t="s">
        <v>88</v>
      </c>
      <c r="C138" s="80">
        <v>0</v>
      </c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ht="16" x14ac:dyDescent="0.2">
      <c r="B139" s="3" t="s">
        <v>89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0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0</v>
      </c>
    </row>
    <row r="140" spans="1:108" s="16" customFormat="1" ht="16" x14ac:dyDescent="0.2">
      <c r="A140" s="18"/>
      <c r="B140" s="19" t="s">
        <v>90</v>
      </c>
      <c r="C140" s="81">
        <f>C133+C134+C139</f>
        <v>0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ht="16" x14ac:dyDescent="0.2">
      <c r="A141" s="18"/>
      <c r="B141" s="20" t="s">
        <v>91</v>
      </c>
      <c r="C141" s="20">
        <f>((C118+C119+C120)/1000*44/28*'(ne pas modifier) BDD_REF'!$B$231)+'RECeff + REIamont (2)'!C130+'RECeff + REIamont (2)'!C140</f>
        <v>4.6064999999999995E-2</v>
      </c>
      <c r="D141" s="20">
        <f>((D118+D119+D120)/1000*44/28*'(ne pas modifier) BDD_REF'!$B$231)+'RECeff + REIamont (2)'!D130+'RECeff + REIamont (2)'!D140</f>
        <v>0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4.6064999999999995E-2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ht="16" x14ac:dyDescent="0.2">
      <c r="B142" s="71" t="s">
        <v>97</v>
      </c>
      <c r="C142" s="71">
        <f>C33+C60+C87+C114+C141</f>
        <v>0.23032499999999997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0.23032499999999997</v>
      </c>
    </row>
    <row r="143" spans="1:108" ht="16" x14ac:dyDescent="0.2">
      <c r="B143" s="71" t="s">
        <v>98</v>
      </c>
      <c r="C143" s="71">
        <f>(C142-C5*5)</f>
        <v>-12.269280937577664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ht="16" x14ac:dyDescent="0.2">
      <c r="B144" s="21" t="s">
        <v>99</v>
      </c>
      <c r="C144" s="21">
        <f>C143*Eligibilité_projet!B8</f>
        <v>-79.750326094254817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-79.750326094254817</v>
      </c>
    </row>
    <row r="145" spans="1:13" x14ac:dyDescent="0.2">
      <c r="B145" s="2"/>
      <c r="M145" s="2"/>
    </row>
    <row r="146" spans="1:13" x14ac:dyDescent="0.2">
      <c r="B146" s="2"/>
      <c r="M146" s="2"/>
    </row>
    <row r="147" spans="1:13" x14ac:dyDescent="0.2">
      <c r="B147" s="2"/>
      <c r="M147" s="2"/>
    </row>
    <row r="148" spans="1:13" x14ac:dyDescent="0.2">
      <c r="B148" s="2"/>
      <c r="M148" s="2"/>
    </row>
    <row r="149" spans="1:13" customFormat="1" x14ac:dyDescent="0.2">
      <c r="A149" s="17"/>
    </row>
    <row r="150" spans="1:13" customFormat="1" x14ac:dyDescent="0.2">
      <c r="A150" s="17"/>
    </row>
    <row r="151" spans="1:13" customFormat="1" x14ac:dyDescent="0.2">
      <c r="A151" s="17"/>
    </row>
    <row r="152" spans="1:13" customFormat="1" x14ac:dyDescent="0.2">
      <c r="A152" s="17"/>
    </row>
    <row r="153" spans="1:13" customFormat="1" x14ac:dyDescent="0.2">
      <c r="A153" s="17"/>
    </row>
    <row r="154" spans="1:13" customFormat="1" x14ac:dyDescent="0.2">
      <c r="A154" s="17"/>
    </row>
    <row r="155" spans="1:13" customFormat="1" x14ac:dyDescent="0.2">
      <c r="A155" s="17"/>
    </row>
    <row r="156" spans="1:13" customFormat="1" x14ac:dyDescent="0.2">
      <c r="A156" s="17"/>
    </row>
    <row r="157" spans="1:13" customFormat="1" x14ac:dyDescent="0.2">
      <c r="A157" s="17"/>
    </row>
    <row r="158" spans="1:13" customFormat="1" x14ac:dyDescent="0.2">
      <c r="A158" s="17"/>
    </row>
    <row r="159" spans="1:13" customFormat="1" x14ac:dyDescent="0.2">
      <c r="A159" s="17"/>
    </row>
    <row r="160" spans="1:13" customFormat="1" x14ac:dyDescent="0.2">
      <c r="A160" s="17"/>
    </row>
    <row r="161" spans="1:1" customFormat="1" x14ac:dyDescent="0.2">
      <c r="A161" s="17"/>
    </row>
    <row r="162" spans="1:1" customFormat="1" x14ac:dyDescent="0.2">
      <c r="A162" s="17"/>
    </row>
    <row r="163" spans="1:1" customFormat="1" x14ac:dyDescent="0.2">
      <c r="A163" s="17"/>
    </row>
    <row r="164" spans="1:1" customFormat="1" x14ac:dyDescent="0.2">
      <c r="A164" s="17"/>
    </row>
    <row r="165" spans="1:1" customFormat="1" x14ac:dyDescent="0.2">
      <c r="A165" s="17"/>
    </row>
    <row r="166" spans="1:1" customFormat="1" x14ac:dyDescent="0.2">
      <c r="A166" s="17"/>
    </row>
    <row r="167" spans="1:1" customFormat="1" x14ac:dyDescent="0.2">
      <c r="A167" s="17"/>
    </row>
    <row r="168" spans="1:1" customFormat="1" x14ac:dyDescent="0.2">
      <c r="A168" s="17"/>
    </row>
    <row r="169" spans="1:1" customFormat="1" x14ac:dyDescent="0.2">
      <c r="A169" s="17"/>
    </row>
    <row r="170" spans="1:1" customFormat="1" x14ac:dyDescent="0.2">
      <c r="A170" s="17"/>
    </row>
    <row r="171" spans="1:1" customFormat="1" x14ac:dyDescent="0.2">
      <c r="A171" s="17"/>
    </row>
    <row r="172" spans="1:1" customFormat="1" x14ac:dyDescent="0.2">
      <c r="A172" s="17"/>
    </row>
    <row r="173" spans="1:1" customFormat="1" x14ac:dyDescent="0.2">
      <c r="A173" s="17"/>
    </row>
    <row r="174" spans="1:1" customFormat="1" x14ac:dyDescent="0.2">
      <c r="A174" s="17"/>
    </row>
    <row r="175" spans="1:1" customFormat="1" x14ac:dyDescent="0.2">
      <c r="A175" s="17"/>
    </row>
    <row r="176" spans="1:1" customFormat="1" x14ac:dyDescent="0.2">
      <c r="A176" s="17"/>
    </row>
    <row r="177" spans="1:1" customFormat="1" x14ac:dyDescent="0.2">
      <c r="A177" s="17"/>
    </row>
    <row r="178" spans="1:1" customFormat="1" x14ac:dyDescent="0.2">
      <c r="A178" s="17"/>
    </row>
    <row r="179" spans="1:1" customFormat="1" x14ac:dyDescent="0.2">
      <c r="A179" s="17"/>
    </row>
    <row r="180" spans="1:1" customFormat="1" x14ac:dyDescent="0.2">
      <c r="A180" s="17"/>
    </row>
    <row r="181" spans="1:1" customFormat="1" x14ac:dyDescent="0.2">
      <c r="A181" s="17"/>
    </row>
    <row r="182" spans="1:1" customFormat="1" x14ac:dyDescent="0.2">
      <c r="A182" s="17"/>
    </row>
    <row r="183" spans="1:1" customFormat="1" x14ac:dyDescent="0.2">
      <c r="A183" s="17"/>
    </row>
    <row r="184" spans="1:1" customFormat="1" x14ac:dyDescent="0.2">
      <c r="A184" s="17"/>
    </row>
    <row r="185" spans="1:1" customFormat="1" x14ac:dyDescent="0.2">
      <c r="A185" s="17"/>
    </row>
    <row r="186" spans="1:1" customFormat="1" x14ac:dyDescent="0.2">
      <c r="A186" s="17"/>
    </row>
    <row r="187" spans="1:1" customFormat="1" x14ac:dyDescent="0.2">
      <c r="A187" s="17"/>
    </row>
    <row r="188" spans="1:1" customFormat="1" x14ac:dyDescent="0.2">
      <c r="A188" s="17"/>
    </row>
    <row r="189" spans="1:1" customFormat="1" x14ac:dyDescent="0.2">
      <c r="A189" s="17"/>
    </row>
    <row r="190" spans="1:1" customFormat="1" x14ac:dyDescent="0.2">
      <c r="A190" s="17"/>
    </row>
    <row r="191" spans="1:1" customFormat="1" x14ac:dyDescent="0.2">
      <c r="A191" s="17"/>
    </row>
    <row r="192" spans="1:1" customFormat="1" x14ac:dyDescent="0.2">
      <c r="A192" s="17"/>
    </row>
    <row r="193" spans="1:1" customFormat="1" x14ac:dyDescent="0.2">
      <c r="A193" s="17"/>
    </row>
    <row r="194" spans="1:1" customFormat="1" x14ac:dyDescent="0.2">
      <c r="A194" s="17"/>
    </row>
    <row r="195" spans="1:1" customFormat="1" x14ac:dyDescent="0.2">
      <c r="A195" s="17"/>
    </row>
    <row r="196" spans="1:1" customFormat="1" x14ac:dyDescent="0.2">
      <c r="A196" s="17"/>
    </row>
    <row r="197" spans="1:1" customFormat="1" x14ac:dyDescent="0.2">
      <c r="A197" s="17"/>
    </row>
    <row r="198" spans="1:1" customFormat="1" x14ac:dyDescent="0.2">
      <c r="A198" s="17"/>
    </row>
    <row r="199" spans="1:1" customFormat="1" x14ac:dyDescent="0.2">
      <c r="A199" s="17"/>
    </row>
    <row r="200" spans="1:1" customFormat="1" x14ac:dyDescent="0.2">
      <c r="A200" s="17"/>
    </row>
    <row r="201" spans="1:1" customFormat="1" x14ac:dyDescent="0.2">
      <c r="A201" s="17"/>
    </row>
    <row r="202" spans="1:1" customFormat="1" x14ac:dyDescent="0.2">
      <c r="A202" s="17"/>
    </row>
    <row r="203" spans="1:1" customFormat="1" x14ac:dyDescent="0.2">
      <c r="A203" s="17"/>
    </row>
    <row r="204" spans="1:1" customFormat="1" x14ac:dyDescent="0.2">
      <c r="A204" s="17"/>
    </row>
    <row r="205" spans="1:1" customFormat="1" x14ac:dyDescent="0.2">
      <c r="A205" s="17"/>
    </row>
    <row r="206" spans="1:1" customFormat="1" x14ac:dyDescent="0.2">
      <c r="A206" s="17"/>
    </row>
    <row r="207" spans="1:1" customFormat="1" x14ac:dyDescent="0.2">
      <c r="A207" s="17"/>
    </row>
    <row r="208" spans="1:1" customFormat="1" x14ac:dyDescent="0.2">
      <c r="A208" s="17"/>
    </row>
    <row r="209" spans="1:1" customFormat="1" x14ac:dyDescent="0.2">
      <c r="A209" s="17"/>
    </row>
    <row r="210" spans="1:1" customFormat="1" x14ac:dyDescent="0.2">
      <c r="A210" s="17"/>
    </row>
    <row r="211" spans="1:1" customFormat="1" x14ac:dyDescent="0.2">
      <c r="A211" s="17"/>
    </row>
    <row r="212" spans="1:1" customFormat="1" x14ac:dyDescent="0.2">
      <c r="A212" s="17"/>
    </row>
    <row r="213" spans="1:1" customFormat="1" x14ac:dyDescent="0.2">
      <c r="A213" s="17"/>
    </row>
    <row r="214" spans="1:1" customFormat="1" x14ac:dyDescent="0.2">
      <c r="A214" s="17"/>
    </row>
    <row r="215" spans="1:1" customFormat="1" x14ac:dyDescent="0.2">
      <c r="A215" s="17"/>
    </row>
    <row r="216" spans="1:1" customFormat="1" x14ac:dyDescent="0.2">
      <c r="A216" s="17"/>
    </row>
    <row r="217" spans="1:1" customFormat="1" x14ac:dyDescent="0.2">
      <c r="A217" s="17"/>
    </row>
    <row r="218" spans="1:1" customFormat="1" x14ac:dyDescent="0.2">
      <c r="A218" s="17"/>
    </row>
    <row r="219" spans="1:1" customFormat="1" x14ac:dyDescent="0.2">
      <c r="A219" s="17"/>
    </row>
    <row r="220" spans="1:1" customFormat="1" x14ac:dyDescent="0.2">
      <c r="A220" s="17"/>
    </row>
    <row r="221" spans="1:1" customFormat="1" x14ac:dyDescent="0.2">
      <c r="A221" s="17"/>
    </row>
    <row r="222" spans="1:1" customFormat="1" x14ac:dyDescent="0.2">
      <c r="A222" s="17"/>
    </row>
    <row r="223" spans="1:1" customFormat="1" x14ac:dyDescent="0.2">
      <c r="A223" s="17"/>
    </row>
    <row r="224" spans="1:1" customFormat="1" x14ac:dyDescent="0.2">
      <c r="A224" s="17"/>
    </row>
    <row r="225" spans="1:1" customFormat="1" x14ac:dyDescent="0.2">
      <c r="A225" s="17"/>
    </row>
    <row r="226" spans="1:1" customFormat="1" x14ac:dyDescent="0.2">
      <c r="A226" s="17"/>
    </row>
    <row r="227" spans="1:1" customFormat="1" x14ac:dyDescent="0.2">
      <c r="A227" s="17"/>
    </row>
    <row r="228" spans="1:1" customFormat="1" x14ac:dyDescent="0.2">
      <c r="A228" s="17"/>
    </row>
    <row r="229" spans="1:1" customFormat="1" x14ac:dyDescent="0.2">
      <c r="A229" s="17"/>
    </row>
    <row r="230" spans="1:1" customFormat="1" x14ac:dyDescent="0.2">
      <c r="A230" s="17"/>
    </row>
    <row r="231" spans="1:1" customFormat="1" x14ac:dyDescent="0.2">
      <c r="A231" s="17"/>
    </row>
    <row r="232" spans="1:1" customFormat="1" x14ac:dyDescent="0.2">
      <c r="A232" s="17"/>
    </row>
    <row r="233" spans="1:1" customFormat="1" x14ac:dyDescent="0.2">
      <c r="A233" s="17"/>
    </row>
    <row r="234" spans="1:1" customFormat="1" x14ac:dyDescent="0.2">
      <c r="A234" s="17"/>
    </row>
    <row r="235" spans="1:1" customFormat="1" x14ac:dyDescent="0.2">
      <c r="A235" s="17"/>
    </row>
    <row r="236" spans="1:1" customFormat="1" x14ac:dyDescent="0.2">
      <c r="A236" s="17"/>
    </row>
    <row r="237" spans="1:1" customFormat="1" x14ac:dyDescent="0.2">
      <c r="A237" s="17"/>
    </row>
    <row r="238" spans="1:1" customFormat="1" x14ac:dyDescent="0.2">
      <c r="A238" s="17"/>
    </row>
    <row r="239" spans="1:1" customFormat="1" x14ac:dyDescent="0.2">
      <c r="A239" s="17"/>
    </row>
    <row r="240" spans="1:1" customFormat="1" x14ac:dyDescent="0.2">
      <c r="A240" s="17"/>
    </row>
    <row r="241" spans="1:1" customFormat="1" x14ac:dyDescent="0.2">
      <c r="A241" s="17"/>
    </row>
    <row r="242" spans="1:1" customFormat="1" x14ac:dyDescent="0.2">
      <c r="A242" s="17"/>
    </row>
    <row r="243" spans="1:1" customFormat="1" x14ac:dyDescent="0.2">
      <c r="A243" s="17"/>
    </row>
    <row r="244" spans="1:1" customFormat="1" x14ac:dyDescent="0.2">
      <c r="A244" s="17"/>
    </row>
    <row r="245" spans="1:1" customFormat="1" x14ac:dyDescent="0.2">
      <c r="A245" s="17"/>
    </row>
    <row r="246" spans="1:1" customFormat="1" x14ac:dyDescent="0.2">
      <c r="A246" s="17"/>
    </row>
    <row r="247" spans="1:1" customFormat="1" x14ac:dyDescent="0.2">
      <c r="A247" s="17"/>
    </row>
    <row r="248" spans="1:1" customFormat="1" x14ac:dyDescent="0.2">
      <c r="A248" s="17"/>
    </row>
    <row r="249" spans="1:1" customFormat="1" x14ac:dyDescent="0.2">
      <c r="A249" s="17"/>
    </row>
    <row r="250" spans="1:1" customFormat="1" x14ac:dyDescent="0.2">
      <c r="A250" s="17"/>
    </row>
    <row r="251" spans="1:1" customFormat="1" x14ac:dyDescent="0.2">
      <c r="A251" s="17"/>
    </row>
    <row r="252" spans="1:1" customFormat="1" x14ac:dyDescent="0.2">
      <c r="A252" s="17"/>
    </row>
    <row r="253" spans="1:1" customFormat="1" x14ac:dyDescent="0.2">
      <c r="A253" s="17"/>
    </row>
    <row r="254" spans="1:1" customFormat="1" x14ac:dyDescent="0.2">
      <c r="A254" s="17"/>
    </row>
    <row r="255" spans="1:1" customFormat="1" x14ac:dyDescent="0.2">
      <c r="A255" s="17"/>
    </row>
    <row r="256" spans="1:1" customFormat="1" x14ac:dyDescent="0.2">
      <c r="A256" s="17"/>
    </row>
    <row r="257" spans="1:1" customFormat="1" x14ac:dyDescent="0.2">
      <c r="A257" s="17"/>
    </row>
    <row r="258" spans="1:1" customFormat="1" x14ac:dyDescent="0.2">
      <c r="A258" s="17"/>
    </row>
    <row r="259" spans="1:1" customFormat="1" x14ac:dyDescent="0.2">
      <c r="A259" s="17"/>
    </row>
    <row r="260" spans="1:1" customFormat="1" x14ac:dyDescent="0.2">
      <c r="A260" s="17"/>
    </row>
    <row r="261" spans="1:1" customFormat="1" x14ac:dyDescent="0.2">
      <c r="A261" s="17"/>
    </row>
    <row r="262" spans="1:1" customFormat="1" x14ac:dyDescent="0.2">
      <c r="A262" s="17"/>
    </row>
    <row r="263" spans="1:1" customFormat="1" x14ac:dyDescent="0.2">
      <c r="A263" s="17"/>
    </row>
    <row r="264" spans="1:1" customFormat="1" x14ac:dyDescent="0.2">
      <c r="A264" s="17"/>
    </row>
    <row r="265" spans="1:1" customFormat="1" x14ac:dyDescent="0.2">
      <c r="A265" s="17"/>
    </row>
    <row r="266" spans="1:1" customFormat="1" x14ac:dyDescent="0.2">
      <c r="A266" s="17"/>
    </row>
    <row r="267" spans="1:1" customFormat="1" x14ac:dyDescent="0.2">
      <c r="A267" s="17"/>
    </row>
    <row r="268" spans="1:1" customFormat="1" x14ac:dyDescent="0.2">
      <c r="A268" s="17"/>
    </row>
    <row r="269" spans="1:1" customFormat="1" x14ac:dyDescent="0.2">
      <c r="A269" s="17"/>
    </row>
    <row r="270" spans="1:1" customFormat="1" x14ac:dyDescent="0.2">
      <c r="A270" s="17"/>
    </row>
    <row r="271" spans="1:1" customFormat="1" x14ac:dyDescent="0.2">
      <c r="A271" s="17"/>
    </row>
    <row r="272" spans="1:1" customFormat="1" x14ac:dyDescent="0.2">
      <c r="A272" s="17"/>
    </row>
    <row r="273" spans="1:1" customFormat="1" x14ac:dyDescent="0.2">
      <c r="A273" s="17"/>
    </row>
    <row r="274" spans="1:1" customFormat="1" x14ac:dyDescent="0.2">
      <c r="A274" s="17"/>
    </row>
    <row r="275" spans="1:1" customFormat="1" x14ac:dyDescent="0.2">
      <c r="A275" s="17"/>
    </row>
    <row r="276" spans="1:1" customFormat="1" x14ac:dyDescent="0.2">
      <c r="A276" s="17"/>
    </row>
    <row r="277" spans="1:1" customFormat="1" x14ac:dyDescent="0.2">
      <c r="A277" s="17"/>
    </row>
    <row r="278" spans="1:1" customFormat="1" x14ac:dyDescent="0.2">
      <c r="A278" s="17"/>
    </row>
    <row r="279" spans="1:1" customFormat="1" x14ac:dyDescent="0.2">
      <c r="A279" s="17"/>
    </row>
    <row r="280" spans="1:1" customFormat="1" x14ac:dyDescent="0.2">
      <c r="A280" s="17"/>
    </row>
    <row r="281" spans="1:1" customFormat="1" x14ac:dyDescent="0.2">
      <c r="A281" s="17"/>
    </row>
    <row r="282" spans="1:1" customFormat="1" x14ac:dyDescent="0.2">
      <c r="A282" s="17"/>
    </row>
    <row r="283" spans="1:1" customFormat="1" x14ac:dyDescent="0.2">
      <c r="A283" s="17"/>
    </row>
    <row r="284" spans="1:1" customFormat="1" x14ac:dyDescent="0.2">
      <c r="A284" s="17"/>
    </row>
    <row r="285" spans="1:1" customFormat="1" x14ac:dyDescent="0.2">
      <c r="A285" s="17"/>
    </row>
    <row r="286" spans="1:1" customFormat="1" x14ac:dyDescent="0.2">
      <c r="A286" s="17"/>
    </row>
    <row r="287" spans="1:1" customFormat="1" x14ac:dyDescent="0.2">
      <c r="A287" s="17"/>
    </row>
    <row r="288" spans="1:1" customFormat="1" x14ac:dyDescent="0.2">
      <c r="A288" s="17"/>
    </row>
    <row r="289" spans="1:1" customFormat="1" x14ac:dyDescent="0.2">
      <c r="A289" s="17"/>
    </row>
    <row r="290" spans="1:1" customFormat="1" x14ac:dyDescent="0.2">
      <c r="A290" s="17"/>
    </row>
    <row r="291" spans="1:1" customFormat="1" x14ac:dyDescent="0.2">
      <c r="A291" s="17"/>
    </row>
    <row r="292" spans="1:1" customFormat="1" x14ac:dyDescent="0.2">
      <c r="A292" s="17"/>
    </row>
    <row r="293" spans="1:1" customFormat="1" x14ac:dyDescent="0.2">
      <c r="A293" s="17"/>
    </row>
    <row r="294" spans="1:1" customFormat="1" x14ac:dyDescent="0.2">
      <c r="A294" s="17"/>
    </row>
    <row r="295" spans="1:1" customFormat="1" x14ac:dyDescent="0.2">
      <c r="A295" s="17"/>
    </row>
    <row r="296" spans="1:1" customFormat="1" x14ac:dyDescent="0.2">
      <c r="A296" s="17"/>
    </row>
    <row r="297" spans="1:1" customFormat="1" x14ac:dyDescent="0.2">
      <c r="A297" s="17"/>
    </row>
    <row r="298" spans="1:1" customFormat="1" x14ac:dyDescent="0.2">
      <c r="A298" s="17"/>
    </row>
    <row r="299" spans="1:1" customFormat="1" x14ac:dyDescent="0.2">
      <c r="A299" s="17"/>
    </row>
    <row r="300" spans="1:1" customFormat="1" x14ac:dyDescent="0.2">
      <c r="A300" s="17"/>
    </row>
    <row r="301" spans="1:1" customFormat="1" x14ac:dyDescent="0.2">
      <c r="A301" s="17"/>
    </row>
    <row r="302" spans="1:1" customFormat="1" x14ac:dyDescent="0.2">
      <c r="A302" s="17"/>
    </row>
    <row r="303" spans="1:1" customFormat="1" x14ac:dyDescent="0.2">
      <c r="A303" s="17"/>
    </row>
    <row r="304" spans="1:1" customFormat="1" x14ac:dyDescent="0.2">
      <c r="A304" s="17"/>
    </row>
    <row r="305" spans="1:1" customFormat="1" x14ac:dyDescent="0.2">
      <c r="A305" s="17"/>
    </row>
    <row r="306" spans="1:1" customFormat="1" x14ac:dyDescent="0.2">
      <c r="A306" s="17"/>
    </row>
    <row r="307" spans="1:1" customFormat="1" x14ac:dyDescent="0.2">
      <c r="A307" s="17"/>
    </row>
    <row r="308" spans="1:1" customFormat="1" x14ac:dyDescent="0.2">
      <c r="A308" s="17"/>
    </row>
    <row r="309" spans="1:1" customFormat="1" x14ac:dyDescent="0.2">
      <c r="A309" s="17"/>
    </row>
    <row r="310" spans="1:1" customFormat="1" x14ac:dyDescent="0.2">
      <c r="A310" s="17"/>
    </row>
    <row r="311" spans="1:1" customFormat="1" x14ac:dyDescent="0.2">
      <c r="A311" s="17"/>
    </row>
    <row r="312" spans="1:1" customFormat="1" x14ac:dyDescent="0.2">
      <c r="A312" s="17"/>
    </row>
    <row r="313" spans="1:1" customFormat="1" x14ac:dyDescent="0.2">
      <c r="A313" s="17"/>
    </row>
    <row r="314" spans="1:1" customFormat="1" x14ac:dyDescent="0.2">
      <c r="A314" s="17"/>
    </row>
    <row r="315" spans="1:1" customFormat="1" x14ac:dyDescent="0.2">
      <c r="A315" s="17"/>
    </row>
    <row r="316" spans="1:1" customFormat="1" x14ac:dyDescent="0.2">
      <c r="A316" s="17"/>
    </row>
    <row r="317" spans="1:1" customFormat="1" x14ac:dyDescent="0.2">
      <c r="A317" s="17"/>
    </row>
    <row r="318" spans="1:1" customFormat="1" x14ac:dyDescent="0.2">
      <c r="A318" s="17"/>
    </row>
    <row r="319" spans="1:1" customFormat="1" x14ac:dyDescent="0.2">
      <c r="A319" s="17"/>
    </row>
    <row r="320" spans="1:1" customFormat="1" x14ac:dyDescent="0.2">
      <c r="A320" s="17"/>
    </row>
    <row r="321" spans="1:1" customFormat="1" x14ac:dyDescent="0.2">
      <c r="A321" s="17"/>
    </row>
    <row r="322" spans="1:1" customFormat="1" x14ac:dyDescent="0.2">
      <c r="A322" s="17"/>
    </row>
    <row r="323" spans="1:1" customFormat="1" x14ac:dyDescent="0.2">
      <c r="A323" s="17"/>
    </row>
    <row r="324" spans="1:1" customFormat="1" x14ac:dyDescent="0.2">
      <c r="A324" s="17"/>
    </row>
    <row r="325" spans="1:1" customFormat="1" x14ac:dyDescent="0.2">
      <c r="A325" s="17"/>
    </row>
    <row r="326" spans="1:1" customFormat="1" x14ac:dyDescent="0.2">
      <c r="A326" s="17"/>
    </row>
    <row r="327" spans="1:1" customFormat="1" x14ac:dyDescent="0.2">
      <c r="A327" s="17"/>
    </row>
    <row r="328" spans="1:1" customFormat="1" x14ac:dyDescent="0.2">
      <c r="A328" s="17"/>
    </row>
    <row r="329" spans="1:1" customFormat="1" x14ac:dyDescent="0.2">
      <c r="A329" s="17"/>
    </row>
    <row r="330" spans="1:1" customFormat="1" x14ac:dyDescent="0.2">
      <c r="A330" s="17"/>
    </row>
    <row r="331" spans="1:1" customFormat="1" x14ac:dyDescent="0.2">
      <c r="A331" s="17"/>
    </row>
    <row r="332" spans="1:1" customFormat="1" x14ac:dyDescent="0.2">
      <c r="A332" s="17"/>
    </row>
    <row r="333" spans="1:1" customFormat="1" x14ac:dyDescent="0.2">
      <c r="A333" s="17"/>
    </row>
    <row r="334" spans="1:1" customFormat="1" x14ac:dyDescent="0.2">
      <c r="A334" s="17"/>
    </row>
    <row r="335" spans="1:1" customFormat="1" x14ac:dyDescent="0.2">
      <c r="A335" s="17"/>
    </row>
    <row r="336" spans="1:1" customFormat="1" x14ac:dyDescent="0.2">
      <c r="A336" s="17"/>
    </row>
    <row r="337" spans="1:1" customFormat="1" x14ac:dyDescent="0.2">
      <c r="A337" s="17"/>
    </row>
    <row r="338" spans="1:1" customFormat="1" x14ac:dyDescent="0.2">
      <c r="A338" s="17"/>
    </row>
    <row r="339" spans="1:1" customFormat="1" x14ac:dyDescent="0.2">
      <c r="A339" s="17"/>
    </row>
    <row r="340" spans="1:1" customFormat="1" x14ac:dyDescent="0.2">
      <c r="A340" s="17"/>
    </row>
    <row r="341" spans="1:1" customFormat="1" x14ac:dyDescent="0.2">
      <c r="A341" s="17"/>
    </row>
    <row r="342" spans="1:1" customFormat="1" x14ac:dyDescent="0.2">
      <c r="A342" s="17"/>
    </row>
    <row r="343" spans="1:1" customFormat="1" x14ac:dyDescent="0.2">
      <c r="A343" s="17"/>
    </row>
    <row r="344" spans="1:1" customFormat="1" x14ac:dyDescent="0.2">
      <c r="A344" s="17"/>
    </row>
    <row r="345" spans="1:1" customFormat="1" x14ac:dyDescent="0.2">
      <c r="A345" s="17"/>
    </row>
    <row r="346" spans="1:1" customFormat="1" x14ac:dyDescent="0.2">
      <c r="A346" s="17"/>
    </row>
    <row r="347" spans="1:1" customFormat="1" x14ac:dyDescent="0.2">
      <c r="A347" s="17"/>
    </row>
    <row r="348" spans="1:1" customFormat="1" x14ac:dyDescent="0.2">
      <c r="A348" s="17"/>
    </row>
    <row r="349" spans="1:1" customFormat="1" x14ac:dyDescent="0.2">
      <c r="A349" s="17"/>
    </row>
    <row r="350" spans="1:1" customFormat="1" x14ac:dyDescent="0.2">
      <c r="A350" s="17"/>
    </row>
    <row r="351" spans="1:1" customFormat="1" x14ac:dyDescent="0.2">
      <c r="A351" s="17"/>
    </row>
    <row r="352" spans="1:1" customFormat="1" x14ac:dyDescent="0.2">
      <c r="A352" s="17"/>
    </row>
    <row r="353" spans="1:1" customFormat="1" x14ac:dyDescent="0.2">
      <c r="A353" s="17"/>
    </row>
    <row r="354" spans="1:1" customFormat="1" x14ac:dyDescent="0.2">
      <c r="A354" s="17"/>
    </row>
    <row r="355" spans="1:1" customFormat="1" x14ac:dyDescent="0.2">
      <c r="A355" s="17"/>
    </row>
    <row r="356" spans="1:1" customFormat="1" x14ac:dyDescent="0.2">
      <c r="A356" s="17"/>
    </row>
    <row r="357" spans="1:1" customFormat="1" x14ac:dyDescent="0.2">
      <c r="A357" s="17"/>
    </row>
    <row r="358" spans="1:1" customFormat="1" x14ac:dyDescent="0.2">
      <c r="A358" s="17"/>
    </row>
    <row r="359" spans="1:1" customFormat="1" x14ac:dyDescent="0.2">
      <c r="A359" s="17"/>
    </row>
    <row r="360" spans="1:1" customFormat="1" x14ac:dyDescent="0.2">
      <c r="A360" s="17"/>
    </row>
    <row r="361" spans="1:1" customFormat="1" x14ac:dyDescent="0.2">
      <c r="A361" s="17"/>
    </row>
    <row r="362" spans="1:1" customFormat="1" x14ac:dyDescent="0.2">
      <c r="A362" s="17"/>
    </row>
    <row r="363" spans="1:1" customFormat="1" x14ac:dyDescent="0.2">
      <c r="A363" s="17"/>
    </row>
    <row r="364" spans="1:1" customFormat="1" x14ac:dyDescent="0.2">
      <c r="A364" s="17"/>
    </row>
    <row r="365" spans="1:1" customFormat="1" x14ac:dyDescent="0.2">
      <c r="A365" s="17"/>
    </row>
    <row r="366" spans="1:1" customFormat="1" x14ac:dyDescent="0.2">
      <c r="A366" s="17"/>
    </row>
    <row r="367" spans="1:1" customFormat="1" x14ac:dyDescent="0.2">
      <c r="A367" s="17"/>
    </row>
    <row r="368" spans="1:1" customFormat="1" x14ac:dyDescent="0.2">
      <c r="A368" s="17"/>
    </row>
    <row r="369" spans="1:1" customFormat="1" x14ac:dyDescent="0.2">
      <c r="A369" s="17"/>
    </row>
    <row r="370" spans="1:1" customFormat="1" x14ac:dyDescent="0.2">
      <c r="A370" s="17"/>
    </row>
    <row r="371" spans="1:1" customFormat="1" x14ac:dyDescent="0.2">
      <c r="A371" s="17"/>
    </row>
    <row r="372" spans="1:1" customFormat="1" x14ac:dyDescent="0.2">
      <c r="A372" s="17"/>
    </row>
    <row r="373" spans="1:1" customFormat="1" x14ac:dyDescent="0.2">
      <c r="A373" s="17"/>
    </row>
    <row r="374" spans="1:1" customFormat="1" x14ac:dyDescent="0.2">
      <c r="A374" s="17"/>
    </row>
    <row r="375" spans="1:1" customFormat="1" x14ac:dyDescent="0.2">
      <c r="A375" s="17"/>
    </row>
    <row r="376" spans="1:1" customFormat="1" x14ac:dyDescent="0.2">
      <c r="A376" s="17"/>
    </row>
    <row r="377" spans="1:1" customFormat="1" x14ac:dyDescent="0.2">
      <c r="A377" s="17"/>
    </row>
    <row r="378" spans="1:1" customFormat="1" x14ac:dyDescent="0.2">
      <c r="A378" s="17"/>
    </row>
    <row r="379" spans="1:1" customFormat="1" x14ac:dyDescent="0.2">
      <c r="A379" s="17"/>
    </row>
    <row r="380" spans="1:1" customFormat="1" x14ac:dyDescent="0.2">
      <c r="A380" s="17"/>
    </row>
    <row r="381" spans="1:1" customFormat="1" x14ac:dyDescent="0.2">
      <c r="A381" s="17"/>
    </row>
    <row r="382" spans="1:1" customFormat="1" x14ac:dyDescent="0.2">
      <c r="A382" s="17"/>
    </row>
    <row r="383" spans="1:1" customFormat="1" x14ac:dyDescent="0.2">
      <c r="A383" s="17"/>
    </row>
    <row r="384" spans="1:1" customFormat="1" x14ac:dyDescent="0.2">
      <c r="A384" s="17"/>
    </row>
    <row r="385" spans="1:1" customFormat="1" x14ac:dyDescent="0.2">
      <c r="A385" s="17"/>
    </row>
    <row r="386" spans="1:1" customFormat="1" x14ac:dyDescent="0.2">
      <c r="A386" s="17"/>
    </row>
    <row r="387" spans="1:1" customFormat="1" x14ac:dyDescent="0.2">
      <c r="A387" s="17"/>
    </row>
    <row r="388" spans="1:1" customFormat="1" x14ac:dyDescent="0.2">
      <c r="A388" s="17"/>
    </row>
    <row r="389" spans="1:1" customFormat="1" x14ac:dyDescent="0.2">
      <c r="A389" s="17"/>
    </row>
    <row r="390" spans="1:1" customFormat="1" x14ac:dyDescent="0.2">
      <c r="A390" s="17"/>
    </row>
    <row r="391" spans="1:1" customFormat="1" x14ac:dyDescent="0.2">
      <c r="A391" s="17"/>
    </row>
    <row r="392" spans="1:1" customFormat="1" x14ac:dyDescent="0.2">
      <c r="A392" s="17"/>
    </row>
    <row r="393" spans="1:1" customFormat="1" x14ac:dyDescent="0.2">
      <c r="A393" s="17"/>
    </row>
    <row r="394" spans="1:1" customFormat="1" x14ac:dyDescent="0.2">
      <c r="A394" s="17"/>
    </row>
    <row r="395" spans="1:1" customFormat="1" x14ac:dyDescent="0.2">
      <c r="A395" s="17"/>
    </row>
    <row r="396" spans="1:1" customFormat="1" x14ac:dyDescent="0.2">
      <c r="A396" s="17"/>
    </row>
    <row r="397" spans="1:1" customFormat="1" x14ac:dyDescent="0.2">
      <c r="A397" s="17"/>
    </row>
    <row r="398" spans="1:1" customFormat="1" x14ac:dyDescent="0.2">
      <c r="A398" s="17"/>
    </row>
    <row r="399" spans="1:1" customFormat="1" x14ac:dyDescent="0.2">
      <c r="A399" s="17"/>
    </row>
    <row r="400" spans="1:1" customFormat="1" x14ac:dyDescent="0.2">
      <c r="A400" s="17"/>
    </row>
    <row r="401" spans="1:1" customFormat="1" x14ac:dyDescent="0.2">
      <c r="A401" s="17"/>
    </row>
    <row r="402" spans="1:1" customFormat="1" x14ac:dyDescent="0.2">
      <c r="A402" s="17"/>
    </row>
    <row r="403" spans="1:1" customFormat="1" x14ac:dyDescent="0.2">
      <c r="A403" s="17"/>
    </row>
    <row r="404" spans="1:1" customFormat="1" x14ac:dyDescent="0.2">
      <c r="A404" s="17"/>
    </row>
    <row r="405" spans="1:1" customFormat="1" x14ac:dyDescent="0.2">
      <c r="A405" s="17"/>
    </row>
    <row r="406" spans="1:1" customFormat="1" x14ac:dyDescent="0.2">
      <c r="A406" s="17"/>
    </row>
    <row r="407" spans="1:1" customFormat="1" x14ac:dyDescent="0.2">
      <c r="A407" s="17"/>
    </row>
    <row r="408" spans="1:1" customFormat="1" x14ac:dyDescent="0.2">
      <c r="A408" s="17"/>
    </row>
    <row r="409" spans="1:1" customFormat="1" x14ac:dyDescent="0.2">
      <c r="A409" s="17"/>
    </row>
    <row r="410" spans="1:1" customFormat="1" x14ac:dyDescent="0.2">
      <c r="A410" s="17"/>
    </row>
    <row r="411" spans="1:1" customFormat="1" x14ac:dyDescent="0.2">
      <c r="A411" s="17"/>
    </row>
    <row r="412" spans="1:1" customFormat="1" x14ac:dyDescent="0.2">
      <c r="A412" s="17"/>
    </row>
    <row r="413" spans="1:1" customFormat="1" x14ac:dyDescent="0.2">
      <c r="A413" s="17"/>
    </row>
    <row r="414" spans="1:1" customFormat="1" x14ac:dyDescent="0.2">
      <c r="A414" s="17"/>
    </row>
    <row r="415" spans="1:1" customFormat="1" x14ac:dyDescent="0.2">
      <c r="A415" s="17"/>
    </row>
    <row r="416" spans="1:1" customFormat="1" x14ac:dyDescent="0.2">
      <c r="A416" s="17"/>
    </row>
    <row r="417" spans="1:1" customFormat="1" x14ac:dyDescent="0.2">
      <c r="A417" s="17"/>
    </row>
    <row r="418" spans="1:1" customFormat="1" x14ac:dyDescent="0.2">
      <c r="A418" s="17"/>
    </row>
    <row r="419" spans="1:1" customFormat="1" x14ac:dyDescent="0.2">
      <c r="A419" s="17"/>
    </row>
    <row r="420" spans="1:1" customFormat="1" x14ac:dyDescent="0.2">
      <c r="A420" s="17"/>
    </row>
    <row r="421" spans="1:1" customFormat="1" x14ac:dyDescent="0.2">
      <c r="A421" s="17"/>
    </row>
    <row r="422" spans="1:1" customFormat="1" x14ac:dyDescent="0.2">
      <c r="A422" s="17"/>
    </row>
    <row r="423" spans="1:1" customFormat="1" x14ac:dyDescent="0.2">
      <c r="A423" s="17"/>
    </row>
    <row r="424" spans="1:1" customFormat="1" x14ac:dyDescent="0.2">
      <c r="A424" s="17"/>
    </row>
    <row r="425" spans="1:1" customFormat="1" x14ac:dyDescent="0.2">
      <c r="A425" s="17"/>
    </row>
    <row r="426" spans="1:1" customFormat="1" x14ac:dyDescent="0.2">
      <c r="A426" s="17"/>
    </row>
    <row r="427" spans="1:1" customFormat="1" x14ac:dyDescent="0.2">
      <c r="A427" s="17"/>
    </row>
    <row r="428" spans="1:1" customFormat="1" x14ac:dyDescent="0.2">
      <c r="A428" s="17"/>
    </row>
    <row r="429" spans="1:1" customFormat="1" x14ac:dyDescent="0.2">
      <c r="A429" s="17"/>
    </row>
    <row r="430" spans="1:1" customFormat="1" x14ac:dyDescent="0.2">
      <c r="A430" s="17"/>
    </row>
    <row r="431" spans="1:1" customFormat="1" x14ac:dyDescent="0.2">
      <c r="A431" s="17"/>
    </row>
    <row r="432" spans="1:1" customFormat="1" x14ac:dyDescent="0.2">
      <c r="A432" s="17"/>
    </row>
    <row r="433" spans="1:1" customFormat="1" x14ac:dyDescent="0.2">
      <c r="A433" s="17"/>
    </row>
    <row r="434" spans="1:1" customFormat="1" x14ac:dyDescent="0.2">
      <c r="A434" s="17"/>
    </row>
    <row r="435" spans="1:1" customFormat="1" x14ac:dyDescent="0.2">
      <c r="A435" s="17"/>
    </row>
    <row r="436" spans="1:1" customFormat="1" x14ac:dyDescent="0.2">
      <c r="A436" s="17"/>
    </row>
    <row r="437" spans="1:1" customFormat="1" x14ac:dyDescent="0.2">
      <c r="A437" s="17"/>
    </row>
    <row r="438" spans="1:1" customFormat="1" x14ac:dyDescent="0.2">
      <c r="A438" s="17"/>
    </row>
    <row r="439" spans="1:1" customFormat="1" x14ac:dyDescent="0.2">
      <c r="A439" s="17"/>
    </row>
    <row r="440" spans="1:1" customFormat="1" x14ac:dyDescent="0.2">
      <c r="A440" s="17"/>
    </row>
    <row r="441" spans="1:1" customFormat="1" x14ac:dyDescent="0.2">
      <c r="A441" s="17"/>
    </row>
    <row r="442" spans="1:1" customFormat="1" x14ac:dyDescent="0.2">
      <c r="A442" s="17"/>
    </row>
    <row r="443" spans="1:1" customFormat="1" x14ac:dyDescent="0.2">
      <c r="A443" s="17"/>
    </row>
    <row r="444" spans="1:1" customFormat="1" x14ac:dyDescent="0.2">
      <c r="A444" s="17"/>
    </row>
    <row r="445" spans="1:1" customFormat="1" x14ac:dyDescent="0.2">
      <c r="A445" s="17"/>
    </row>
    <row r="446" spans="1:1" customFormat="1" x14ac:dyDescent="0.2">
      <c r="A446" s="17"/>
    </row>
    <row r="447" spans="1:1" customFormat="1" x14ac:dyDescent="0.2">
      <c r="A447" s="17"/>
    </row>
    <row r="448" spans="1:1" customFormat="1" x14ac:dyDescent="0.2">
      <c r="A448" s="17"/>
    </row>
    <row r="449" spans="1:1" customFormat="1" x14ac:dyDescent="0.2">
      <c r="A449" s="17"/>
    </row>
    <row r="450" spans="1:1" customFormat="1" x14ac:dyDescent="0.2">
      <c r="A450" s="17"/>
    </row>
    <row r="451" spans="1:1" customFormat="1" x14ac:dyDescent="0.2">
      <c r="A451" s="17"/>
    </row>
    <row r="452" spans="1:1" customFormat="1" x14ac:dyDescent="0.2">
      <c r="A452" s="17"/>
    </row>
    <row r="453" spans="1:1" customFormat="1" x14ac:dyDescent="0.2">
      <c r="A453" s="17"/>
    </row>
    <row r="454" spans="1:1" customFormat="1" x14ac:dyDescent="0.2">
      <c r="A454" s="17"/>
    </row>
    <row r="455" spans="1:1" customFormat="1" x14ac:dyDescent="0.2">
      <c r="A455" s="17"/>
    </row>
    <row r="456" spans="1:1" customFormat="1" x14ac:dyDescent="0.2">
      <c r="A456" s="17"/>
    </row>
    <row r="457" spans="1:1" customFormat="1" x14ac:dyDescent="0.2">
      <c r="A457" s="17"/>
    </row>
    <row r="458" spans="1:1" customFormat="1" x14ac:dyDescent="0.2">
      <c r="A458" s="17"/>
    </row>
    <row r="459" spans="1:1" customFormat="1" x14ac:dyDescent="0.2">
      <c r="A459" s="17"/>
    </row>
    <row r="460" spans="1:1" customFormat="1" x14ac:dyDescent="0.2">
      <c r="A460" s="17"/>
    </row>
    <row r="461" spans="1:1" customFormat="1" x14ac:dyDescent="0.2">
      <c r="A461" s="17"/>
    </row>
    <row r="462" spans="1:1" customFormat="1" x14ac:dyDescent="0.2">
      <c r="A462" s="17"/>
    </row>
    <row r="463" spans="1:1" customFormat="1" x14ac:dyDescent="0.2">
      <c r="A463" s="17"/>
    </row>
    <row r="464" spans="1:1" customFormat="1" x14ac:dyDescent="0.2">
      <c r="A464" s="17"/>
    </row>
    <row r="465" spans="1:1" customFormat="1" x14ac:dyDescent="0.2">
      <c r="A465" s="17"/>
    </row>
    <row r="466" spans="1:1" customFormat="1" x14ac:dyDescent="0.2">
      <c r="A466" s="17"/>
    </row>
    <row r="467" spans="1:1" customFormat="1" x14ac:dyDescent="0.2">
      <c r="A467" s="17"/>
    </row>
    <row r="468" spans="1:1" customFormat="1" x14ac:dyDescent="0.2">
      <c r="A468" s="17"/>
    </row>
    <row r="469" spans="1:1" customFormat="1" x14ac:dyDescent="0.2">
      <c r="A469" s="17"/>
    </row>
    <row r="470" spans="1:1" customFormat="1" x14ac:dyDescent="0.2">
      <c r="A470" s="17"/>
    </row>
    <row r="471" spans="1:1" customFormat="1" x14ac:dyDescent="0.2">
      <c r="A471" s="17"/>
    </row>
    <row r="472" spans="1:1" customFormat="1" x14ac:dyDescent="0.2">
      <c r="A472" s="17"/>
    </row>
    <row r="473" spans="1:1" customFormat="1" x14ac:dyDescent="0.2">
      <c r="A473" s="17"/>
    </row>
    <row r="474" spans="1:1" customFormat="1" x14ac:dyDescent="0.2">
      <c r="A474" s="17"/>
    </row>
    <row r="475" spans="1:1" customFormat="1" x14ac:dyDescent="0.2">
      <c r="A475" s="17"/>
    </row>
    <row r="476" spans="1:1" customFormat="1" x14ac:dyDescent="0.2">
      <c r="A476" s="17"/>
    </row>
    <row r="477" spans="1:1" customFormat="1" x14ac:dyDescent="0.2">
      <c r="A477" s="17"/>
    </row>
    <row r="478" spans="1:1" customFormat="1" x14ac:dyDescent="0.2">
      <c r="A478" s="17"/>
    </row>
    <row r="479" spans="1:1" customFormat="1" x14ac:dyDescent="0.2">
      <c r="A479" s="17"/>
    </row>
    <row r="480" spans="1:1" customFormat="1" x14ac:dyDescent="0.2">
      <c r="A480" s="17"/>
    </row>
    <row r="481" spans="1:1" customFormat="1" x14ac:dyDescent="0.2">
      <c r="A481" s="17"/>
    </row>
    <row r="482" spans="1:1" customFormat="1" x14ac:dyDescent="0.2">
      <c r="A482" s="17"/>
    </row>
    <row r="483" spans="1:1" customFormat="1" x14ac:dyDescent="0.2">
      <c r="A483" s="17"/>
    </row>
    <row r="484" spans="1:1" customFormat="1" x14ac:dyDescent="0.2">
      <c r="A484" s="17"/>
    </row>
    <row r="485" spans="1:1" customFormat="1" x14ac:dyDescent="0.2">
      <c r="A485" s="17"/>
    </row>
    <row r="486" spans="1:1" customFormat="1" x14ac:dyDescent="0.2">
      <c r="A486" s="17"/>
    </row>
    <row r="487" spans="1:1" customFormat="1" x14ac:dyDescent="0.2">
      <c r="A487" s="17"/>
    </row>
    <row r="488" spans="1:1" customFormat="1" x14ac:dyDescent="0.2">
      <c r="A488" s="17"/>
    </row>
    <row r="489" spans="1:1" customFormat="1" x14ac:dyDescent="0.2">
      <c r="A489" s="17"/>
    </row>
    <row r="490" spans="1:1" customFormat="1" x14ac:dyDescent="0.2">
      <c r="A490" s="17"/>
    </row>
    <row r="491" spans="1:1" customFormat="1" x14ac:dyDescent="0.2">
      <c r="A491" s="17"/>
    </row>
    <row r="492" spans="1:1" customFormat="1" x14ac:dyDescent="0.2">
      <c r="A492" s="17"/>
    </row>
    <row r="493" spans="1:1" customFormat="1" x14ac:dyDescent="0.2">
      <c r="A493" s="17"/>
    </row>
    <row r="494" spans="1:1" customFormat="1" x14ac:dyDescent="0.2">
      <c r="A494" s="17"/>
    </row>
    <row r="495" spans="1:1" customFormat="1" x14ac:dyDescent="0.2">
      <c r="A495" s="17"/>
    </row>
    <row r="496" spans="1:1" customFormat="1" x14ac:dyDescent="0.2">
      <c r="A496" s="17"/>
    </row>
    <row r="497" spans="1:1" customFormat="1" x14ac:dyDescent="0.2">
      <c r="A497" s="17"/>
    </row>
    <row r="498" spans="1:1" customFormat="1" x14ac:dyDescent="0.2">
      <c r="A498" s="17"/>
    </row>
    <row r="499" spans="1:1" customFormat="1" x14ac:dyDescent="0.2">
      <c r="A499" s="17"/>
    </row>
    <row r="500" spans="1:1" customFormat="1" x14ac:dyDescent="0.2">
      <c r="A500" s="17"/>
    </row>
    <row r="501" spans="1:1" customFormat="1" x14ac:dyDescent="0.2">
      <c r="A501" s="17"/>
    </row>
    <row r="502" spans="1:1" customFormat="1" x14ac:dyDescent="0.2">
      <c r="A502" s="17"/>
    </row>
    <row r="503" spans="1:1" customFormat="1" x14ac:dyDescent="0.2">
      <c r="A503" s="17"/>
    </row>
    <row r="504" spans="1:1" customFormat="1" x14ac:dyDescent="0.2">
      <c r="A504" s="17"/>
    </row>
    <row r="505" spans="1:1" customFormat="1" x14ac:dyDescent="0.2">
      <c r="A505" s="17"/>
    </row>
    <row r="506" spans="1:1" customFormat="1" x14ac:dyDescent="0.2">
      <c r="A506" s="17"/>
    </row>
    <row r="507" spans="1:1" customFormat="1" x14ac:dyDescent="0.2">
      <c r="A507" s="17"/>
    </row>
    <row r="508" spans="1:1" customFormat="1" x14ac:dyDescent="0.2">
      <c r="A508" s="17"/>
    </row>
    <row r="509" spans="1:1" customFormat="1" x14ac:dyDescent="0.2">
      <c r="A509" s="17"/>
    </row>
    <row r="510" spans="1:1" customFormat="1" x14ac:dyDescent="0.2">
      <c r="A510" s="17"/>
    </row>
    <row r="511" spans="1:1" customFormat="1" x14ac:dyDescent="0.2">
      <c r="A511" s="17"/>
    </row>
    <row r="512" spans="1:1" customFormat="1" x14ac:dyDescent="0.2">
      <c r="A512" s="17"/>
    </row>
    <row r="513" spans="1:1" customFormat="1" x14ac:dyDescent="0.2">
      <c r="A513" s="17"/>
    </row>
    <row r="514" spans="1:1" customFormat="1" x14ac:dyDescent="0.2">
      <c r="A514" s="17"/>
    </row>
    <row r="515" spans="1:1" customFormat="1" x14ac:dyDescent="0.2">
      <c r="A515" s="17"/>
    </row>
    <row r="516" spans="1:1" customFormat="1" x14ac:dyDescent="0.2">
      <c r="A516" s="17"/>
    </row>
    <row r="517" spans="1:1" customFormat="1" x14ac:dyDescent="0.2">
      <c r="A517" s="17"/>
    </row>
    <row r="518" spans="1:1" customFormat="1" x14ac:dyDescent="0.2">
      <c r="A518" s="17"/>
    </row>
    <row r="519" spans="1:1" customFormat="1" x14ac:dyDescent="0.2">
      <c r="A519" s="17"/>
    </row>
    <row r="520" spans="1:1" customFormat="1" x14ac:dyDescent="0.2">
      <c r="A520" s="17"/>
    </row>
    <row r="521" spans="1:1" customFormat="1" x14ac:dyDescent="0.2">
      <c r="A521" s="17"/>
    </row>
    <row r="522" spans="1:1" customFormat="1" x14ac:dyDescent="0.2">
      <c r="A522" s="17"/>
    </row>
    <row r="523" spans="1:1" customFormat="1" x14ac:dyDescent="0.2">
      <c r="A523" s="17"/>
    </row>
    <row r="524" spans="1:1" customFormat="1" x14ac:dyDescent="0.2">
      <c r="A524" s="17"/>
    </row>
    <row r="525" spans="1:1" customFormat="1" x14ac:dyDescent="0.2">
      <c r="A525" s="17"/>
    </row>
    <row r="526" spans="1:1" customFormat="1" x14ac:dyDescent="0.2">
      <c r="A526" s="17"/>
    </row>
    <row r="527" spans="1:1" customFormat="1" x14ac:dyDescent="0.2">
      <c r="A527" s="17"/>
    </row>
    <row r="528" spans="1:1" customFormat="1" x14ac:dyDescent="0.2">
      <c r="A528" s="17"/>
    </row>
    <row r="529" spans="1:1" customFormat="1" x14ac:dyDescent="0.2">
      <c r="A529" s="17"/>
    </row>
    <row r="530" spans="1:1" customFormat="1" x14ac:dyDescent="0.2">
      <c r="A530" s="17"/>
    </row>
    <row r="531" spans="1:1" customFormat="1" x14ac:dyDescent="0.2">
      <c r="A531" s="17"/>
    </row>
    <row r="532" spans="1:1" customFormat="1" x14ac:dyDescent="0.2">
      <c r="A532" s="17"/>
    </row>
    <row r="533" spans="1:1" customFormat="1" x14ac:dyDescent="0.2">
      <c r="A533" s="17"/>
    </row>
    <row r="534" spans="1:1" customFormat="1" x14ac:dyDescent="0.2">
      <c r="A534" s="17"/>
    </row>
    <row r="535" spans="1:1" customFormat="1" x14ac:dyDescent="0.2">
      <c r="A535" s="17"/>
    </row>
    <row r="536" spans="1:1" customFormat="1" x14ac:dyDescent="0.2">
      <c r="A536" s="17"/>
    </row>
    <row r="537" spans="1:1" customFormat="1" x14ac:dyDescent="0.2">
      <c r="A537" s="17"/>
    </row>
    <row r="538" spans="1:1" customFormat="1" x14ac:dyDescent="0.2">
      <c r="A538" s="17"/>
    </row>
    <row r="539" spans="1:1" customFormat="1" x14ac:dyDescent="0.2">
      <c r="A539" s="17"/>
    </row>
    <row r="540" spans="1:1" customFormat="1" x14ac:dyDescent="0.2">
      <c r="A540" s="17"/>
    </row>
    <row r="541" spans="1:1" customFormat="1" x14ac:dyDescent="0.2">
      <c r="A541" s="17"/>
    </row>
    <row r="542" spans="1:1" customFormat="1" x14ac:dyDescent="0.2">
      <c r="A542" s="17"/>
    </row>
    <row r="543" spans="1:1" customFormat="1" x14ac:dyDescent="0.2">
      <c r="A543" s="17"/>
    </row>
    <row r="544" spans="1:1" customFormat="1" x14ac:dyDescent="0.2">
      <c r="A544" s="17"/>
    </row>
    <row r="545" spans="1:1" customFormat="1" x14ac:dyDescent="0.2">
      <c r="A545" s="17"/>
    </row>
    <row r="546" spans="1:1" customFormat="1" x14ac:dyDescent="0.2">
      <c r="A546" s="17"/>
    </row>
    <row r="547" spans="1:1" customFormat="1" x14ac:dyDescent="0.2">
      <c r="A547" s="17"/>
    </row>
    <row r="548" spans="1:1" customFormat="1" x14ac:dyDescent="0.2">
      <c r="A548" s="17"/>
    </row>
    <row r="549" spans="1:1" customFormat="1" x14ac:dyDescent="0.2">
      <c r="A549" s="17"/>
    </row>
    <row r="550" spans="1:1" customFormat="1" x14ac:dyDescent="0.2">
      <c r="A550" s="17"/>
    </row>
    <row r="551" spans="1:1" customFormat="1" x14ac:dyDescent="0.2">
      <c r="A551" s="17"/>
    </row>
    <row r="552" spans="1:1" customFormat="1" x14ac:dyDescent="0.2">
      <c r="A552" s="17"/>
    </row>
    <row r="553" spans="1:1" customFormat="1" x14ac:dyDescent="0.2">
      <c r="A553" s="17"/>
    </row>
    <row r="554" spans="1:1" customFormat="1" x14ac:dyDescent="0.2">
      <c r="A554" s="17"/>
    </row>
    <row r="555" spans="1:1" customFormat="1" x14ac:dyDescent="0.2">
      <c r="A555" s="17"/>
    </row>
    <row r="556" spans="1:1" customFormat="1" x14ac:dyDescent="0.2">
      <c r="A556" s="17"/>
    </row>
    <row r="557" spans="1:1" customFormat="1" x14ac:dyDescent="0.2">
      <c r="A557" s="17"/>
    </row>
    <row r="558" spans="1:1" customFormat="1" x14ac:dyDescent="0.2">
      <c r="A558" s="17"/>
    </row>
    <row r="559" spans="1:1" customFormat="1" x14ac:dyDescent="0.2">
      <c r="A559" s="17"/>
    </row>
    <row r="560" spans="1:1" customFormat="1" x14ac:dyDescent="0.2">
      <c r="A560" s="17"/>
    </row>
    <row r="561" spans="1:1" customFormat="1" x14ac:dyDescent="0.2">
      <c r="A561" s="17"/>
    </row>
    <row r="562" spans="1:1" customFormat="1" x14ac:dyDescent="0.2">
      <c r="A562" s="17"/>
    </row>
    <row r="563" spans="1:1" customFormat="1" x14ac:dyDescent="0.2">
      <c r="A563" s="17"/>
    </row>
    <row r="564" spans="1:1" customFormat="1" x14ac:dyDescent="0.2">
      <c r="A564" s="17"/>
    </row>
    <row r="565" spans="1:1" customFormat="1" x14ac:dyDescent="0.2">
      <c r="A565" s="17"/>
    </row>
    <row r="566" spans="1:1" customFormat="1" x14ac:dyDescent="0.2">
      <c r="A566" s="17"/>
    </row>
    <row r="567" spans="1:1" customFormat="1" x14ac:dyDescent="0.2">
      <c r="A567" s="17"/>
    </row>
    <row r="568" spans="1:1" customFormat="1" x14ac:dyDescent="0.2">
      <c r="A568" s="17"/>
    </row>
    <row r="569" spans="1:1" customFormat="1" x14ac:dyDescent="0.2">
      <c r="A569" s="17"/>
    </row>
    <row r="570" spans="1:1" customFormat="1" x14ac:dyDescent="0.2">
      <c r="A570" s="17"/>
    </row>
    <row r="571" spans="1:1" customFormat="1" x14ac:dyDescent="0.2">
      <c r="A571" s="17"/>
    </row>
    <row r="572" spans="1:1" customFormat="1" x14ac:dyDescent="0.2">
      <c r="A572" s="17"/>
    </row>
    <row r="573" spans="1:1" customFormat="1" x14ac:dyDescent="0.2">
      <c r="A573" s="17"/>
    </row>
    <row r="574" spans="1:1" customFormat="1" x14ac:dyDescent="0.2">
      <c r="A574" s="17"/>
    </row>
    <row r="575" spans="1:1" customFormat="1" x14ac:dyDescent="0.2">
      <c r="A575" s="17"/>
    </row>
    <row r="576" spans="1:1" customFormat="1" x14ac:dyDescent="0.2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5" defaultRowHeight="15" x14ac:dyDescent="0.2"/>
  <cols>
    <col min="1" max="1" width="32.5" customWidth="1"/>
    <col min="2" max="2" width="71.6640625" style="34" customWidth="1"/>
    <col min="3" max="12" width="13.6640625" style="2" customWidth="1"/>
    <col min="13" max="13" width="13.6640625" customWidth="1"/>
    <col min="14" max="16384" width="11.5" style="2"/>
  </cols>
  <sheetData>
    <row r="2" spans="1:16" ht="30" customHeight="1" x14ac:dyDescent="0.2">
      <c r="B2" s="108" t="s">
        <v>100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customFormat="1" ht="32" x14ac:dyDescent="0.2">
      <c r="B4" s="34"/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14" t="s">
        <v>57</v>
      </c>
      <c r="N4" s="2"/>
      <c r="O4" s="2"/>
      <c r="P4" s="2"/>
    </row>
    <row r="5" spans="1:16" ht="16" x14ac:dyDescent="0.2">
      <c r="A5" s="13" t="s">
        <v>101</v>
      </c>
      <c r="B5" s="7" t="s">
        <v>102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ht="16" x14ac:dyDescent="0.2">
      <c r="B6" s="7" t="s">
        <v>103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32" x14ac:dyDescent="0.2">
      <c r="B7" s="7" t="s">
        <v>104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32" x14ac:dyDescent="0.2">
      <c r="B8" s="19" t="s">
        <v>105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32" x14ac:dyDescent="0.2">
      <c r="A9" s="35" t="s">
        <v>63</v>
      </c>
      <c r="B9" s="7" t="s">
        <v>106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32" x14ac:dyDescent="0.2">
      <c r="A10" s="35" t="s">
        <v>92</v>
      </c>
      <c r="B10" s="7" t="s">
        <v>106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32" x14ac:dyDescent="0.2">
      <c r="A11" s="35" t="s">
        <v>94</v>
      </c>
      <c r="B11" s="7" t="s">
        <v>106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32" x14ac:dyDescent="0.2">
      <c r="A12" s="35" t="s">
        <v>95</v>
      </c>
      <c r="B12" s="7" t="s">
        <v>106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32" x14ac:dyDescent="0.2">
      <c r="A13" s="35" t="s">
        <v>96</v>
      </c>
      <c r="B13" s="7" t="s">
        <v>106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32" x14ac:dyDescent="0.2">
      <c r="B14" s="19" t="s">
        <v>107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32" x14ac:dyDescent="0.2">
      <c r="A15" s="13" t="s">
        <v>108</v>
      </c>
      <c r="B15" s="7" t="s">
        <v>102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ht="16" x14ac:dyDescent="0.2">
      <c r="B16" s="7" t="s">
        <v>103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32" x14ac:dyDescent="0.2">
      <c r="B17" s="7" t="s">
        <v>104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32" x14ac:dyDescent="0.2">
      <c r="B18" s="19" t="s">
        <v>105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32" x14ac:dyDescent="0.2">
      <c r="B19" s="19" t="s">
        <v>109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ht="16" x14ac:dyDescent="0.2">
      <c r="B20" s="21" t="s">
        <v>110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t="16" hidden="1" x14ac:dyDescent="0.2">
      <c r="B21" s="36" t="s">
        <v>111</v>
      </c>
      <c r="C21" s="33">
        <f>'(ne pas modifier) BDD_REF'!$B$277*REIaval!D21</f>
        <v>7416.6726000000008</v>
      </c>
      <c r="D21" s="2">
        <v>26.7</v>
      </c>
    </row>
    <row r="22" spans="2:13" ht="16" hidden="1" x14ac:dyDescent="0.2">
      <c r="B22" s="36" t="s">
        <v>112</v>
      </c>
      <c r="C22" s="33">
        <f>'(ne pas modifier) BDD_REF'!$B$277*REIaval!D22</f>
        <v>13138.8994</v>
      </c>
      <c r="D22" s="2">
        <v>47.3</v>
      </c>
    </row>
    <row r="23" spans="2:13" ht="16" hidden="1" x14ac:dyDescent="0.2">
      <c r="B23" s="36" t="s">
        <v>113</v>
      </c>
      <c r="C23" s="33">
        <f>'(ne pas modifier) BDD_REF'!$B$277*REIaval!D23</f>
        <v>11166.675600000002</v>
      </c>
      <c r="D23" s="2">
        <v>40.200000000000003</v>
      </c>
    </row>
    <row r="24" spans="2:13" ht="16" hidden="1" x14ac:dyDescent="0.2">
      <c r="B24" s="36" t="s">
        <v>114</v>
      </c>
      <c r="C24" s="33">
        <f>'(ne pas modifier) BDD_REF'!$B$277*REIaval!D24</f>
        <v>3861.1142000000004</v>
      </c>
      <c r="D24" s="2">
        <v>13.9</v>
      </c>
    </row>
    <row r="25" spans="2:13" ht="16" hidden="1" x14ac:dyDescent="0.2">
      <c r="B25" s="36" t="s">
        <v>115</v>
      </c>
      <c r="C25" s="33">
        <f>'(ne pas modifier) BDD_REF'!$B$277*REIaval!D25</f>
        <v>3888.8920000000003</v>
      </c>
      <c r="D25" s="2">
        <v>14</v>
      </c>
    </row>
    <row r="26" spans="2:13" ht="16" hidden="1" x14ac:dyDescent="0.2">
      <c r="B26" s="36" t="s">
        <v>116</v>
      </c>
      <c r="C26" s="33">
        <f>'(ne pas modifier) BDD_REF'!$B$277*REIaval!D26</f>
        <v>12305.565399999999</v>
      </c>
      <c r="D26" s="2">
        <v>44.3</v>
      </c>
    </row>
    <row r="27" spans="2:13" ht="16" hidden="1" x14ac:dyDescent="0.2">
      <c r="B27" s="36" t="s">
        <v>117</v>
      </c>
      <c r="C27" s="33">
        <f>'(ne pas modifier) BDD_REF'!$B$277*REIaval!D27</f>
        <v>7916.6730000000007</v>
      </c>
      <c r="D27" s="2">
        <v>28.5</v>
      </c>
    </row>
    <row r="28" spans="2:13" ht="16" hidden="1" x14ac:dyDescent="0.2">
      <c r="B28" s="36" t="s">
        <v>118</v>
      </c>
      <c r="C28" s="33">
        <f>'(ne pas modifier) BDD_REF'!$B$277*REIaval!D28</f>
        <v>7777.7840000000006</v>
      </c>
      <c r="D28" s="2">
        <v>28</v>
      </c>
    </row>
    <row r="29" spans="2:13" ht="16" hidden="1" x14ac:dyDescent="0.2">
      <c r="B29" s="36" t="s">
        <v>119</v>
      </c>
      <c r="C29" s="33">
        <f>'(ne pas modifier) BDD_REF'!$B$277*REIaval!D29</f>
        <v>7833.3396000000002</v>
      </c>
      <c r="D29" s="2">
        <v>28.2</v>
      </c>
    </row>
    <row r="30" spans="2:13" ht="16" hidden="1" x14ac:dyDescent="0.2">
      <c r="B30" s="36" t="s">
        <v>120</v>
      </c>
      <c r="C30" s="33">
        <f>'(ne pas modifier) BDD_REF'!$B$277*REIaval!D30</f>
        <v>11944.454000000002</v>
      </c>
      <c r="D30" s="2">
        <v>43</v>
      </c>
    </row>
    <row r="31" spans="2:13" ht="16" hidden="1" x14ac:dyDescent="0.2">
      <c r="B31" s="36" t="s">
        <v>121</v>
      </c>
      <c r="C31" s="33">
        <f>'(ne pas modifier) BDD_REF'!$B$277*REIaval!D31</f>
        <v>11666.676000000001</v>
      </c>
      <c r="D31" s="2">
        <v>42</v>
      </c>
    </row>
    <row r="32" spans="2:13" ht="16" hidden="1" x14ac:dyDescent="0.2">
      <c r="B32" s="36" t="s">
        <v>122</v>
      </c>
      <c r="C32" s="33">
        <f>'(ne pas modifier) BDD_REF'!$B$277*REIaval!D32</f>
        <v>11111.12</v>
      </c>
      <c r="D32" s="2">
        <v>40</v>
      </c>
    </row>
    <row r="33" spans="2:4" ht="16" hidden="1" x14ac:dyDescent="0.2">
      <c r="B33" s="36" t="s">
        <v>123</v>
      </c>
      <c r="C33" s="33">
        <f>'(ne pas modifier) BDD_REF'!$B$277*REIaval!D33</f>
        <v>10750.008600000001</v>
      </c>
      <c r="D33" s="2">
        <v>38.700000000000003</v>
      </c>
    </row>
    <row r="34" spans="2:4" ht="16" hidden="1" x14ac:dyDescent="0.2">
      <c r="B34" s="36" t="s">
        <v>124</v>
      </c>
      <c r="C34" s="33">
        <f>'(ne pas modifier) BDD_REF'!$B$277*REIaval!D34</f>
        <v>694.44500000000005</v>
      </c>
      <c r="D34" s="2">
        <v>2.5</v>
      </c>
    </row>
    <row r="35" spans="2:4" ht="16" hidden="1" x14ac:dyDescent="0.2">
      <c r="B35" s="36" t="s">
        <v>125</v>
      </c>
      <c r="C35" s="33">
        <f>'(ne pas modifier) BDD_REF'!$B$277*REIaval!D35</f>
        <v>13333.344000000001</v>
      </c>
      <c r="D35" s="2">
        <v>48</v>
      </c>
    </row>
    <row r="36" spans="2:4" ht="16" hidden="1" x14ac:dyDescent="0.2">
      <c r="B36" s="36" t="s">
        <v>126</v>
      </c>
      <c r="C36" s="33">
        <f>'(ne pas modifier) BDD_REF'!$B$277*REIaval!D36</f>
        <v>11944.454000000002</v>
      </c>
      <c r="D36" s="2">
        <v>43</v>
      </c>
    </row>
    <row r="37" spans="2:4" ht="16" hidden="1" x14ac:dyDescent="0.2">
      <c r="B37" s="36" t="s">
        <v>127</v>
      </c>
      <c r="C37" s="33">
        <f>'(ne pas modifier) BDD_REF'!$B$277*REIaval!D37</f>
        <v>13777.788800000002</v>
      </c>
      <c r="D37" s="2">
        <v>49.6</v>
      </c>
    </row>
    <row r="38" spans="2:4" ht="16" hidden="1" x14ac:dyDescent="0.2">
      <c r="B38" s="36" t="s">
        <v>128</v>
      </c>
      <c r="C38" s="33">
        <f>'(ne pas modifier) BDD_REF'!$B$277*REIaval!D38</f>
        <v>12777.788</v>
      </c>
      <c r="D38" s="2">
        <v>46</v>
      </c>
    </row>
    <row r="39" spans="2:4" ht="16" hidden="1" x14ac:dyDescent="0.2">
      <c r="B39" s="36" t="s">
        <v>129</v>
      </c>
      <c r="C39" s="33">
        <f>'(ne pas modifier) BDD_REF'!$B$277*REIaval!D39</f>
        <v>4888.8928000000005</v>
      </c>
      <c r="D39" s="2">
        <v>17.600000000000001</v>
      </c>
    </row>
    <row r="40" spans="2:4" ht="16" hidden="1" x14ac:dyDescent="0.2">
      <c r="B40" s="36" t="s">
        <v>130</v>
      </c>
      <c r="C40" s="33">
        <f>'(ne pas modifier) BDD_REF'!$B$277*REIaval!D40</f>
        <v>8888.8960000000006</v>
      </c>
      <c r="D40" s="2">
        <v>32</v>
      </c>
    </row>
    <row r="41" spans="2:4" ht="16" hidden="1" x14ac:dyDescent="0.2">
      <c r="B41" s="36" t="s">
        <v>131</v>
      </c>
      <c r="C41" s="33">
        <f>'(ne pas modifier) BDD_REF'!$B$277*REIaval!D41</f>
        <v>10583.341800000002</v>
      </c>
      <c r="D41" s="2">
        <v>38.1</v>
      </c>
    </row>
    <row r="42" spans="2:4" ht="16" hidden="1" x14ac:dyDescent="0.2">
      <c r="B42" s="36" t="s">
        <v>132</v>
      </c>
      <c r="C42" s="33">
        <f>'(ne pas modifier) BDD_REF'!$B$277*REIaval!D42</f>
        <v>12250.009800000002</v>
      </c>
      <c r="D42" s="2">
        <v>44.1</v>
      </c>
    </row>
    <row r="43" spans="2:4" ht="16" hidden="1" x14ac:dyDescent="0.2">
      <c r="B43" s="36" t="s">
        <v>133</v>
      </c>
      <c r="C43" s="33">
        <f>'(ne pas modifier) BDD_REF'!$B$277*REIaval!D43</f>
        <v>3305.5582000000004</v>
      </c>
      <c r="D43" s="2">
        <v>11.9</v>
      </c>
    </row>
    <row r="44" spans="2:4" ht="16" hidden="1" x14ac:dyDescent="0.2">
      <c r="B44" s="36" t="s">
        <v>134</v>
      </c>
      <c r="C44" s="33">
        <f>'(ne pas modifier) BDD_REF'!$B$277*REIaval!D44</f>
        <v>12361.121000000001</v>
      </c>
      <c r="D44" s="2">
        <v>44.5</v>
      </c>
    </row>
    <row r="45" spans="2:4" ht="16" hidden="1" x14ac:dyDescent="0.2">
      <c r="B45" s="36" t="s">
        <v>135</v>
      </c>
      <c r="C45" s="33">
        <f>'(ne pas modifier) BDD_REF'!$B$277*REIaval!D45</f>
        <v>11750.009400000001</v>
      </c>
      <c r="D45" s="2">
        <v>42.3</v>
      </c>
    </row>
    <row r="46" spans="2:4" ht="16" hidden="1" x14ac:dyDescent="0.2">
      <c r="B46" s="36" t="s">
        <v>136</v>
      </c>
      <c r="C46" s="33">
        <f>'(ne pas modifier) BDD_REF'!$B$277*REIaval!D46</f>
        <v>3638.8918000000003</v>
      </c>
      <c r="D46" s="2">
        <v>13.1</v>
      </c>
    </row>
    <row r="47" spans="2:4" ht="16" hidden="1" x14ac:dyDescent="0.2">
      <c r="B47" s="36" t="s">
        <v>137</v>
      </c>
      <c r="C47" s="33">
        <f>'(ne pas modifier) BDD_REF'!$B$277*REIaval!D47</f>
        <v>13138.8994</v>
      </c>
      <c r="D47" s="2">
        <v>47.3</v>
      </c>
    </row>
    <row r="48" spans="2:4" ht="16" hidden="1" x14ac:dyDescent="0.2">
      <c r="B48" s="36" t="s">
        <v>138</v>
      </c>
      <c r="C48" s="33">
        <f>'(ne pas modifier) BDD_REF'!$B$277*REIaval!D48</f>
        <v>2200.0017600000001</v>
      </c>
      <c r="D48" s="2">
        <v>7.92</v>
      </c>
    </row>
    <row r="49" spans="1:13" ht="16" hidden="1" x14ac:dyDescent="0.2">
      <c r="B49" s="36" t="s">
        <v>139</v>
      </c>
      <c r="C49" s="33">
        <f>'(ne pas modifier) BDD_REF'!$B$277*REIaval!D49</f>
        <v>2722.2244000000005</v>
      </c>
      <c r="D49" s="2">
        <v>9.8000000000000007</v>
      </c>
    </row>
    <row r="50" spans="1:13" x14ac:dyDescent="0.2">
      <c r="C50"/>
      <c r="D50"/>
      <c r="E50"/>
      <c r="F50"/>
      <c r="G50"/>
      <c r="H50"/>
      <c r="I50"/>
      <c r="J50"/>
      <c r="K50"/>
    </row>
    <row r="51" spans="1:13" ht="32" x14ac:dyDescent="0.2">
      <c r="B51" s="37" t="s">
        <v>140</v>
      </c>
      <c r="C51" s="37" t="s">
        <v>141</v>
      </c>
      <c r="M51" s="2"/>
    </row>
    <row r="52" spans="1:13" ht="32" x14ac:dyDescent="0.2">
      <c r="A52" s="36" t="s">
        <v>142</v>
      </c>
      <c r="B52" s="36" t="s">
        <v>121</v>
      </c>
      <c r="C52" s="38">
        <f>0.324/1000</f>
        <v>3.2400000000000001E-4</v>
      </c>
      <c r="M52" s="2"/>
    </row>
    <row r="53" spans="1:13" ht="16" x14ac:dyDescent="0.2">
      <c r="B53" s="36" t="s">
        <v>122</v>
      </c>
      <c r="C53" s="38">
        <f>0.325/1000</f>
        <v>3.2499999999999999E-4</v>
      </c>
      <c r="M53" s="2"/>
    </row>
    <row r="54" spans="1:13" ht="16" x14ac:dyDescent="0.2">
      <c r="B54" s="36" t="s">
        <v>143</v>
      </c>
      <c r="C54" s="38">
        <f>0.335/1000</f>
        <v>3.3500000000000001E-4</v>
      </c>
      <c r="M54" s="2"/>
    </row>
    <row r="55" spans="1:13" ht="16" x14ac:dyDescent="0.2">
      <c r="B55" s="36" t="s">
        <v>144</v>
      </c>
      <c r="C55" s="38">
        <f>0.282/1000</f>
        <v>2.8199999999999997E-4</v>
      </c>
      <c r="M55" s="2"/>
    </row>
    <row r="56" spans="1:13" ht="32" x14ac:dyDescent="0.2">
      <c r="A56" s="36" t="s">
        <v>145</v>
      </c>
      <c r="B56" s="36" t="s">
        <v>146</v>
      </c>
      <c r="C56" s="38">
        <f>0.311/1000</f>
        <v>3.1100000000000002E-4</v>
      </c>
      <c r="M56" s="2"/>
    </row>
    <row r="57" spans="1:13" ht="16" x14ac:dyDescent="0.2">
      <c r="B57" s="36" t="s">
        <v>147</v>
      </c>
      <c r="C57" s="36">
        <f>0.313/1000</f>
        <v>3.1300000000000002E-4</v>
      </c>
      <c r="M57" s="2"/>
    </row>
    <row r="58" spans="1:13" ht="16" x14ac:dyDescent="0.2">
      <c r="B58" s="36" t="s">
        <v>148</v>
      </c>
      <c r="C58" s="36">
        <f>0.319/1000</f>
        <v>3.19E-4</v>
      </c>
      <c r="M58" s="2"/>
    </row>
    <row r="59" spans="1:13" ht="16" x14ac:dyDescent="0.2">
      <c r="B59" s="36" t="s">
        <v>149</v>
      </c>
      <c r="C59" s="36">
        <f>0.306/1000</f>
        <v>3.0600000000000001E-4</v>
      </c>
      <c r="M59" s="2"/>
    </row>
    <row r="60" spans="1:13" ht="16" x14ac:dyDescent="0.2">
      <c r="B60" s="36" t="s">
        <v>150</v>
      </c>
      <c r="C60" s="36">
        <f>0.174/1000</f>
        <v>1.74E-4</v>
      </c>
      <c r="M60" s="2"/>
    </row>
    <row r="61" spans="1:13" ht="16" x14ac:dyDescent="0.2">
      <c r="B61" s="36" t="s">
        <v>151</v>
      </c>
      <c r="C61" s="36">
        <f>0.273/1000</f>
        <v>2.7300000000000002E-4</v>
      </c>
      <c r="M61" s="2"/>
    </row>
    <row r="62" spans="1:13" ht="16" x14ac:dyDescent="0.2">
      <c r="B62" s="36" t="s">
        <v>128</v>
      </c>
      <c r="C62" s="36">
        <f>0.272/1000</f>
        <v>2.72E-4</v>
      </c>
      <c r="M62" s="2"/>
    </row>
    <row r="63" spans="1:13" ht="16" x14ac:dyDescent="0.2">
      <c r="B63" s="36" t="s">
        <v>152</v>
      </c>
      <c r="C63" s="36">
        <f>0.311/1000</f>
        <v>3.1100000000000002E-4</v>
      </c>
      <c r="M63" s="2"/>
    </row>
    <row r="64" spans="1:13" ht="16" x14ac:dyDescent="0.2">
      <c r="B64" s="36" t="s">
        <v>153</v>
      </c>
      <c r="C64" s="36">
        <f>0.132/1000</f>
        <v>1.3200000000000001E-4</v>
      </c>
      <c r="M64" s="2"/>
    </row>
    <row r="65" spans="1:13" ht="16" x14ac:dyDescent="0.2">
      <c r="B65" s="36" t="s">
        <v>154</v>
      </c>
      <c r="C65" s="36">
        <f>0.238/1000</f>
        <v>2.3799999999999998E-4</v>
      </c>
      <c r="M65" s="2"/>
    </row>
    <row r="66" spans="1:13" ht="16" x14ac:dyDescent="0.2">
      <c r="B66" s="36" t="s">
        <v>155</v>
      </c>
      <c r="C66" s="36">
        <f>0.23/1000</f>
        <v>2.3000000000000001E-4</v>
      </c>
      <c r="M66" s="2"/>
    </row>
    <row r="67" spans="1:13" ht="48" x14ac:dyDescent="0.2">
      <c r="A67" s="36" t="s">
        <v>156</v>
      </c>
      <c r="B67" s="36" t="s">
        <v>157</v>
      </c>
      <c r="C67" s="36">
        <f>0.327/1000</f>
        <v>3.2700000000000003E-4</v>
      </c>
      <c r="M67" s="2"/>
    </row>
    <row r="68" spans="1:13" ht="16" x14ac:dyDescent="0.2">
      <c r="B68" s="36" t="s">
        <v>158</v>
      </c>
      <c r="C68" s="36">
        <f>0.331/1000</f>
        <v>3.3100000000000002E-4</v>
      </c>
      <c r="M68" s="2"/>
    </row>
    <row r="69" spans="1:13" ht="16" x14ac:dyDescent="0.2">
      <c r="B69" s="36" t="s">
        <v>159</v>
      </c>
      <c r="C69" s="36">
        <f>0.331/1000</f>
        <v>3.3100000000000002E-4</v>
      </c>
      <c r="M69" s="2"/>
    </row>
    <row r="70" spans="1:13" ht="32" x14ac:dyDescent="0.2">
      <c r="A70" s="36" t="s">
        <v>160</v>
      </c>
      <c r="B70" s="36" t="s">
        <v>161</v>
      </c>
      <c r="C70" s="36">
        <f>0.307/1000</f>
        <v>3.0699999999999998E-4</v>
      </c>
      <c r="M70" s="2"/>
    </row>
    <row r="71" spans="1:13" ht="16" x14ac:dyDescent="0.2">
      <c r="B71" s="36" t="s">
        <v>162</v>
      </c>
      <c r="C71" s="36">
        <f>0.308/1000</f>
        <v>3.0800000000000001E-4</v>
      </c>
      <c r="M71" s="2"/>
    </row>
    <row r="72" spans="1:13" ht="16" x14ac:dyDescent="0.2">
      <c r="B72" s="36" t="s">
        <v>163</v>
      </c>
      <c r="C72" s="36">
        <f>0.313/1000</f>
        <v>3.1300000000000002E-4</v>
      </c>
      <c r="M72" s="2"/>
    </row>
    <row r="73" spans="1:13" ht="32" x14ac:dyDescent="0.2">
      <c r="A73" s="36" t="s">
        <v>164</v>
      </c>
      <c r="B73" s="36" t="s">
        <v>165</v>
      </c>
      <c r="C73" s="36">
        <f>0.322/1000</f>
        <v>3.2200000000000002E-4</v>
      </c>
      <c r="M73" s="2"/>
    </row>
    <row r="74" spans="1:13" ht="16" x14ac:dyDescent="0.2">
      <c r="A74" s="36" t="s">
        <v>166</v>
      </c>
      <c r="B74" s="36" t="s">
        <v>167</v>
      </c>
      <c r="C74" s="36">
        <f>0.227/1000</f>
        <v>2.2700000000000002E-4</v>
      </c>
      <c r="M74" s="2"/>
    </row>
    <row r="75" spans="1:13" ht="16" x14ac:dyDescent="0.2">
      <c r="B75" s="36" t="s">
        <v>168</v>
      </c>
      <c r="C75" s="36">
        <f>0.244/1000</f>
        <v>2.4399999999999999E-4</v>
      </c>
      <c r="M75" s="2"/>
    </row>
    <row r="76" spans="1:13" ht="32" x14ac:dyDescent="0.2">
      <c r="A76" s="36" t="s">
        <v>169</v>
      </c>
      <c r="B76" s="36" t="s">
        <v>170</v>
      </c>
      <c r="C76" s="36">
        <f>0.27/1000</f>
        <v>2.7E-4</v>
      </c>
      <c r="M76" s="2"/>
    </row>
    <row r="77" spans="1:13" x14ac:dyDescent="0.2">
      <c r="C77" s="27"/>
      <c r="M77" s="2"/>
    </row>
    <row r="78" spans="1:13" ht="50.25" customHeight="1" x14ac:dyDescent="0.2">
      <c r="B78" s="8" t="s">
        <v>171</v>
      </c>
      <c r="M78" s="2"/>
    </row>
    <row r="79" spans="1:13" x14ac:dyDescent="0.2">
      <c r="B79" s="27"/>
      <c r="M79" s="2"/>
    </row>
    <row r="80" spans="1:13" x14ac:dyDescent="0.2">
      <c r="B80" s="27"/>
      <c r="M80" s="2"/>
    </row>
    <row r="81" spans="2:13" x14ac:dyDescent="0.2">
      <c r="B81" s="27"/>
      <c r="M81" s="2"/>
    </row>
    <row r="82" spans="2:13" x14ac:dyDescent="0.2">
      <c r="B82" s="27"/>
      <c r="M82" s="2"/>
    </row>
    <row r="83" spans="2:13" x14ac:dyDescent="0.2">
      <c r="B83" s="27"/>
      <c r="M83" s="2"/>
    </row>
    <row r="84" spans="2:13" x14ac:dyDescent="0.2">
      <c r="B84" s="27"/>
      <c r="M84" s="2"/>
    </row>
    <row r="85" spans="2:13" x14ac:dyDescent="0.2">
      <c r="B85" s="27"/>
      <c r="M85" s="2"/>
    </row>
    <row r="86" spans="2:13" x14ac:dyDescent="0.2">
      <c r="B86" s="27"/>
      <c r="M86" s="2"/>
    </row>
    <row r="87" spans="2:13" x14ac:dyDescent="0.2">
      <c r="B87" s="27"/>
      <c r="M87" s="2"/>
    </row>
    <row r="88" spans="2:13" x14ac:dyDescent="0.2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5" defaultRowHeight="15" x14ac:dyDescent="0.2"/>
  <cols>
    <col min="2" max="2" width="31" style="34" customWidth="1"/>
  </cols>
  <sheetData>
    <row r="2" spans="1:17" x14ac:dyDescent="0.2">
      <c r="A2" s="105" t="s">
        <v>56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7"/>
    </row>
    <row r="3" spans="1:17" x14ac:dyDescent="0.2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32" x14ac:dyDescent="0.2">
      <c r="A4" t="s">
        <v>172</v>
      </c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14" t="s">
        <v>57</v>
      </c>
      <c r="N4" s="2"/>
      <c r="O4" s="2"/>
      <c r="P4" s="2"/>
      <c r="Q4" s="2"/>
    </row>
    <row r="5" spans="1:17" ht="16" x14ac:dyDescent="0.2">
      <c r="A5" s="13">
        <v>1</v>
      </c>
      <c r="B5" s="7" t="s">
        <v>173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ht="16" x14ac:dyDescent="0.2">
      <c r="A6" s="13">
        <v>2</v>
      </c>
      <c r="B6" s="7" t="s">
        <v>173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4.2</v>
      </c>
      <c r="N6" s="2"/>
      <c r="O6" s="2"/>
      <c r="P6" s="2"/>
      <c r="Q6" s="2"/>
    </row>
    <row r="7" spans="1:17" ht="16" x14ac:dyDescent="0.2">
      <c r="A7" s="13">
        <v>3</v>
      </c>
      <c r="B7" s="7" t="s">
        <v>173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5.6</v>
      </c>
      <c r="N7" s="2"/>
      <c r="O7" s="2"/>
      <c r="P7" s="2"/>
      <c r="Q7" s="2"/>
    </row>
    <row r="8" spans="1:17" ht="16" x14ac:dyDescent="0.2">
      <c r="A8" s="13">
        <v>4</v>
      </c>
      <c r="B8" s="7" t="s">
        <v>173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7.1</v>
      </c>
      <c r="N8" s="2"/>
      <c r="O8" s="2"/>
      <c r="P8" s="2"/>
      <c r="Q8" s="2"/>
    </row>
    <row r="9" spans="1:17" ht="16" x14ac:dyDescent="0.2">
      <c r="A9" s="13">
        <v>5</v>
      </c>
      <c r="B9" s="7" t="s">
        <v>173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7.4</v>
      </c>
      <c r="N9" s="2"/>
      <c r="O9" s="2"/>
      <c r="P9" s="2"/>
      <c r="Q9" s="2"/>
    </row>
    <row r="10" spans="1:17" ht="16" x14ac:dyDescent="0.2">
      <c r="A10" s="13">
        <v>6</v>
      </c>
      <c r="B10" s="7" t="s">
        <v>173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8.6</v>
      </c>
      <c r="N10" s="2"/>
      <c r="O10" s="2"/>
      <c r="P10" s="2"/>
      <c r="Q10" s="2"/>
    </row>
    <row r="11" spans="1:17" ht="16" x14ac:dyDescent="0.2">
      <c r="A11" s="13">
        <v>7</v>
      </c>
      <c r="B11" s="7" t="s">
        <v>173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9.8000000000000007</v>
      </c>
      <c r="N11" s="2"/>
      <c r="O11" s="2"/>
      <c r="P11" s="2"/>
      <c r="Q11" s="2"/>
    </row>
    <row r="12" spans="1:17" ht="16" x14ac:dyDescent="0.2">
      <c r="A12" s="13">
        <v>8</v>
      </c>
      <c r="B12" s="7" t="s">
        <v>173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11.1</v>
      </c>
      <c r="N12" s="2"/>
      <c r="O12" s="2"/>
      <c r="P12" s="2"/>
      <c r="Q12" s="2"/>
    </row>
    <row r="13" spans="1:17" ht="16" x14ac:dyDescent="0.2">
      <c r="A13" s="13">
        <v>9</v>
      </c>
      <c r="B13" s="7" t="s">
        <v>173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12.3</v>
      </c>
      <c r="N13" s="2"/>
      <c r="O13" s="2"/>
      <c r="P13" s="2"/>
      <c r="Q13" s="2"/>
    </row>
    <row r="14" spans="1:17" ht="16" x14ac:dyDescent="0.2">
      <c r="A14" s="13">
        <v>10</v>
      </c>
      <c r="B14" s="7" t="s">
        <v>173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13.5</v>
      </c>
      <c r="N14" s="2"/>
      <c r="O14" s="2"/>
      <c r="P14" s="2"/>
      <c r="Q14" s="2"/>
    </row>
    <row r="15" spans="1:17" ht="16" x14ac:dyDescent="0.2">
      <c r="A15" s="13">
        <v>11</v>
      </c>
      <c r="B15" s="7" t="s">
        <v>173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13.9</v>
      </c>
      <c r="N15" s="2"/>
      <c r="O15" s="2"/>
      <c r="P15" s="2"/>
      <c r="Q15" s="2"/>
    </row>
    <row r="16" spans="1:17" ht="16" x14ac:dyDescent="0.2">
      <c r="A16" s="13">
        <v>12</v>
      </c>
      <c r="B16" s="7" t="s">
        <v>173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14.3</v>
      </c>
      <c r="N16" s="2"/>
      <c r="O16" s="2"/>
      <c r="P16" s="2"/>
      <c r="Q16" s="2"/>
    </row>
    <row r="17" spans="1:17" ht="16" x14ac:dyDescent="0.2">
      <c r="A17" s="13">
        <v>13</v>
      </c>
      <c r="B17" s="7" t="s">
        <v>173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14.7</v>
      </c>
      <c r="N17" s="2"/>
      <c r="O17" s="2"/>
      <c r="P17" s="2"/>
      <c r="Q17" s="2"/>
    </row>
    <row r="18" spans="1:17" ht="16" x14ac:dyDescent="0.2">
      <c r="A18" s="13">
        <v>14</v>
      </c>
      <c r="B18" s="7" t="s">
        <v>173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15.1</v>
      </c>
      <c r="N18" s="2"/>
      <c r="O18" s="2"/>
      <c r="P18" s="2"/>
      <c r="Q18" s="2"/>
    </row>
    <row r="19" spans="1:17" ht="16" x14ac:dyDescent="0.2">
      <c r="A19" s="13">
        <v>15</v>
      </c>
      <c r="B19" s="7" t="s">
        <v>173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15.6</v>
      </c>
      <c r="N19" s="2"/>
      <c r="O19" s="2"/>
      <c r="P19" s="2"/>
      <c r="Q19" s="2"/>
    </row>
    <row r="20" spans="1:17" ht="16" x14ac:dyDescent="0.2">
      <c r="A20" s="13">
        <v>16</v>
      </c>
      <c r="B20" s="7" t="s">
        <v>173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15.6</v>
      </c>
      <c r="N20" s="2"/>
      <c r="O20" s="2"/>
      <c r="P20" s="2"/>
      <c r="Q20" s="2"/>
    </row>
    <row r="21" spans="1:17" ht="16" x14ac:dyDescent="0.2">
      <c r="A21" s="13">
        <v>17</v>
      </c>
      <c r="B21" s="7" t="s">
        <v>173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15.7</v>
      </c>
      <c r="N21" s="2"/>
      <c r="O21" s="2"/>
      <c r="P21" s="2"/>
      <c r="Q21" s="2"/>
    </row>
    <row r="22" spans="1:17" ht="16" x14ac:dyDescent="0.2">
      <c r="A22" s="13">
        <v>18</v>
      </c>
      <c r="B22" s="7" t="s">
        <v>173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15.8</v>
      </c>
      <c r="N22" s="2"/>
      <c r="O22" s="2"/>
      <c r="P22" s="2"/>
      <c r="Q22" s="2"/>
    </row>
    <row r="23" spans="1:17" ht="16" x14ac:dyDescent="0.2">
      <c r="A23" s="13">
        <v>19</v>
      </c>
      <c r="B23" s="7" t="s">
        <v>173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15.9</v>
      </c>
      <c r="N23" s="2"/>
      <c r="O23" s="2"/>
      <c r="P23" s="2"/>
      <c r="Q23" s="2"/>
    </row>
    <row r="24" spans="1:17" ht="16" x14ac:dyDescent="0.2">
      <c r="A24" s="13">
        <v>20</v>
      </c>
      <c r="B24" s="7" t="s">
        <v>173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16</v>
      </c>
      <c r="N24" s="2"/>
      <c r="O24" s="2"/>
      <c r="P24" s="2"/>
      <c r="Q24" s="2"/>
    </row>
    <row r="25" spans="1:17" ht="16" x14ac:dyDescent="0.2">
      <c r="A25" s="7"/>
      <c r="B25" s="7" t="s">
        <v>174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16" x14ac:dyDescent="0.2">
      <c r="A26" s="7" t="s">
        <v>175</v>
      </c>
      <c r="B26" s="7" t="s">
        <v>176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16" x14ac:dyDescent="0.2">
      <c r="B27" s="7" t="s">
        <v>177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ht="16" x14ac:dyDescent="0.2">
      <c r="B28" s="21" t="s">
        <v>178</v>
      </c>
      <c r="C28" s="24">
        <f>((C25/C27)-C26)*Eligibilité_projet!B8*44/12</f>
        <v>266.59285714285721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266.59285714285721</v>
      </c>
      <c r="N28" s="2"/>
      <c r="O28" s="2"/>
      <c r="P28" s="2"/>
      <c r="Q28" s="2"/>
    </row>
    <row r="29" spans="1:17" x14ac:dyDescent="0.2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2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2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2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5" defaultRowHeight="15" x14ac:dyDescent="0.2"/>
  <cols>
    <col min="1" max="1" width="8.5" customWidth="1"/>
    <col min="2" max="2" width="33.6640625" customWidth="1"/>
    <col min="3" max="3" width="12.33203125" bestFit="1" customWidth="1"/>
  </cols>
  <sheetData>
    <row r="2" spans="1:16" x14ac:dyDescent="0.2">
      <c r="B2" s="105" t="s">
        <v>56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7"/>
    </row>
    <row r="4" spans="1:16" ht="32" x14ac:dyDescent="0.2"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14" t="s">
        <v>57</v>
      </c>
      <c r="N4" s="2"/>
      <c r="O4" s="2"/>
      <c r="P4" s="2"/>
    </row>
    <row r="5" spans="1:16" ht="16" x14ac:dyDescent="0.2">
      <c r="B5" s="7" t="s">
        <v>179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52</v>
      </c>
      <c r="N5" s="2"/>
      <c r="O5" s="2"/>
      <c r="P5" s="2"/>
    </row>
    <row r="6" spans="1:16" ht="16" x14ac:dyDescent="0.2">
      <c r="B6" s="7" t="s">
        <v>180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0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47</v>
      </c>
      <c r="N6" s="2"/>
      <c r="O6" s="2"/>
      <c r="P6" s="2"/>
    </row>
    <row r="7" spans="1:16" ht="16" x14ac:dyDescent="0.2">
      <c r="B7" s="7" t="s">
        <v>181</v>
      </c>
      <c r="C7" s="22">
        <f>Eligibilité_projet!B15</f>
        <v>0.8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0.8</v>
      </c>
      <c r="N7" s="2"/>
      <c r="O7" s="2"/>
      <c r="P7" s="2"/>
    </row>
    <row r="8" spans="1:16" ht="16" x14ac:dyDescent="0.2">
      <c r="B8" s="7" t="s">
        <v>182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ht="16" x14ac:dyDescent="0.2">
      <c r="B9" s="21" t="s">
        <v>183</v>
      </c>
      <c r="C9" s="21">
        <f>((C6-C5)+('(ne pas modifier) BDD_REF'!$B$275*C7*C8))*Eligibilité_projet!B8*44/12</f>
        <v>67.686666666666667</v>
      </c>
      <c r="D9" s="21">
        <f>((D6-D5)+('(ne pas modifier) BDD_REF'!$B$275*D7*D8))*Eligibilité_projet!C8*44/12</f>
        <v>0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67.686666666666667</v>
      </c>
      <c r="N9" s="2"/>
      <c r="O9" s="2"/>
      <c r="P9" s="2"/>
    </row>
    <row r="10" spans="1:16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tabSelected="1" topLeftCell="A6" zoomScale="143" zoomScaleNormal="80" workbookViewId="0">
      <selection activeCell="B2" sqref="B2:C2"/>
    </sheetView>
  </sheetViews>
  <sheetFormatPr baseColWidth="10" defaultColWidth="11.5" defaultRowHeight="15" x14ac:dyDescent="0.2"/>
  <cols>
    <col min="1" max="1" width="21.83203125" customWidth="1"/>
    <col min="2" max="2" width="44.5" customWidth="1"/>
    <col min="5" max="5" width="22.5" customWidth="1"/>
  </cols>
  <sheetData>
    <row r="1" spans="1:6" x14ac:dyDescent="0.2">
      <c r="D1" s="2"/>
      <c r="E1" s="2"/>
      <c r="F1" s="2"/>
    </row>
    <row r="2" spans="1:6" ht="47.25" customHeight="1" x14ac:dyDescent="0.2">
      <c r="B2" s="108" t="s">
        <v>184</v>
      </c>
      <c r="C2" s="110"/>
      <c r="D2" s="2"/>
      <c r="E2" s="2"/>
      <c r="F2" s="2"/>
    </row>
    <row r="3" spans="1:6" x14ac:dyDescent="0.2">
      <c r="D3" s="2"/>
      <c r="E3" s="2"/>
      <c r="F3" s="2"/>
    </row>
    <row r="4" spans="1:6" x14ac:dyDescent="0.2">
      <c r="B4" s="111" t="s">
        <v>185</v>
      </c>
      <c r="C4" s="112"/>
      <c r="D4" s="2"/>
      <c r="E4" s="2"/>
      <c r="F4" s="2"/>
    </row>
    <row r="5" spans="1:6" x14ac:dyDescent="0.2">
      <c r="D5" s="2"/>
      <c r="E5" s="2"/>
      <c r="F5" s="2"/>
    </row>
    <row r="6" spans="1:6" ht="48" x14ac:dyDescent="0.2">
      <c r="A6" s="73" t="s">
        <v>186</v>
      </c>
      <c r="B6" s="3" t="s">
        <v>187</v>
      </c>
      <c r="C6" s="15" t="str">
        <f>IF(Eligibilité_projet!C2="NON","/",'RECeff + REIamont (1)'!L7)</f>
        <v>/</v>
      </c>
      <c r="D6" s="2"/>
      <c r="E6" s="2"/>
      <c r="F6" s="2"/>
    </row>
    <row r="7" spans="1:6" ht="16" x14ac:dyDescent="0.2">
      <c r="A7" s="41" t="s">
        <v>188</v>
      </c>
      <c r="B7" s="3" t="s">
        <v>187</v>
      </c>
      <c r="C7" s="15">
        <f>IF(Eligibilité_projet!C2="OUI","/",'RECeff + REIamont (2)'!M144)</f>
        <v>-79.750326094254817</v>
      </c>
      <c r="D7" s="2"/>
      <c r="E7" s="2"/>
      <c r="F7" s="2"/>
    </row>
    <row r="8" spans="1:6" ht="16" x14ac:dyDescent="0.2">
      <c r="A8" s="16"/>
      <c r="B8" s="3" t="s">
        <v>110</v>
      </c>
      <c r="C8" s="15">
        <f>REIaval!M20</f>
        <v>0</v>
      </c>
      <c r="D8" s="2"/>
      <c r="E8" s="2"/>
      <c r="F8" s="2"/>
    </row>
    <row r="9" spans="1:6" ht="16" x14ac:dyDescent="0.2">
      <c r="A9" s="2"/>
      <c r="B9" s="3" t="s">
        <v>189</v>
      </c>
      <c r="C9" s="15">
        <f>RECant_biom!M28</f>
        <v>266.59285714285721</v>
      </c>
      <c r="D9" s="2"/>
      <c r="E9" s="2"/>
      <c r="F9" s="2"/>
    </row>
    <row r="10" spans="1:6" ht="16" x14ac:dyDescent="0.2">
      <c r="A10" s="2"/>
      <c r="B10" s="3" t="s">
        <v>183</v>
      </c>
      <c r="C10" s="15">
        <f>RECant_sol!M9</f>
        <v>67.686666666666667</v>
      </c>
      <c r="D10" s="2"/>
      <c r="E10" s="2"/>
      <c r="F10" s="2"/>
    </row>
    <row r="11" spans="1:6" ht="16" x14ac:dyDescent="0.2">
      <c r="A11" s="2"/>
      <c r="B11" s="19" t="s">
        <v>190</v>
      </c>
      <c r="C11" s="42">
        <f>SUM(IF(Eligibilité_projet!C2="OUI",-C6,-C7),-C8,C10,C9)</f>
        <v>414.02984990377871</v>
      </c>
      <c r="D11" s="2"/>
      <c r="E11" s="2"/>
      <c r="F11" s="2"/>
    </row>
    <row r="12" spans="1:6" x14ac:dyDescent="0.2">
      <c r="A12" s="2"/>
      <c r="D12" s="2"/>
      <c r="E12" s="2"/>
      <c r="F12" s="2"/>
    </row>
    <row r="13" spans="1:6" x14ac:dyDescent="0.2">
      <c r="A13" s="2"/>
      <c r="B13" s="111" t="s">
        <v>191</v>
      </c>
      <c r="C13" s="112"/>
      <c r="D13" s="2"/>
      <c r="E13" s="2"/>
      <c r="F13" s="2"/>
    </row>
    <row r="14" spans="1:6" x14ac:dyDescent="0.2">
      <c r="A14" s="2"/>
      <c r="D14" s="2"/>
      <c r="E14" s="2"/>
      <c r="F14" s="2"/>
    </row>
    <row r="15" spans="1:6" ht="16" x14ac:dyDescent="0.2">
      <c r="A15" s="2"/>
      <c r="B15" s="3" t="s">
        <v>187</v>
      </c>
      <c r="C15" s="15">
        <f>IF(Eligibilité_projet!C2="OUI",C6*(1-0.15),C7)</f>
        <v>-79.750326094254817</v>
      </c>
      <c r="D15" s="2"/>
      <c r="E15" s="2"/>
      <c r="F15" s="2"/>
    </row>
    <row r="16" spans="1:6" ht="16" x14ac:dyDescent="0.2">
      <c r="A16" s="2"/>
      <c r="B16" s="3" t="s">
        <v>110</v>
      </c>
      <c r="C16" s="15">
        <f>C8</f>
        <v>0</v>
      </c>
      <c r="D16" s="2"/>
      <c r="E16" s="2"/>
      <c r="F16" s="2"/>
    </row>
    <row r="17" spans="1:6" ht="16" x14ac:dyDescent="0.2">
      <c r="A17" s="2"/>
      <c r="B17" s="3" t="s">
        <v>189</v>
      </c>
      <c r="C17" s="15">
        <f>C9*(1-0.1)</f>
        <v>239.9335714285715</v>
      </c>
      <c r="D17" s="2"/>
      <c r="E17" s="2"/>
      <c r="F17" s="2"/>
    </row>
    <row r="18" spans="1:6" ht="16" x14ac:dyDescent="0.2">
      <c r="A18" s="2"/>
      <c r="B18" s="3" t="s">
        <v>183</v>
      </c>
      <c r="C18" s="15">
        <f>RE!C10</f>
        <v>67.686666666666667</v>
      </c>
      <c r="D18" s="2"/>
      <c r="E18" s="2"/>
      <c r="F18" s="2"/>
    </row>
    <row r="19" spans="1:6" ht="16" x14ac:dyDescent="0.2">
      <c r="A19" s="2"/>
      <c r="B19" s="19" t="s">
        <v>190</v>
      </c>
      <c r="C19" s="42">
        <f>SUM(-C15,-C16,((C17+C18)*(0.9)))</f>
        <v>356.60854037996921</v>
      </c>
      <c r="D19" s="2"/>
      <c r="E19" s="2"/>
      <c r="F19" s="2"/>
    </row>
    <row r="20" spans="1:6" x14ac:dyDescent="0.2">
      <c r="A20" s="2"/>
      <c r="B20" s="2"/>
    </row>
    <row r="22" spans="1:6" s="34" customFormat="1" hidden="1" x14ac:dyDescent="0.2"/>
    <row r="23" spans="1:6" s="34" customFormat="1" hidden="1" x14ac:dyDescent="0.2"/>
    <row r="24" spans="1:6" s="34" customFormat="1" x14ac:dyDescent="0.2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5" defaultRowHeight="15" x14ac:dyDescent="0.2"/>
  <cols>
    <col min="1" max="1" width="72.83203125" customWidth="1"/>
    <col min="2" max="2" width="41" customWidth="1"/>
    <col min="3" max="3" width="44.6640625" customWidth="1"/>
    <col min="4" max="4" width="28.5" customWidth="1"/>
    <col min="5" max="5" width="24.5" customWidth="1"/>
    <col min="6" max="6" width="28.83203125" customWidth="1"/>
    <col min="7" max="7" width="22.33203125" customWidth="1"/>
    <col min="8" max="8" width="19.1640625" customWidth="1"/>
    <col min="9" max="9" width="21.83203125" customWidth="1"/>
    <col min="10" max="10" width="19.5" customWidth="1"/>
    <col min="11" max="11" width="25.1640625" customWidth="1"/>
  </cols>
  <sheetData>
    <row r="1" spans="1:8" ht="16" x14ac:dyDescent="0.2">
      <c r="A1" s="47" t="s">
        <v>192</v>
      </c>
      <c r="B1" s="48" t="s">
        <v>193</v>
      </c>
      <c r="C1" s="48" t="s">
        <v>32</v>
      </c>
      <c r="D1" s="48" t="s">
        <v>194</v>
      </c>
      <c r="E1" s="49" t="s">
        <v>195</v>
      </c>
      <c r="F1" s="34"/>
      <c r="G1" s="34"/>
      <c r="H1" s="50"/>
    </row>
    <row r="2" spans="1:8" ht="15" customHeight="1" x14ac:dyDescent="0.2">
      <c r="A2" s="51" t="s">
        <v>196</v>
      </c>
      <c r="B2" s="51" t="s">
        <v>29</v>
      </c>
      <c r="C2" s="38" t="s">
        <v>33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ht="16" x14ac:dyDescent="0.2">
      <c r="A3" s="51" t="s">
        <v>196</v>
      </c>
      <c r="B3" s="51" t="s">
        <v>29</v>
      </c>
      <c r="C3" s="38" t="s">
        <v>197</v>
      </c>
      <c r="D3" s="38" t="str">
        <f t="shared" si="0"/>
        <v>Hors climat Mediterranéen - Prairies permanentes</v>
      </c>
      <c r="E3" s="38">
        <v>85</v>
      </c>
    </row>
    <row r="4" spans="1:8" ht="16" x14ac:dyDescent="0.2">
      <c r="A4" s="51" t="s">
        <v>196</v>
      </c>
      <c r="B4" s="51" t="s">
        <v>29</v>
      </c>
      <c r="C4" s="38" t="s">
        <v>198</v>
      </c>
      <c r="D4" s="38" t="str">
        <f t="shared" si="0"/>
        <v>Hors climat Mediterranéen - Viticulture</v>
      </c>
      <c r="E4" s="38">
        <v>34</v>
      </c>
    </row>
    <row r="5" spans="1:8" ht="16" x14ac:dyDescent="0.2">
      <c r="A5" s="51" t="s">
        <v>196</v>
      </c>
      <c r="B5" s="51" t="s">
        <v>29</v>
      </c>
      <c r="C5" s="38" t="s">
        <v>199</v>
      </c>
      <c r="D5" s="38" t="str">
        <f t="shared" si="0"/>
        <v>Hors climat Mediterranéen - Vergers</v>
      </c>
      <c r="E5" s="38">
        <v>47</v>
      </c>
    </row>
    <row r="6" spans="1:8" ht="15" customHeight="1" x14ac:dyDescent="0.2">
      <c r="A6" s="51" t="s">
        <v>196</v>
      </c>
      <c r="B6" s="51" t="s">
        <v>200</v>
      </c>
      <c r="C6" s="38" t="s">
        <v>33</v>
      </c>
      <c r="D6" s="38" t="str">
        <f t="shared" si="0"/>
        <v>Climat Sec Mediterranéen - Grandes cultures</v>
      </c>
      <c r="E6" s="38">
        <v>43.1</v>
      </c>
    </row>
    <row r="7" spans="1:8" ht="16" x14ac:dyDescent="0.2">
      <c r="A7" s="51" t="s">
        <v>196</v>
      </c>
      <c r="B7" s="51" t="s">
        <v>200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ht="16" x14ac:dyDescent="0.2">
      <c r="A8" s="51" t="s">
        <v>196</v>
      </c>
      <c r="B8" s="51" t="s">
        <v>200</v>
      </c>
      <c r="C8" s="38" t="s">
        <v>198</v>
      </c>
      <c r="D8" s="38" t="str">
        <f t="shared" si="0"/>
        <v>Climat Sec Mediterranéen - Viticulture</v>
      </c>
      <c r="E8" s="38">
        <v>34.299999999999997</v>
      </c>
    </row>
    <row r="9" spans="1:8" ht="16" x14ac:dyDescent="0.2">
      <c r="A9" s="51" t="s">
        <v>196</v>
      </c>
      <c r="B9" s="51" t="s">
        <v>200</v>
      </c>
      <c r="C9" s="38" t="s">
        <v>199</v>
      </c>
      <c r="D9" s="38" t="str">
        <f t="shared" si="0"/>
        <v>Climat Sec Mediterranéen - Vergers</v>
      </c>
      <c r="E9" s="38">
        <v>41.5</v>
      </c>
    </row>
    <row r="10" spans="1:8" ht="16" x14ac:dyDescent="0.2">
      <c r="A10" s="51" t="s">
        <v>196</v>
      </c>
      <c r="B10" s="51" t="s">
        <v>200</v>
      </c>
      <c r="C10" s="38" t="s">
        <v>201</v>
      </c>
      <c r="D10" s="38" t="str">
        <f t="shared" si="0"/>
        <v>Climat Sec Mediterranéen - Friche herbacée</v>
      </c>
      <c r="E10" s="38">
        <v>52.7</v>
      </c>
    </row>
    <row r="11" spans="1:8" ht="16" x14ac:dyDescent="0.2">
      <c r="A11" s="51" t="s">
        <v>202</v>
      </c>
      <c r="B11" s="51" t="s">
        <v>29</v>
      </c>
      <c r="C11" s="38" t="s">
        <v>33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ht="16" x14ac:dyDescent="0.2">
      <c r="A12" s="51" t="s">
        <v>202</v>
      </c>
      <c r="B12" s="51" t="s">
        <v>29</v>
      </c>
      <c r="C12" s="38" t="s">
        <v>197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ht="16" x14ac:dyDescent="0.2">
      <c r="A13" s="51" t="s">
        <v>202</v>
      </c>
      <c r="B13" s="51" t="s">
        <v>29</v>
      </c>
      <c r="C13" s="38" t="s">
        <v>198</v>
      </c>
      <c r="D13" s="38" t="str">
        <f t="shared" si="1"/>
        <v>Hors climat Mediterranéen - Viticulture</v>
      </c>
      <c r="E13" s="38">
        <f>(E5-E4)/20</f>
        <v>0.65</v>
      </c>
    </row>
    <row r="14" spans="1:8" ht="16" x14ac:dyDescent="0.2">
      <c r="A14" s="51" t="s">
        <v>202</v>
      </c>
      <c r="B14" s="51" t="s">
        <v>200</v>
      </c>
      <c r="C14" s="38" t="s">
        <v>33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ht="16" x14ac:dyDescent="0.2">
      <c r="A15" s="51" t="s">
        <v>202</v>
      </c>
      <c r="B15" s="51" t="s">
        <v>200</v>
      </c>
      <c r="C15" s="38" t="s">
        <v>197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ht="16" x14ac:dyDescent="0.2">
      <c r="A16" s="51" t="s">
        <v>202</v>
      </c>
      <c r="B16" s="51" t="s">
        <v>200</v>
      </c>
      <c r="C16" s="38" t="s">
        <v>198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ht="16" x14ac:dyDescent="0.2">
      <c r="A17" s="51" t="s">
        <v>202</v>
      </c>
      <c r="B17" s="51" t="s">
        <v>200</v>
      </c>
      <c r="C17" s="38" t="s">
        <v>201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2">
      <c r="A20" s="53" t="s">
        <v>203</v>
      </c>
      <c r="B20" s="53" t="s">
        <v>25</v>
      </c>
      <c r="C20" s="53" t="s">
        <v>204</v>
      </c>
      <c r="D20" s="53" t="s">
        <v>205</v>
      </c>
    </row>
    <row r="21" spans="1:7" x14ac:dyDescent="0.2">
      <c r="A21" s="38" t="s">
        <v>206</v>
      </c>
      <c r="B21" s="38" t="s">
        <v>207</v>
      </c>
      <c r="C21" s="38" t="str">
        <f>CONCATENATE(A21," - ",B21)</f>
        <v>Abricotier - Gobelet</v>
      </c>
      <c r="D21" s="38">
        <v>300</v>
      </c>
    </row>
    <row r="22" spans="1:7" x14ac:dyDescent="0.2">
      <c r="A22" s="38" t="s">
        <v>208</v>
      </c>
      <c r="B22" s="38" t="s">
        <v>207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2">
      <c r="A23" s="38" t="s">
        <v>209</v>
      </c>
      <c r="B23" s="38" t="s">
        <v>210</v>
      </c>
      <c r="C23" s="38" t="str">
        <f t="shared" si="2"/>
        <v>Cerisier de table - Axe</v>
      </c>
      <c r="D23" s="38">
        <v>600</v>
      </c>
    </row>
    <row r="24" spans="1:7" x14ac:dyDescent="0.2">
      <c r="A24" s="38" t="s">
        <v>211</v>
      </c>
      <c r="B24" s="38" t="s">
        <v>207</v>
      </c>
      <c r="C24" s="38" t="str">
        <f t="shared" si="2"/>
        <v>Cerisier - Gobelet</v>
      </c>
      <c r="D24" s="38">
        <v>150</v>
      </c>
    </row>
    <row r="25" spans="1:7" x14ac:dyDescent="0.2">
      <c r="A25" s="38" t="s">
        <v>212</v>
      </c>
      <c r="B25" s="38" t="s">
        <v>26</v>
      </c>
      <c r="C25" s="38" t="str">
        <f t="shared" si="2"/>
        <v>Châtaignier - Plein vent</v>
      </c>
      <c r="D25" s="38">
        <v>40</v>
      </c>
    </row>
    <row r="26" spans="1:7" x14ac:dyDescent="0.2">
      <c r="A26" s="38" t="s">
        <v>213</v>
      </c>
      <c r="B26" s="38" t="s">
        <v>26</v>
      </c>
      <c r="C26" s="38" t="str">
        <f t="shared" si="2"/>
        <v>Clémentinier - Plein vent</v>
      </c>
      <c r="D26" s="38">
        <v>500</v>
      </c>
    </row>
    <row r="27" spans="1:7" x14ac:dyDescent="0.2">
      <c r="A27" s="38" t="s">
        <v>214</v>
      </c>
      <c r="B27" s="38" t="s">
        <v>207</v>
      </c>
      <c r="C27" s="38" t="str">
        <f t="shared" si="2"/>
        <v>Cognassier - Gobelet</v>
      </c>
      <c r="D27" s="38">
        <v>300</v>
      </c>
    </row>
    <row r="28" spans="1:7" x14ac:dyDescent="0.2">
      <c r="A28" s="38" t="s">
        <v>214</v>
      </c>
      <c r="B28" s="38" t="s">
        <v>210</v>
      </c>
      <c r="C28" s="38" t="str">
        <f t="shared" si="2"/>
        <v>Cognassier - Axe</v>
      </c>
      <c r="D28" s="38">
        <v>1000</v>
      </c>
    </row>
    <row r="29" spans="1:7" x14ac:dyDescent="0.2">
      <c r="A29" s="38" t="s">
        <v>215</v>
      </c>
      <c r="B29" s="38" t="s">
        <v>207</v>
      </c>
      <c r="C29" s="38" t="str">
        <f t="shared" si="2"/>
        <v>Figuier - Gobelet</v>
      </c>
      <c r="D29" s="38">
        <v>200</v>
      </c>
    </row>
    <row r="30" spans="1:7" x14ac:dyDescent="0.2">
      <c r="A30" s="38" t="s">
        <v>216</v>
      </c>
      <c r="B30" s="38" t="s">
        <v>217</v>
      </c>
      <c r="C30" s="38" t="str">
        <f t="shared" si="2"/>
        <v>Kiwi - T-Barre</v>
      </c>
      <c r="D30" s="38">
        <v>350</v>
      </c>
    </row>
    <row r="31" spans="1:7" x14ac:dyDescent="0.2">
      <c r="A31" s="38" t="s">
        <v>218</v>
      </c>
      <c r="B31" s="38" t="s">
        <v>207</v>
      </c>
      <c r="C31" s="38" t="str">
        <f t="shared" si="2"/>
        <v>Noisetier - Gobelet</v>
      </c>
      <c r="D31" s="38">
        <v>250</v>
      </c>
    </row>
    <row r="32" spans="1:7" x14ac:dyDescent="0.2">
      <c r="A32" s="38" t="s">
        <v>23</v>
      </c>
      <c r="B32" s="38" t="s">
        <v>26</v>
      </c>
      <c r="C32" s="38" t="str">
        <f t="shared" si="2"/>
        <v>Noyer - Plein vent</v>
      </c>
      <c r="D32" s="38">
        <v>50</v>
      </c>
    </row>
    <row r="33" spans="1:7" x14ac:dyDescent="0.2">
      <c r="A33" s="38" t="s">
        <v>219</v>
      </c>
      <c r="B33" s="38" t="s">
        <v>210</v>
      </c>
      <c r="C33" s="38" t="str">
        <f t="shared" si="2"/>
        <v>Pêcher - Axe</v>
      </c>
      <c r="D33" s="38">
        <v>1000</v>
      </c>
    </row>
    <row r="34" spans="1:7" x14ac:dyDescent="0.2">
      <c r="A34" s="38" t="s">
        <v>219</v>
      </c>
      <c r="B34" s="38" t="s">
        <v>220</v>
      </c>
      <c r="C34" s="38" t="str">
        <f t="shared" si="2"/>
        <v>Pêcher - Upsilon</v>
      </c>
      <c r="D34" s="38">
        <v>500</v>
      </c>
    </row>
    <row r="35" spans="1:7" x14ac:dyDescent="0.2">
      <c r="A35" s="38" t="s">
        <v>219</v>
      </c>
      <c r="B35" s="38" t="s">
        <v>221</v>
      </c>
      <c r="C35" s="38" t="str">
        <f t="shared" si="2"/>
        <v>Pêcher - Palmette</v>
      </c>
      <c r="D35" s="38">
        <v>500</v>
      </c>
    </row>
    <row r="36" spans="1:7" x14ac:dyDescent="0.2">
      <c r="A36" s="38" t="s">
        <v>219</v>
      </c>
      <c r="B36" s="38" t="s">
        <v>207</v>
      </c>
      <c r="C36" s="38" t="str">
        <f t="shared" si="2"/>
        <v>Pêcher - Gobelet</v>
      </c>
      <c r="D36" s="38">
        <v>350</v>
      </c>
    </row>
    <row r="37" spans="1:7" x14ac:dyDescent="0.2">
      <c r="A37" s="38" t="s">
        <v>222</v>
      </c>
      <c r="B37" s="38" t="s">
        <v>210</v>
      </c>
      <c r="C37" s="38" t="str">
        <f t="shared" si="2"/>
        <v>Poirier - Axe</v>
      </c>
      <c r="D37" s="38">
        <v>1000</v>
      </c>
    </row>
    <row r="38" spans="1:7" x14ac:dyDescent="0.2">
      <c r="A38" s="38" t="s">
        <v>222</v>
      </c>
      <c r="B38" s="38" t="s">
        <v>207</v>
      </c>
      <c r="C38" s="38" t="str">
        <f t="shared" si="2"/>
        <v>Poirier - Gobelet</v>
      </c>
      <c r="D38" s="38">
        <v>300</v>
      </c>
    </row>
    <row r="39" spans="1:7" x14ac:dyDescent="0.2">
      <c r="A39" s="38" t="s">
        <v>223</v>
      </c>
      <c r="B39" s="38" t="s">
        <v>210</v>
      </c>
      <c r="C39" s="38" t="str">
        <f t="shared" si="2"/>
        <v>Pommier - Axe</v>
      </c>
      <c r="D39" s="38">
        <v>1000</v>
      </c>
    </row>
    <row r="40" spans="1:7" x14ac:dyDescent="0.2">
      <c r="A40" s="38" t="s">
        <v>223</v>
      </c>
      <c r="B40" s="38" t="s">
        <v>207</v>
      </c>
      <c r="C40" s="38" t="str">
        <f t="shared" si="2"/>
        <v>Pommier - Gobelet</v>
      </c>
      <c r="D40" s="38">
        <v>300</v>
      </c>
    </row>
    <row r="41" spans="1:7" x14ac:dyDescent="0.2">
      <c r="A41" s="38" t="s">
        <v>224</v>
      </c>
      <c r="B41" s="38" t="s">
        <v>210</v>
      </c>
      <c r="C41" s="38" t="str">
        <f t="shared" si="2"/>
        <v>Prunier de table - Axe</v>
      </c>
      <c r="D41" s="38">
        <v>1000</v>
      </c>
    </row>
    <row r="42" spans="1:7" x14ac:dyDescent="0.2">
      <c r="A42" s="38" t="s">
        <v>224</v>
      </c>
      <c r="B42" s="38" t="s">
        <v>207</v>
      </c>
      <c r="C42" s="38" t="str">
        <f t="shared" si="2"/>
        <v>Prunier de table - Gobelet</v>
      </c>
      <c r="D42" s="38">
        <v>300</v>
      </c>
    </row>
    <row r="44" spans="1:7" ht="16" x14ac:dyDescent="0.2">
      <c r="B44" s="113" t="s">
        <v>200</v>
      </c>
      <c r="C44" s="114"/>
      <c r="D44" s="115"/>
      <c r="E44" s="113" t="s">
        <v>225</v>
      </c>
      <c r="F44" s="114"/>
      <c r="G44" s="115"/>
    </row>
    <row r="45" spans="1:7" ht="36" x14ac:dyDescent="0.2">
      <c r="A45" s="54" t="s">
        <v>226</v>
      </c>
      <c r="B45" s="55" t="s">
        <v>227</v>
      </c>
      <c r="C45" s="48" t="s">
        <v>228</v>
      </c>
      <c r="D45" s="56" t="s">
        <v>229</v>
      </c>
      <c r="E45" s="55" t="s">
        <v>227</v>
      </c>
      <c r="F45" s="48" t="s">
        <v>228</v>
      </c>
      <c r="G45" s="56" t="s">
        <v>229</v>
      </c>
    </row>
    <row r="46" spans="1:7" x14ac:dyDescent="0.2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2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2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2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2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2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2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2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2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2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2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2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2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2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2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2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2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2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2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2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7" x14ac:dyDescent="0.2">
      <c r="A67" s="57" t="s">
        <v>230</v>
      </c>
      <c r="B67" s="57" t="s">
        <v>32</v>
      </c>
      <c r="C67" s="57" t="s">
        <v>231</v>
      </c>
      <c r="D67" s="57" t="s">
        <v>232</v>
      </c>
      <c r="E67" s="57" t="s">
        <v>233</v>
      </c>
    </row>
    <row r="68" spans="1:7" ht="16" x14ac:dyDescent="0.2">
      <c r="A68" s="58">
        <v>10</v>
      </c>
      <c r="B68" s="38" t="s">
        <v>33</v>
      </c>
      <c r="C68" s="51" t="s">
        <v>200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ht="16" x14ac:dyDescent="0.2">
      <c r="A69" s="58">
        <v>11</v>
      </c>
      <c r="B69" s="38" t="s">
        <v>33</v>
      </c>
      <c r="C69" s="51" t="s">
        <v>200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ht="16" x14ac:dyDescent="0.2">
      <c r="A70" s="58">
        <v>12</v>
      </c>
      <c r="B70" s="38" t="s">
        <v>33</v>
      </c>
      <c r="C70" s="51" t="s">
        <v>200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ht="16" x14ac:dyDescent="0.2">
      <c r="A71" s="58">
        <v>13</v>
      </c>
      <c r="B71" s="38" t="s">
        <v>33</v>
      </c>
      <c r="C71" s="51" t="s">
        <v>200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ht="16" x14ac:dyDescent="0.2">
      <c r="A72" s="58">
        <v>14</v>
      </c>
      <c r="B72" s="38" t="s">
        <v>33</v>
      </c>
      <c r="C72" s="51" t="s">
        <v>200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ht="16" x14ac:dyDescent="0.2">
      <c r="A73" s="58">
        <v>15</v>
      </c>
      <c r="B73" s="38" t="s">
        <v>33</v>
      </c>
      <c r="C73" s="51" t="s">
        <v>200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ht="16" x14ac:dyDescent="0.2">
      <c r="A74" s="58">
        <v>16</v>
      </c>
      <c r="B74" s="38" t="s">
        <v>33</v>
      </c>
      <c r="C74" s="51" t="s">
        <v>200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ht="16" x14ac:dyDescent="0.2">
      <c r="A75" s="58">
        <v>17</v>
      </c>
      <c r="B75" s="38" t="s">
        <v>33</v>
      </c>
      <c r="C75" s="51" t="s">
        <v>200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ht="16" x14ac:dyDescent="0.2">
      <c r="A76" s="58">
        <v>18</v>
      </c>
      <c r="B76" s="38" t="s">
        <v>33</v>
      </c>
      <c r="C76" s="51" t="s">
        <v>200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ht="16" x14ac:dyDescent="0.2">
      <c r="A77" s="58">
        <v>19</v>
      </c>
      <c r="B77" s="38" t="s">
        <v>33</v>
      </c>
      <c r="C77" s="51" t="s">
        <v>200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ht="16" x14ac:dyDescent="0.2">
      <c r="A78" s="58">
        <v>20</v>
      </c>
      <c r="B78" s="38" t="s">
        <v>33</v>
      </c>
      <c r="C78" s="51" t="s">
        <v>200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ht="16" x14ac:dyDescent="0.2">
      <c r="A79" s="58">
        <v>10</v>
      </c>
      <c r="B79" s="38" t="s">
        <v>197</v>
      </c>
      <c r="C79" s="51" t="s">
        <v>200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ht="16" x14ac:dyDescent="0.2">
      <c r="A80" s="58">
        <v>11</v>
      </c>
      <c r="B80" s="38" t="s">
        <v>197</v>
      </c>
      <c r="C80" s="51" t="s">
        <v>200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ht="16" x14ac:dyDescent="0.2">
      <c r="A81" s="58">
        <v>12</v>
      </c>
      <c r="B81" s="38" t="s">
        <v>197</v>
      </c>
      <c r="C81" s="51" t="s">
        <v>200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ht="16" x14ac:dyDescent="0.2">
      <c r="A82" s="58">
        <v>13</v>
      </c>
      <c r="B82" s="38" t="s">
        <v>197</v>
      </c>
      <c r="C82" s="51" t="s">
        <v>200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ht="16" x14ac:dyDescent="0.2">
      <c r="A83" s="58">
        <v>14</v>
      </c>
      <c r="B83" s="38" t="s">
        <v>197</v>
      </c>
      <c r="C83" s="51" t="s">
        <v>200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ht="16" x14ac:dyDescent="0.2">
      <c r="A84" s="58">
        <v>15</v>
      </c>
      <c r="B84" s="38" t="s">
        <v>197</v>
      </c>
      <c r="C84" s="51" t="s">
        <v>200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ht="16" x14ac:dyDescent="0.2">
      <c r="A85" s="58">
        <v>16</v>
      </c>
      <c r="B85" s="38" t="s">
        <v>197</v>
      </c>
      <c r="C85" s="51" t="s">
        <v>200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ht="16" x14ac:dyDescent="0.2">
      <c r="A86" s="58">
        <v>17</v>
      </c>
      <c r="B86" s="38" t="s">
        <v>197</v>
      </c>
      <c r="C86" s="51" t="s">
        <v>200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ht="16" x14ac:dyDescent="0.2">
      <c r="A87" s="58">
        <v>18</v>
      </c>
      <c r="B87" s="38" t="s">
        <v>197</v>
      </c>
      <c r="C87" s="51" t="s">
        <v>200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ht="16" x14ac:dyDescent="0.2">
      <c r="A88" s="58">
        <v>19</v>
      </c>
      <c r="B88" s="38" t="s">
        <v>197</v>
      </c>
      <c r="C88" s="51" t="s">
        <v>200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ht="16" x14ac:dyDescent="0.2">
      <c r="A89" s="58">
        <v>20</v>
      </c>
      <c r="B89" s="38" t="s">
        <v>197</v>
      </c>
      <c r="C89" s="51" t="s">
        <v>200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ht="16" x14ac:dyDescent="0.2">
      <c r="A90" s="58">
        <v>10</v>
      </c>
      <c r="B90" s="38" t="s">
        <v>198</v>
      </c>
      <c r="C90" s="51" t="s">
        <v>200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ht="16" x14ac:dyDescent="0.2">
      <c r="A91" s="58">
        <v>11</v>
      </c>
      <c r="B91" s="38" t="s">
        <v>198</v>
      </c>
      <c r="C91" s="51" t="s">
        <v>200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ht="16" x14ac:dyDescent="0.2">
      <c r="A92" s="58">
        <v>12</v>
      </c>
      <c r="B92" s="38" t="s">
        <v>198</v>
      </c>
      <c r="C92" s="51" t="s">
        <v>200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ht="16" x14ac:dyDescent="0.2">
      <c r="A93" s="58">
        <v>13</v>
      </c>
      <c r="B93" s="38" t="s">
        <v>198</v>
      </c>
      <c r="C93" s="51" t="s">
        <v>200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ht="16" x14ac:dyDescent="0.2">
      <c r="A94" s="58">
        <v>14</v>
      </c>
      <c r="B94" s="38" t="s">
        <v>198</v>
      </c>
      <c r="C94" s="51" t="s">
        <v>200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ht="16" x14ac:dyDescent="0.2">
      <c r="A95" s="58">
        <v>15</v>
      </c>
      <c r="B95" s="38" t="s">
        <v>198</v>
      </c>
      <c r="C95" s="51" t="s">
        <v>200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ht="16" x14ac:dyDescent="0.2">
      <c r="A96" s="58">
        <v>16</v>
      </c>
      <c r="B96" s="38" t="s">
        <v>198</v>
      </c>
      <c r="C96" s="51" t="s">
        <v>200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ht="16" x14ac:dyDescent="0.2">
      <c r="A97" s="58">
        <v>17</v>
      </c>
      <c r="B97" s="38" t="s">
        <v>198</v>
      </c>
      <c r="C97" s="51" t="s">
        <v>200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ht="16" x14ac:dyDescent="0.2">
      <c r="A98" s="58">
        <v>18</v>
      </c>
      <c r="B98" s="38" t="s">
        <v>198</v>
      </c>
      <c r="C98" s="51" t="s">
        <v>200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ht="16" x14ac:dyDescent="0.2">
      <c r="A99" s="58">
        <v>19</v>
      </c>
      <c r="B99" s="38" t="s">
        <v>198</v>
      </c>
      <c r="C99" s="51" t="s">
        <v>200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ht="16" x14ac:dyDescent="0.2">
      <c r="A100" s="58">
        <v>20</v>
      </c>
      <c r="B100" s="38" t="s">
        <v>198</v>
      </c>
      <c r="C100" s="51" t="s">
        <v>200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ht="16" x14ac:dyDescent="0.2">
      <c r="A101" s="58">
        <v>10</v>
      </c>
      <c r="B101" s="38" t="s">
        <v>33</v>
      </c>
      <c r="C101" s="51" t="s">
        <v>29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ht="16" x14ac:dyDescent="0.2">
      <c r="A102" s="58">
        <v>11</v>
      </c>
      <c r="B102" s="38" t="s">
        <v>33</v>
      </c>
      <c r="C102" s="51" t="s">
        <v>29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ht="16" x14ac:dyDescent="0.2">
      <c r="A103" s="58">
        <v>12</v>
      </c>
      <c r="B103" s="38" t="s">
        <v>33</v>
      </c>
      <c r="C103" s="51" t="s">
        <v>29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ht="16" x14ac:dyDescent="0.2">
      <c r="A104" s="58">
        <v>13</v>
      </c>
      <c r="B104" s="38" t="s">
        <v>33</v>
      </c>
      <c r="C104" s="51" t="s">
        <v>29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ht="16" x14ac:dyDescent="0.2">
      <c r="A105" s="58">
        <v>14</v>
      </c>
      <c r="B105" s="38" t="s">
        <v>33</v>
      </c>
      <c r="C105" s="51" t="s">
        <v>29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ht="16" x14ac:dyDescent="0.2">
      <c r="A106" s="58">
        <v>15</v>
      </c>
      <c r="B106" s="38" t="s">
        <v>33</v>
      </c>
      <c r="C106" s="51" t="s">
        <v>29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ht="16" x14ac:dyDescent="0.2">
      <c r="A107" s="58">
        <v>16</v>
      </c>
      <c r="B107" s="38" t="s">
        <v>33</v>
      </c>
      <c r="C107" s="51" t="s">
        <v>29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ht="16" x14ac:dyDescent="0.2">
      <c r="A108" s="58">
        <v>17</v>
      </c>
      <c r="B108" s="38" t="s">
        <v>33</v>
      </c>
      <c r="C108" s="51" t="s">
        <v>29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ht="16" x14ac:dyDescent="0.2">
      <c r="A109" s="58">
        <v>18</v>
      </c>
      <c r="B109" s="38" t="s">
        <v>33</v>
      </c>
      <c r="C109" s="51" t="s">
        <v>29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ht="16" x14ac:dyDescent="0.2">
      <c r="A110" s="58">
        <v>19</v>
      </c>
      <c r="B110" s="38" t="s">
        <v>33</v>
      </c>
      <c r="C110" s="51" t="s">
        <v>29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ht="16" x14ac:dyDescent="0.2">
      <c r="A111" s="58">
        <v>20</v>
      </c>
      <c r="B111" s="38" t="s">
        <v>33</v>
      </c>
      <c r="C111" s="51" t="s">
        <v>29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ht="16" x14ac:dyDescent="0.2">
      <c r="A112" s="58">
        <v>10</v>
      </c>
      <c r="B112" s="38" t="s">
        <v>197</v>
      </c>
      <c r="C112" s="51" t="s">
        <v>29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ht="16" x14ac:dyDescent="0.2">
      <c r="A113" s="58">
        <v>11</v>
      </c>
      <c r="B113" s="38" t="s">
        <v>197</v>
      </c>
      <c r="C113" s="51" t="s">
        <v>29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ht="16" x14ac:dyDescent="0.2">
      <c r="A114" s="58">
        <v>12</v>
      </c>
      <c r="B114" s="38" t="s">
        <v>197</v>
      </c>
      <c r="C114" s="51" t="s">
        <v>29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ht="16" x14ac:dyDescent="0.2">
      <c r="A115" s="58">
        <v>13</v>
      </c>
      <c r="B115" s="38" t="s">
        <v>197</v>
      </c>
      <c r="C115" s="51" t="s">
        <v>29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ht="16" x14ac:dyDescent="0.2">
      <c r="A116" s="58">
        <v>14</v>
      </c>
      <c r="B116" s="38" t="s">
        <v>197</v>
      </c>
      <c r="C116" s="51" t="s">
        <v>29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ht="16" x14ac:dyDescent="0.2">
      <c r="A117" s="58">
        <v>15</v>
      </c>
      <c r="B117" s="38" t="s">
        <v>197</v>
      </c>
      <c r="C117" s="51" t="s">
        <v>29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ht="16" x14ac:dyDescent="0.2">
      <c r="A118" s="58">
        <v>16</v>
      </c>
      <c r="B118" s="38" t="s">
        <v>197</v>
      </c>
      <c r="C118" s="51" t="s">
        <v>29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ht="16" x14ac:dyDescent="0.2">
      <c r="A119" s="58">
        <v>17</v>
      </c>
      <c r="B119" s="38" t="s">
        <v>197</v>
      </c>
      <c r="C119" s="51" t="s">
        <v>29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ht="16" x14ac:dyDescent="0.2">
      <c r="A120" s="58">
        <v>18</v>
      </c>
      <c r="B120" s="38" t="s">
        <v>197</v>
      </c>
      <c r="C120" s="51" t="s">
        <v>29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ht="16" x14ac:dyDescent="0.2">
      <c r="A121" s="58">
        <v>19</v>
      </c>
      <c r="B121" s="38" t="s">
        <v>197</v>
      </c>
      <c r="C121" s="51" t="s">
        <v>29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ht="16" x14ac:dyDescent="0.2">
      <c r="A122" s="58">
        <v>20</v>
      </c>
      <c r="B122" s="38" t="s">
        <v>197</v>
      </c>
      <c r="C122" s="51" t="s">
        <v>29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ht="16" x14ac:dyDescent="0.2">
      <c r="A123" s="58">
        <v>10</v>
      </c>
      <c r="B123" s="38" t="s">
        <v>198</v>
      </c>
      <c r="C123" s="51" t="s">
        <v>29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ht="16" x14ac:dyDescent="0.2">
      <c r="A124" s="58">
        <v>11</v>
      </c>
      <c r="B124" s="38" t="s">
        <v>198</v>
      </c>
      <c r="C124" s="51" t="s">
        <v>29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ht="16" x14ac:dyDescent="0.2">
      <c r="A125" s="58">
        <v>12</v>
      </c>
      <c r="B125" s="38" t="s">
        <v>198</v>
      </c>
      <c r="C125" s="51" t="s">
        <v>29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ht="16" x14ac:dyDescent="0.2">
      <c r="A126" s="58">
        <v>13</v>
      </c>
      <c r="B126" s="38" t="s">
        <v>198</v>
      </c>
      <c r="C126" s="51" t="s">
        <v>29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ht="16" x14ac:dyDescent="0.2">
      <c r="A127" s="58">
        <v>14</v>
      </c>
      <c r="B127" s="38" t="s">
        <v>198</v>
      </c>
      <c r="C127" s="51" t="s">
        <v>29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ht="16" x14ac:dyDescent="0.2">
      <c r="A128" s="58">
        <v>15</v>
      </c>
      <c r="B128" s="38" t="s">
        <v>198</v>
      </c>
      <c r="C128" s="51" t="s">
        <v>29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ht="16" x14ac:dyDescent="0.2">
      <c r="A129" s="58">
        <v>16</v>
      </c>
      <c r="B129" s="38" t="s">
        <v>198</v>
      </c>
      <c r="C129" s="51" t="s">
        <v>29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ht="16" x14ac:dyDescent="0.2">
      <c r="A130" s="58">
        <v>17</v>
      </c>
      <c r="B130" s="38" t="s">
        <v>198</v>
      </c>
      <c r="C130" s="51" t="s">
        <v>29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ht="16" x14ac:dyDescent="0.2">
      <c r="A131" s="58">
        <v>18</v>
      </c>
      <c r="B131" s="38" t="s">
        <v>198</v>
      </c>
      <c r="C131" s="51" t="s">
        <v>29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ht="16" x14ac:dyDescent="0.2">
      <c r="A132" s="58">
        <v>19</v>
      </c>
      <c r="B132" s="38" t="s">
        <v>198</v>
      </c>
      <c r="C132" s="51" t="s">
        <v>29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ht="16" x14ac:dyDescent="0.2">
      <c r="A133" s="58">
        <v>20</v>
      </c>
      <c r="B133" s="38" t="s">
        <v>198</v>
      </c>
      <c r="C133" s="51" t="s">
        <v>29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2">
      <c r="A134" s="60"/>
      <c r="C134" s="50"/>
    </row>
    <row r="135" spans="1:5" x14ac:dyDescent="0.2">
      <c r="A135" s="60"/>
      <c r="C135" s="50"/>
    </row>
    <row r="136" spans="1:5" ht="17" x14ac:dyDescent="0.2">
      <c r="A136" s="57" t="s">
        <v>234</v>
      </c>
      <c r="B136" s="57" t="s">
        <v>235</v>
      </c>
      <c r="C136" s="50"/>
    </row>
    <row r="137" spans="1:5" x14ac:dyDescent="0.2">
      <c r="A137" s="58" t="s">
        <v>236</v>
      </c>
      <c r="B137" s="61">
        <v>3023.6659187519999</v>
      </c>
      <c r="C137" s="50"/>
    </row>
    <row r="138" spans="1:5" x14ac:dyDescent="0.2">
      <c r="A138" s="58" t="s">
        <v>37</v>
      </c>
      <c r="B138" s="61">
        <v>3462.3325584952004</v>
      </c>
      <c r="C138" s="50"/>
    </row>
    <row r="139" spans="1:5" x14ac:dyDescent="0.2">
      <c r="A139" s="58" t="s">
        <v>237</v>
      </c>
      <c r="B139" s="61">
        <v>1051.9666372200002</v>
      </c>
      <c r="C139" s="50"/>
    </row>
    <row r="140" spans="1:5" x14ac:dyDescent="0.2">
      <c r="A140" s="58" t="s">
        <v>238</v>
      </c>
      <c r="B140" s="61">
        <v>680.11092420000011</v>
      </c>
      <c r="C140" s="50"/>
    </row>
    <row r="141" spans="1:5" x14ac:dyDescent="0.2">
      <c r="A141" s="58" t="s">
        <v>239</v>
      </c>
      <c r="B141" s="61">
        <v>3969.2165201334001</v>
      </c>
      <c r="C141" s="50"/>
    </row>
    <row r="142" spans="1:5" x14ac:dyDescent="0.2">
      <c r="A142" s="58" t="s">
        <v>240</v>
      </c>
      <c r="B142" s="61">
        <v>3120.9100082900004</v>
      </c>
      <c r="C142" s="50"/>
    </row>
    <row r="143" spans="1:5" x14ac:dyDescent="0.2">
      <c r="A143" s="58" t="s">
        <v>241</v>
      </c>
      <c r="B143" s="61">
        <v>3118.3572501499998</v>
      </c>
      <c r="C143" s="50"/>
    </row>
    <row r="144" spans="1:5" x14ac:dyDescent="0.2">
      <c r="A144" s="58" t="s">
        <v>242</v>
      </c>
      <c r="B144" s="61">
        <v>2602.140331525</v>
      </c>
      <c r="C144" s="50"/>
    </row>
    <row r="145" spans="1:2" x14ac:dyDescent="0.2">
      <c r="A145" s="58" t="s">
        <v>243</v>
      </c>
      <c r="B145" s="61">
        <v>4557.9951523</v>
      </c>
    </row>
    <row r="146" spans="1:2" x14ac:dyDescent="0.2">
      <c r="A146" s="58" t="s">
        <v>244</v>
      </c>
      <c r="B146" s="61">
        <v>3047.448611238</v>
      </c>
    </row>
    <row r="147" spans="1:2" x14ac:dyDescent="0.2">
      <c r="A147" s="58" t="s">
        <v>245</v>
      </c>
      <c r="B147" s="61">
        <v>740.69039574999999</v>
      </c>
    </row>
    <row r="148" spans="1:2" x14ac:dyDescent="0.2">
      <c r="A148" s="58" t="s">
        <v>246</v>
      </c>
      <c r="B148" s="61">
        <v>897.80714540400004</v>
      </c>
    </row>
    <row r="149" spans="1:2" x14ac:dyDescent="0.2">
      <c r="A149" s="58" t="s">
        <v>247</v>
      </c>
      <c r="B149" s="61">
        <v>883.16209499700005</v>
      </c>
    </row>
    <row r="150" spans="1:2" x14ac:dyDescent="0.2">
      <c r="A150" s="58" t="s">
        <v>248</v>
      </c>
      <c r="B150" s="61">
        <v>1019.94225066</v>
      </c>
    </row>
    <row r="151" spans="1:2" x14ac:dyDescent="0.2">
      <c r="A151" s="58" t="s">
        <v>249</v>
      </c>
      <c r="B151" s="61">
        <v>889.46139315170001</v>
      </c>
    </row>
    <row r="152" spans="1:2" x14ac:dyDescent="0.2">
      <c r="A152" s="58" t="s">
        <v>250</v>
      </c>
      <c r="B152" s="61">
        <v>752.72081800977992</v>
      </c>
    </row>
    <row r="153" spans="1:2" x14ac:dyDescent="0.2">
      <c r="A153" s="58" t="s">
        <v>251</v>
      </c>
      <c r="B153" s="61">
        <v>946.9611047855999</v>
      </c>
    </row>
    <row r="154" spans="1:2" x14ac:dyDescent="0.2">
      <c r="A154" s="58" t="s">
        <v>252</v>
      </c>
      <c r="B154" s="61">
        <v>1074.1029483240002</v>
      </c>
    </row>
    <row r="155" spans="1:2" x14ac:dyDescent="0.2">
      <c r="A155" s="58" t="s">
        <v>253</v>
      </c>
      <c r="B155" s="61">
        <v>1420.210775454</v>
      </c>
    </row>
    <row r="156" spans="1:2" x14ac:dyDescent="0.2">
      <c r="A156" s="58" t="s">
        <v>254</v>
      </c>
      <c r="B156" s="61">
        <v>774.61553566148007</v>
      </c>
    </row>
    <row r="157" spans="1:2" x14ac:dyDescent="0.2">
      <c r="A157" s="58" t="s">
        <v>255</v>
      </c>
      <c r="B157" s="61">
        <v>765.12397890409</v>
      </c>
    </row>
    <row r="158" spans="1:2" x14ac:dyDescent="0.2">
      <c r="A158" s="58" t="s">
        <v>256</v>
      </c>
      <c r="B158" s="61">
        <v>1001.1849360304</v>
      </c>
    </row>
    <row r="159" spans="1:2" x14ac:dyDescent="0.2">
      <c r="A159" s="58" t="s">
        <v>257</v>
      </c>
      <c r="B159" s="61">
        <v>1279.8013208596001</v>
      </c>
    </row>
    <row r="160" spans="1:2" x14ac:dyDescent="0.2">
      <c r="A160" s="58" t="s">
        <v>258</v>
      </c>
      <c r="B160" s="61">
        <v>723.80564597088994</v>
      </c>
    </row>
    <row r="161" spans="1:2" x14ac:dyDescent="0.2">
      <c r="A161" s="58" t="s">
        <v>259</v>
      </c>
      <c r="B161" s="61">
        <v>1232.6787939830401</v>
      </c>
    </row>
    <row r="162" spans="1:2" x14ac:dyDescent="0.2">
      <c r="A162" s="58" t="s">
        <v>260</v>
      </c>
      <c r="B162" s="61">
        <v>1788.5815223822999</v>
      </c>
    </row>
    <row r="163" spans="1:2" x14ac:dyDescent="0.2">
      <c r="A163" s="58" t="s">
        <v>261</v>
      </c>
      <c r="B163" s="61">
        <v>626.40579813411489</v>
      </c>
    </row>
    <row r="164" spans="1:2" x14ac:dyDescent="0.2">
      <c r="A164" s="58" t="s">
        <v>262</v>
      </c>
      <c r="B164" s="61">
        <v>1886.3492469093001</v>
      </c>
    </row>
    <row r="165" spans="1:2" x14ac:dyDescent="0.2">
      <c r="A165" s="58" t="s">
        <v>263</v>
      </c>
      <c r="B165" s="61">
        <v>1245.7052980295</v>
      </c>
    </row>
    <row r="166" spans="1:2" x14ac:dyDescent="0.2">
      <c r="A166" s="58" t="s">
        <v>264</v>
      </c>
      <c r="B166" s="61">
        <v>1283.4653141729998</v>
      </c>
    </row>
    <row r="167" spans="1:2" x14ac:dyDescent="0.2">
      <c r="A167" s="58" t="s">
        <v>265</v>
      </c>
      <c r="B167" s="61">
        <v>1487.4535399215001</v>
      </c>
    </row>
    <row r="168" spans="1:2" x14ac:dyDescent="0.2">
      <c r="A168" s="58" t="s">
        <v>266</v>
      </c>
      <c r="B168" s="61">
        <v>1457.6311863044998</v>
      </c>
    </row>
    <row r="169" spans="1:2" x14ac:dyDescent="0.2">
      <c r="A169" s="58" t="s">
        <v>267</v>
      </c>
      <c r="B169" s="61">
        <v>1441.472337333</v>
      </c>
    </row>
    <row r="170" spans="1:2" x14ac:dyDescent="0.2">
      <c r="A170" s="58" t="s">
        <v>268</v>
      </c>
      <c r="B170" s="61">
        <v>2444.8047991999997</v>
      </c>
    </row>
    <row r="171" spans="1:2" x14ac:dyDescent="0.2">
      <c r="A171" s="58" t="s">
        <v>269</v>
      </c>
      <c r="B171" s="61">
        <v>3601.9636359103997</v>
      </c>
    </row>
    <row r="172" spans="1:2" x14ac:dyDescent="0.2">
      <c r="A172" s="58" t="s">
        <v>35</v>
      </c>
      <c r="B172" s="61">
        <v>2724.2246671013995</v>
      </c>
    </row>
    <row r="173" spans="1:2" x14ac:dyDescent="0.2">
      <c r="A173" s="58" t="s">
        <v>270</v>
      </c>
      <c r="B173" s="61">
        <v>2678.1548398122004</v>
      </c>
    </row>
    <row r="174" spans="1:2" x14ac:dyDescent="0.2">
      <c r="A174" s="58" t="s">
        <v>271</v>
      </c>
      <c r="B174" s="61">
        <v>925.39090928000007</v>
      </c>
    </row>
    <row r="175" spans="1:2" x14ac:dyDescent="0.2">
      <c r="A175" s="58" t="s">
        <v>272</v>
      </c>
      <c r="B175" s="61">
        <v>832.84025582999993</v>
      </c>
    </row>
    <row r="176" spans="1:2" x14ac:dyDescent="0.2">
      <c r="A176" s="58" t="s">
        <v>273</v>
      </c>
      <c r="B176" s="61">
        <v>3847.6402921410004</v>
      </c>
    </row>
    <row r="177" spans="1:2" x14ac:dyDescent="0.2">
      <c r="A177" s="58" t="s">
        <v>274</v>
      </c>
      <c r="B177" s="61">
        <v>3849.2868810089999</v>
      </c>
    </row>
    <row r="178" spans="1:2" x14ac:dyDescent="0.2">
      <c r="A178" s="58" t="s">
        <v>275</v>
      </c>
      <c r="B178" s="61">
        <v>3453.8088875220001</v>
      </c>
    </row>
    <row r="179" spans="1:2" x14ac:dyDescent="0.2">
      <c r="A179" s="58" t="s">
        <v>276</v>
      </c>
      <c r="B179" s="61">
        <v>3391.1981881470001</v>
      </c>
    </row>
    <row r="180" spans="1:2" x14ac:dyDescent="0.2">
      <c r="A180" s="58" t="s">
        <v>277</v>
      </c>
      <c r="B180" s="61">
        <v>3759.2860042549196</v>
      </c>
    </row>
    <row r="181" spans="1:2" x14ac:dyDescent="0.2">
      <c r="A181" s="58" t="s">
        <v>278</v>
      </c>
      <c r="B181" s="61">
        <v>2658.9292517203125</v>
      </c>
    </row>
    <row r="182" spans="1:2" x14ac:dyDescent="0.2">
      <c r="A182" s="58" t="s">
        <v>279</v>
      </c>
      <c r="B182" s="61">
        <v>4303.8993272226562</v>
      </c>
    </row>
    <row r="183" spans="1:2" x14ac:dyDescent="0.2">
      <c r="A183" s="58" t="s">
        <v>280</v>
      </c>
      <c r="B183" s="61">
        <v>4054.8428879156254</v>
      </c>
    </row>
    <row r="184" spans="1:2" x14ac:dyDescent="0.2">
      <c r="A184" s="58" t="s">
        <v>281</v>
      </c>
      <c r="B184" s="61">
        <v>3165.3350675625002</v>
      </c>
    </row>
    <row r="185" spans="1:2" x14ac:dyDescent="0.2">
      <c r="A185" s="58" t="s">
        <v>282</v>
      </c>
      <c r="B185" s="61">
        <v>21727.520374600001</v>
      </c>
    </row>
    <row r="186" spans="1:2" x14ac:dyDescent="0.2">
      <c r="A186" s="58" t="s">
        <v>283</v>
      </c>
      <c r="B186" s="61">
        <v>763729.18826415588</v>
      </c>
    </row>
    <row r="187" spans="1:2" x14ac:dyDescent="0.2">
      <c r="A187" s="58" t="s">
        <v>284</v>
      </c>
      <c r="B187" s="61">
        <v>28201.949841089998</v>
      </c>
    </row>
    <row r="188" spans="1:2" x14ac:dyDescent="0.2">
      <c r="A188" s="58" t="s">
        <v>285</v>
      </c>
      <c r="B188" s="61">
        <v>745475.31653372501</v>
      </c>
    </row>
    <row r="189" spans="1:2" x14ac:dyDescent="0.2">
      <c r="A189" s="58" t="s">
        <v>39</v>
      </c>
      <c r="B189" s="61">
        <v>1313.2063369499999</v>
      </c>
    </row>
    <row r="190" spans="1:2" x14ac:dyDescent="0.2">
      <c r="A190" s="58" t="s">
        <v>286</v>
      </c>
      <c r="B190" s="61">
        <v>864.20333642999981</v>
      </c>
    </row>
    <row r="191" spans="1:2" x14ac:dyDescent="0.2">
      <c r="A191" s="58" t="s">
        <v>287</v>
      </c>
      <c r="B191" s="61">
        <v>2605.9006745199999</v>
      </c>
    </row>
    <row r="193" spans="1:2" x14ac:dyDescent="0.2">
      <c r="A193" s="23" t="s">
        <v>234</v>
      </c>
      <c r="B193" s="62" t="s">
        <v>235</v>
      </c>
    </row>
    <row r="194" spans="1:2" x14ac:dyDescent="0.2">
      <c r="A194" t="s">
        <v>288</v>
      </c>
      <c r="B194" s="63">
        <v>5895.9797374104</v>
      </c>
    </row>
    <row r="195" spans="1:2" x14ac:dyDescent="0.2">
      <c r="A195" t="s">
        <v>289</v>
      </c>
      <c r="B195" s="63">
        <v>2576.2094178333336</v>
      </c>
    </row>
    <row r="196" spans="1:2" x14ac:dyDescent="0.2">
      <c r="A196" t="s">
        <v>290</v>
      </c>
      <c r="B196" s="63">
        <v>4062.9965796000001</v>
      </c>
    </row>
    <row r="197" spans="1:2" x14ac:dyDescent="0.2">
      <c r="A197" t="s">
        <v>291</v>
      </c>
      <c r="B197" s="63">
        <v>4011.4789508640006</v>
      </c>
    </row>
    <row r="198" spans="1:2" x14ac:dyDescent="0.2">
      <c r="A198" t="s">
        <v>292</v>
      </c>
      <c r="B198" s="63">
        <v>2682.7232290992001</v>
      </c>
    </row>
    <row r="199" spans="1:2" x14ac:dyDescent="0.2">
      <c r="A199" t="s">
        <v>293</v>
      </c>
      <c r="B199" s="63">
        <v>2548.7495763313045</v>
      </c>
    </row>
    <row r="200" spans="1:2" x14ac:dyDescent="0.2">
      <c r="A200" t="s">
        <v>294</v>
      </c>
      <c r="B200" s="63">
        <v>3366.7024762240003</v>
      </c>
    </row>
    <row r="201" spans="1:2" x14ac:dyDescent="0.2">
      <c r="A201" t="s">
        <v>295</v>
      </c>
      <c r="B201" s="63">
        <v>3370.0393371360001</v>
      </c>
    </row>
    <row r="202" spans="1:2" x14ac:dyDescent="0.2">
      <c r="A202" t="s">
        <v>296</v>
      </c>
      <c r="B202" s="63">
        <v>3392.0923222031997</v>
      </c>
    </row>
    <row r="203" spans="1:2" x14ac:dyDescent="0.2">
      <c r="A203" t="s">
        <v>297</v>
      </c>
      <c r="B203" s="63">
        <v>3141.3860726075795</v>
      </c>
    </row>
    <row r="205" spans="1:2" x14ac:dyDescent="0.2">
      <c r="A205" s="23" t="s">
        <v>298</v>
      </c>
      <c r="B205" s="23" t="s">
        <v>195</v>
      </c>
    </row>
    <row r="206" spans="1:2" x14ac:dyDescent="0.2">
      <c r="A206" t="s">
        <v>299</v>
      </c>
      <c r="B206">
        <v>1.6E-2</v>
      </c>
    </row>
    <row r="207" spans="1:2" x14ac:dyDescent="0.2">
      <c r="A207" t="s">
        <v>300</v>
      </c>
      <c r="B207">
        <v>6.0000000000000001E-3</v>
      </c>
    </row>
    <row r="208" spans="1:2" x14ac:dyDescent="0.2">
      <c r="A208" t="s">
        <v>301</v>
      </c>
      <c r="B208" s="64">
        <v>0.01</v>
      </c>
    </row>
    <row r="209" spans="1:5" x14ac:dyDescent="0.2">
      <c r="A209" t="s">
        <v>302</v>
      </c>
      <c r="B209" s="64">
        <v>1.0999999999999999E-2</v>
      </c>
    </row>
    <row r="210" spans="1:5" x14ac:dyDescent="0.2">
      <c r="A210" t="s">
        <v>303</v>
      </c>
      <c r="B210" s="64">
        <v>5.7000000000000002E-2</v>
      </c>
    </row>
    <row r="211" spans="1:5" x14ac:dyDescent="0.2">
      <c r="A211" t="s">
        <v>304</v>
      </c>
      <c r="B211" s="64">
        <v>4.51</v>
      </c>
    </row>
    <row r="212" spans="1:5" x14ac:dyDescent="0.2">
      <c r="A212" t="s">
        <v>305</v>
      </c>
      <c r="B212" s="64">
        <v>1.45</v>
      </c>
    </row>
    <row r="213" spans="1:5" x14ac:dyDescent="0.2">
      <c r="A213" t="s">
        <v>306</v>
      </c>
      <c r="B213" s="64">
        <v>0.71</v>
      </c>
    </row>
    <row r="214" spans="1:5" x14ac:dyDescent="0.2">
      <c r="A214" s="65" t="s">
        <v>307</v>
      </c>
      <c r="B214" s="64">
        <v>6.0090000000000003</v>
      </c>
    </row>
    <row r="215" spans="1:5" x14ac:dyDescent="0.2">
      <c r="A215" s="65" t="s">
        <v>308</v>
      </c>
      <c r="B215" s="64">
        <v>8.9849999999999994</v>
      </c>
    </row>
    <row r="216" spans="1:5" x14ac:dyDescent="0.2">
      <c r="A216" s="65" t="s">
        <v>309</v>
      </c>
      <c r="B216" s="64">
        <v>25.134</v>
      </c>
    </row>
    <row r="217" spans="1:5" x14ac:dyDescent="0.2">
      <c r="A217" s="66" t="s">
        <v>310</v>
      </c>
      <c r="B217" s="64">
        <v>8.4779999999999998</v>
      </c>
    </row>
    <row r="218" spans="1:5" x14ac:dyDescent="0.2">
      <c r="A218" s="67"/>
    </row>
    <row r="219" spans="1:5" x14ac:dyDescent="0.2">
      <c r="A219" t="s">
        <v>311</v>
      </c>
      <c r="B219">
        <v>0.11</v>
      </c>
    </row>
    <row r="220" spans="1:5" x14ac:dyDescent="0.2">
      <c r="A220" t="s">
        <v>312</v>
      </c>
      <c r="B220">
        <v>0.21</v>
      </c>
    </row>
    <row r="221" spans="1:5" x14ac:dyDescent="0.2">
      <c r="A221" s="68" t="s">
        <v>313</v>
      </c>
      <c r="B221">
        <v>0.24</v>
      </c>
    </row>
    <row r="223" spans="1:5" x14ac:dyDescent="0.2">
      <c r="A223" s="23" t="s">
        <v>314</v>
      </c>
      <c r="B223" s="23" t="s">
        <v>315</v>
      </c>
      <c r="C223" s="23" t="s">
        <v>316</v>
      </c>
      <c r="D223" s="23" t="s">
        <v>317</v>
      </c>
      <c r="E223" s="23" t="s">
        <v>318</v>
      </c>
    </row>
    <row r="224" spans="1:5" x14ac:dyDescent="0.2">
      <c r="A224" t="s">
        <v>121</v>
      </c>
      <c r="B224" t="s">
        <v>319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2">
      <c r="A225" t="s">
        <v>126</v>
      </c>
      <c r="B225" t="s">
        <v>319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2">
      <c r="A226" t="s">
        <v>320</v>
      </c>
      <c r="B226" t="s">
        <v>319</v>
      </c>
      <c r="C226">
        <f t="shared" si="7"/>
        <v>3.286</v>
      </c>
      <c r="D226">
        <v>2.698</v>
      </c>
      <c r="E226">
        <v>0.58799999999999997</v>
      </c>
    </row>
    <row r="227" spans="1:5" x14ac:dyDescent="0.2">
      <c r="A227" t="s">
        <v>125</v>
      </c>
      <c r="B227" t="s">
        <v>321</v>
      </c>
      <c r="C227">
        <f t="shared" si="7"/>
        <v>3.4169999999999998</v>
      </c>
      <c r="D227">
        <v>2.827</v>
      </c>
      <c r="E227">
        <v>0.59</v>
      </c>
    </row>
    <row r="228" spans="1:5" x14ac:dyDescent="0.2">
      <c r="A228" t="s">
        <v>125</v>
      </c>
      <c r="B228" t="s">
        <v>322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2">
      <c r="A229" t="s">
        <v>323</v>
      </c>
      <c r="B229" t="s">
        <v>321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2">
      <c r="A231" t="s">
        <v>324</v>
      </c>
      <c r="B231">
        <v>265</v>
      </c>
    </row>
    <row r="234" spans="1:5" ht="15" customHeight="1" x14ac:dyDescent="0.2">
      <c r="A234" s="38"/>
      <c r="B234" s="38" t="s">
        <v>325</v>
      </c>
      <c r="C234" s="38"/>
      <c r="D234" s="38" t="s">
        <v>326</v>
      </c>
      <c r="E234" s="38"/>
    </row>
    <row r="235" spans="1:5" ht="17" x14ac:dyDescent="0.25">
      <c r="A235" s="38" t="s">
        <v>327</v>
      </c>
      <c r="B235" s="38" t="s">
        <v>328</v>
      </c>
      <c r="C235" s="38" t="s">
        <v>329</v>
      </c>
      <c r="D235" s="38" t="s">
        <v>328</v>
      </c>
      <c r="E235" s="38" t="s">
        <v>329</v>
      </c>
    </row>
    <row r="236" spans="1:5" x14ac:dyDescent="0.2">
      <c r="A236" s="38" t="s">
        <v>33</v>
      </c>
      <c r="B236" s="38">
        <v>0</v>
      </c>
      <c r="C236" s="38" t="s">
        <v>330</v>
      </c>
      <c r="D236" s="38">
        <v>0</v>
      </c>
      <c r="E236" s="38" t="s">
        <v>330</v>
      </c>
    </row>
    <row r="237" spans="1:5" x14ac:dyDescent="0.2">
      <c r="A237" s="38" t="s">
        <v>197</v>
      </c>
      <c r="B237" s="38">
        <v>0</v>
      </c>
      <c r="C237" s="38" t="s">
        <v>330</v>
      </c>
      <c r="D237" s="38">
        <v>0</v>
      </c>
      <c r="E237" s="38" t="s">
        <v>330</v>
      </c>
    </row>
    <row r="238" spans="1:5" x14ac:dyDescent="0.2">
      <c r="A238" s="38" t="s">
        <v>198</v>
      </c>
      <c r="B238" s="38">
        <v>5</v>
      </c>
      <c r="C238" s="38" t="s">
        <v>331</v>
      </c>
      <c r="D238" s="38">
        <v>9.9</v>
      </c>
      <c r="E238" s="38" t="s">
        <v>332</v>
      </c>
    </row>
    <row r="239" spans="1:5" x14ac:dyDescent="0.2">
      <c r="A239" s="38" t="s">
        <v>333</v>
      </c>
      <c r="B239" s="38">
        <v>16</v>
      </c>
      <c r="C239" s="38" t="s">
        <v>331</v>
      </c>
      <c r="D239" s="38">
        <v>14.3</v>
      </c>
      <c r="E239" s="38" t="s">
        <v>332</v>
      </c>
    </row>
    <row r="241" spans="1:3" ht="15" customHeight="1" x14ac:dyDescent="0.2">
      <c r="A241" s="38"/>
      <c r="B241" s="38" t="s">
        <v>325</v>
      </c>
      <c r="C241" s="38" t="s">
        <v>326</v>
      </c>
    </row>
    <row r="242" spans="1:3" ht="18.75" customHeight="1" x14ac:dyDescent="0.25">
      <c r="A242" s="38" t="s">
        <v>334</v>
      </c>
      <c r="B242" s="38" t="s">
        <v>335</v>
      </c>
      <c r="C242" s="38" t="s">
        <v>335</v>
      </c>
    </row>
    <row r="243" spans="1:3" x14ac:dyDescent="0.2">
      <c r="A243" s="38">
        <v>1</v>
      </c>
      <c r="B243" s="38">
        <v>2.7</v>
      </c>
      <c r="C243" s="38">
        <v>2.4</v>
      </c>
    </row>
    <row r="244" spans="1:3" x14ac:dyDescent="0.2">
      <c r="A244" s="38">
        <v>2</v>
      </c>
      <c r="B244" s="38">
        <v>4.2</v>
      </c>
      <c r="C244" s="38">
        <v>3.72</v>
      </c>
    </row>
    <row r="245" spans="1:3" x14ac:dyDescent="0.2">
      <c r="A245" s="38">
        <v>3</v>
      </c>
      <c r="B245" s="38">
        <v>5.6</v>
      </c>
      <c r="C245" s="38">
        <v>5.04</v>
      </c>
    </row>
    <row r="246" spans="1:3" x14ac:dyDescent="0.2">
      <c r="A246" s="38">
        <v>4</v>
      </c>
      <c r="B246" s="38">
        <v>7.1</v>
      </c>
      <c r="C246" s="38">
        <v>6.36</v>
      </c>
    </row>
    <row r="247" spans="1:3" x14ac:dyDescent="0.2">
      <c r="A247" s="38">
        <v>5</v>
      </c>
      <c r="B247" s="38">
        <v>7.4</v>
      </c>
      <c r="C247" s="38">
        <v>6.6</v>
      </c>
    </row>
    <row r="248" spans="1:3" x14ac:dyDescent="0.2">
      <c r="A248" s="38">
        <v>6</v>
      </c>
      <c r="B248" s="38">
        <v>8.6</v>
      </c>
      <c r="C248" s="38">
        <v>7.7</v>
      </c>
    </row>
    <row r="249" spans="1:3" x14ac:dyDescent="0.2">
      <c r="A249" s="38">
        <v>7</v>
      </c>
      <c r="B249" s="38">
        <v>9.8000000000000007</v>
      </c>
      <c r="C249" s="38">
        <v>8.8000000000000007</v>
      </c>
    </row>
    <row r="250" spans="1:3" x14ac:dyDescent="0.2">
      <c r="A250" s="38">
        <v>8</v>
      </c>
      <c r="B250" s="38">
        <v>11.1</v>
      </c>
      <c r="C250" s="38">
        <v>9.9</v>
      </c>
    </row>
    <row r="251" spans="1:3" x14ac:dyDescent="0.2">
      <c r="A251" s="38">
        <v>9</v>
      </c>
      <c r="B251" s="38">
        <v>12.3</v>
      </c>
      <c r="C251" s="38">
        <v>11</v>
      </c>
    </row>
    <row r="252" spans="1:3" x14ac:dyDescent="0.2">
      <c r="A252" s="38">
        <v>10</v>
      </c>
      <c r="B252" s="38">
        <v>13.5</v>
      </c>
      <c r="C252" s="38">
        <v>12.1</v>
      </c>
    </row>
    <row r="253" spans="1:3" x14ac:dyDescent="0.2">
      <c r="A253" s="38">
        <v>11</v>
      </c>
      <c r="B253" s="38">
        <v>13.9</v>
      </c>
      <c r="C253" s="38">
        <v>12.46</v>
      </c>
    </row>
    <row r="254" spans="1:3" x14ac:dyDescent="0.2">
      <c r="A254" s="38">
        <v>12</v>
      </c>
      <c r="B254" s="38">
        <v>14.3</v>
      </c>
      <c r="C254" s="38">
        <v>12.82</v>
      </c>
    </row>
    <row r="255" spans="1:3" x14ac:dyDescent="0.2">
      <c r="A255" s="38">
        <v>13</v>
      </c>
      <c r="B255" s="38">
        <v>14.7</v>
      </c>
      <c r="C255" s="38">
        <v>13.18</v>
      </c>
    </row>
    <row r="256" spans="1:3" x14ac:dyDescent="0.2">
      <c r="A256" s="38">
        <v>14</v>
      </c>
      <c r="B256" s="38">
        <v>15.1</v>
      </c>
      <c r="C256" s="38">
        <v>13.54</v>
      </c>
    </row>
    <row r="257" spans="1:3" x14ac:dyDescent="0.2">
      <c r="A257" s="38">
        <v>15</v>
      </c>
      <c r="B257" s="38">
        <v>15.6</v>
      </c>
      <c r="C257" s="38">
        <v>13.9</v>
      </c>
    </row>
    <row r="258" spans="1:3" x14ac:dyDescent="0.2">
      <c r="A258" s="38">
        <v>16</v>
      </c>
      <c r="B258" s="38">
        <v>15.6</v>
      </c>
      <c r="C258" s="38">
        <v>13.98</v>
      </c>
    </row>
    <row r="259" spans="1:3" x14ac:dyDescent="0.2">
      <c r="A259" s="38">
        <v>17</v>
      </c>
      <c r="B259" s="38">
        <v>15.7</v>
      </c>
      <c r="C259" s="38">
        <v>14.06</v>
      </c>
    </row>
    <row r="260" spans="1:3" x14ac:dyDescent="0.2">
      <c r="A260" s="38">
        <v>18</v>
      </c>
      <c r="B260" s="38">
        <v>15.8</v>
      </c>
      <c r="C260" s="38">
        <v>14.14</v>
      </c>
    </row>
    <row r="261" spans="1:3" x14ac:dyDescent="0.2">
      <c r="A261" s="38">
        <v>19</v>
      </c>
      <c r="B261" s="38">
        <v>15.9</v>
      </c>
      <c r="C261" s="38">
        <v>14.22</v>
      </c>
    </row>
    <row r="262" spans="1:3" x14ac:dyDescent="0.2">
      <c r="A262" s="38">
        <v>20</v>
      </c>
      <c r="B262" s="38">
        <v>16</v>
      </c>
      <c r="C262" s="38">
        <v>14.3</v>
      </c>
    </row>
    <row r="264" spans="1:3" ht="15" customHeight="1" x14ac:dyDescent="0.2">
      <c r="A264" s="38" t="s">
        <v>32</v>
      </c>
      <c r="B264" s="38" t="s">
        <v>336</v>
      </c>
      <c r="C264" s="38" t="s">
        <v>337</v>
      </c>
    </row>
    <row r="265" spans="1:3" x14ac:dyDescent="0.2">
      <c r="A265" s="38" t="s">
        <v>198</v>
      </c>
      <c r="B265" s="38">
        <v>34.299999999999997</v>
      </c>
      <c r="C265" s="38">
        <v>34</v>
      </c>
    </row>
    <row r="266" spans="1:3" x14ac:dyDescent="0.2">
      <c r="A266" s="38" t="s">
        <v>197</v>
      </c>
      <c r="B266" s="38">
        <v>49.5</v>
      </c>
      <c r="C266" s="38">
        <v>85</v>
      </c>
    </row>
    <row r="267" spans="1:3" x14ac:dyDescent="0.2">
      <c r="A267" s="38" t="s">
        <v>33</v>
      </c>
      <c r="B267" s="38">
        <v>43.1</v>
      </c>
      <c r="C267" s="38">
        <v>52</v>
      </c>
    </row>
    <row r="268" spans="1:3" x14ac:dyDescent="0.2">
      <c r="A268" s="38" t="s">
        <v>338</v>
      </c>
      <c r="B268" s="38" t="s">
        <v>339</v>
      </c>
      <c r="C268" s="38" t="s">
        <v>340</v>
      </c>
    </row>
    <row r="270" spans="1:3" ht="15" customHeight="1" x14ac:dyDescent="0.2">
      <c r="A270" s="38" t="s">
        <v>32</v>
      </c>
      <c r="B270" s="38" t="s">
        <v>341</v>
      </c>
      <c r="C270" s="38" t="s">
        <v>337</v>
      </c>
    </row>
    <row r="271" spans="1:3" x14ac:dyDescent="0.2">
      <c r="A271" s="38" t="s">
        <v>333</v>
      </c>
      <c r="B271" s="38">
        <v>41.5</v>
      </c>
      <c r="C271" s="38">
        <v>47</v>
      </c>
    </row>
    <row r="272" spans="1:3" x14ac:dyDescent="0.2">
      <c r="A272" s="38" t="s">
        <v>338</v>
      </c>
      <c r="B272" s="38" t="s">
        <v>339</v>
      </c>
      <c r="C272" s="38" t="s">
        <v>340</v>
      </c>
    </row>
    <row r="275" spans="1:2" x14ac:dyDescent="0.2">
      <c r="A275" s="38" t="s">
        <v>342</v>
      </c>
      <c r="B275" s="38">
        <v>0.49</v>
      </c>
    </row>
    <row r="277" spans="1:2" x14ac:dyDescent="0.2">
      <c r="A277" s="38" t="s">
        <v>343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HENAFF Morgane</dc:creator>
  <cp:keywords/>
  <dc:description/>
  <cp:lastModifiedBy>Microsoft Office User</cp:lastModifiedBy>
  <cp:revision/>
  <dcterms:created xsi:type="dcterms:W3CDTF">2020-09-28T09:31:11Z</dcterms:created>
  <dcterms:modified xsi:type="dcterms:W3CDTF">2022-05-16T12:20:22Z</dcterms:modified>
  <cp:category/>
  <cp:contentStatus/>
</cp:coreProperties>
</file>