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livier.Gleizes\Documents\C+FOR\A.S.O\Tour de France 2025\Merville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1" l="1"/>
  <c r="B120" i="1"/>
  <c r="D120" i="1" s="1"/>
  <c r="B119" i="1"/>
  <c r="B118" i="1"/>
  <c r="B117" i="1"/>
  <c r="B116" i="1"/>
  <c r="B115" i="1"/>
  <c r="B114" i="1"/>
  <c r="B146" i="1" l="1"/>
  <c r="D145" i="1"/>
  <c r="B145" i="1"/>
  <c r="B144" i="1"/>
  <c r="D143" i="1"/>
  <c r="B143" i="1"/>
  <c r="B142" i="1"/>
  <c r="B141" i="1"/>
  <c r="B140" i="1"/>
  <c r="B94" i="1" l="1"/>
  <c r="D93" i="1"/>
  <c r="B93" i="1"/>
  <c r="B92" i="1"/>
  <c r="D91" i="1"/>
  <c r="B91" i="1"/>
  <c r="B90" i="1"/>
  <c r="D89" i="1"/>
  <c r="B89" i="1"/>
  <c r="B88" i="1"/>
  <c r="B43" i="1"/>
  <c r="D42" i="1"/>
  <c r="B42" i="1"/>
  <c r="B41" i="1"/>
  <c r="D40" i="1"/>
  <c r="B40" i="1"/>
  <c r="B39" i="1"/>
  <c r="D38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<sst xmlns="http://schemas.openxmlformats.org/spreadsheetml/2006/main" count="1174" uniqueCount="324">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</sst>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14" borderId="1" xfId="0" applyNumberForma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145.00665050019282</c:v>
                </c:pt>
                <c:pt idx="27">
                  <c:v>157.83692263801234</c:v>
                </c:pt>
                <c:pt idx="28">
                  <c:v>170.6424524976421</c:v>
                </c:pt>
                <c:pt idx="29">
                  <c:v>183.42535972935536</c:v>
                </c:pt>
                <c:pt idx="30">
                  <c:v>196.18744401776075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231.45994723108012</c:v>
                </c:pt>
                <c:pt idx="37">
                  <c:v>246.69319751240889</c:v>
                </c:pt>
                <c:pt idx="38">
                  <c:v>261.90509392198993</c:v>
                </c:pt>
                <c:pt idx="39">
                  <c:v>277.0970514904804</c:v>
                </c:pt>
                <c:pt idx="40">
                  <c:v>292.27031736625912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307.06534562328858</c:v>
                </c:pt>
                <c:pt idx="47">
                  <c:v>321.84453817650837</c:v>
                </c:pt>
                <c:pt idx="48">
                  <c:v>336.60872461695169</c:v>
                </c:pt>
                <c:pt idx="49">
                  <c:v>351.35865581477151</c:v>
                </c:pt>
                <c:pt idx="50">
                  <c:v>366.09501444973074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376.1513920342295</c:v>
                </c:pt>
                <c:pt idx="57">
                  <c:v>389.79000290566495</c:v>
                </c:pt>
                <c:pt idx="58">
                  <c:v>403.41826063463105</c:v>
                </c:pt>
                <c:pt idx="59">
                  <c:v>417.03656422780779</c:v>
                </c:pt>
                <c:pt idx="60">
                  <c:v>430.64528450788231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432.07723822137638</c:v>
                </c:pt>
                <c:pt idx="67">
                  <c:v>444.24476695077215</c:v>
                </c:pt>
                <c:pt idx="68">
                  <c:v>456.40515882712975</c:v>
                </c:pt>
                <c:pt idx="69">
                  <c:v>468.55863080015001</c:v>
                </c:pt>
                <c:pt idx="70">
                  <c:v>480.70538764731208</c:v>
                </c:pt>
                <c:pt idx="71">
                  <c:v>416.67831216352141</c:v>
                </c:pt>
                <c:pt idx="72">
                  <c:v>427.7810696781832</c:v>
                </c:pt>
                <c:pt idx="73">
                  <c:v>438.87763264294864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471.77459416013545</c:v>
                </c:pt>
                <c:pt idx="77">
                  <c:v>482.4911208700949</c:v>
                </c:pt>
                <c:pt idx="78">
                  <c:v>493.20259187340275</c:v>
                </c:pt>
                <c:pt idx="79">
                  <c:v>503.90913245527832</c:v>
                </c:pt>
                <c:pt idx="80">
                  <c:v>514.61086214265538</c:v>
                </c:pt>
                <c:pt idx="81">
                  <c:v>449.61051233832995</c:v>
                </c:pt>
                <c:pt idx="82">
                  <c:v>459.62291917328042</c:v>
                </c:pt>
                <c:pt idx="83">
                  <c:v>469.6306706784556</c:v>
                </c:pt>
                <c:pt idx="84">
                  <c:v>479.63388006306309</c:v>
                </c:pt>
                <c:pt idx="85">
                  <c:v>489.6326554281622</c:v>
                </c:pt>
                <c:pt idx="86">
                  <c:v>499.62710009899462</c:v>
                </c:pt>
                <c:pt idx="87">
                  <c:v>509.61731292933632</c:v>
                </c:pt>
                <c:pt idx="88">
                  <c:v>519.60338858074306</c:v>
                </c:pt>
                <c:pt idx="89">
                  <c:v>529.58541777921107</c:v>
                </c:pt>
                <c:pt idx="90">
                  <c:v>539.56348755148178</c:v>
                </c:pt>
                <c:pt idx="91">
                  <c:v>473.38240056334689</c:v>
                </c:pt>
                <c:pt idx="92">
                  <c:v>482.13398547834095</c:v>
                </c:pt>
                <c:pt idx="93">
                  <c:v>490.88219577778773</c:v>
                </c:pt>
                <c:pt idx="94">
                  <c:v>499.62710009899462</c:v>
                </c:pt>
                <c:pt idx="95">
                  <c:v>508.36876447997855</c:v>
                </c:pt>
                <c:pt idx="96">
                  <c:v>517.10725250186931</c:v>
                </c:pt>
                <c:pt idx="97">
                  <c:v>525.84262542118813</c:v>
                </c:pt>
                <c:pt idx="98">
                  <c:v>534.57494229287533</c:v>
                </c:pt>
                <c:pt idx="99">
                  <c:v>543.30426008486279</c:v>
                </c:pt>
                <c:pt idx="100">
                  <c:v>552.03063378489958</c:v>
                </c:pt>
                <c:pt idx="101">
                  <c:v>484.99091160498818</c:v>
                </c:pt>
                <c:pt idx="102">
                  <c:v>492.84562295362815</c:v>
                </c:pt>
                <c:pt idx="103">
                  <c:v>500.69768075588348</c:v>
                </c:pt>
                <c:pt idx="104">
                  <c:v>508.54713250848886</c:v>
                </c:pt>
                <c:pt idx="105">
                  <c:v>516.39402412186962</c:v>
                </c:pt>
                <c:pt idx="106">
                  <c:v>524.2383999969461</c:v>
                </c:pt>
                <c:pt idx="107">
                  <c:v>532.08030309710023</c:v>
                </c:pt>
                <c:pt idx="108">
                  <c:v>539.91977501567897</c:v>
                </c:pt>
                <c:pt idx="109">
                  <c:v>547.75685603937313</c:v>
                </c:pt>
                <c:pt idx="110">
                  <c:v>555.59158520777794</c:v>
                </c:pt>
                <c:pt idx="111">
                  <c:v>492.66713643818139</c:v>
                </c:pt>
                <c:pt idx="112">
                  <c:v>499.27022909127487</c:v>
                </c:pt>
                <c:pt idx="113">
                  <c:v>505.87147293953734</c:v>
                </c:pt>
                <c:pt idx="114">
                  <c:v>512.47089552301156</c:v>
                </c:pt>
                <c:pt idx="115">
                  <c:v>519.06852361425183</c:v>
                </c:pt>
                <c:pt idx="116">
                  <c:v>525.66438324941146</c:v>
                </c:pt>
                <c:pt idx="117">
                  <c:v>532.25849975768563</c:v>
                </c:pt>
                <c:pt idx="118">
                  <c:v>538.85089778922088</c:v>
                </c:pt>
                <c:pt idx="119">
                  <c:v>545.44160134158631</c:v>
                </c:pt>
                <c:pt idx="120">
                  <c:v>552.0306337848989</c:v>
                </c:pt>
                <c:pt idx="121">
                  <c:v>495.34429051823003</c:v>
                </c:pt>
                <c:pt idx="122">
                  <c:v>501.05453020073833</c:v>
                </c:pt>
                <c:pt idx="123">
                  <c:v>506.76339263133724</c:v>
                </c:pt>
                <c:pt idx="124">
                  <c:v>512.47089552301134</c:v>
                </c:pt>
                <c:pt idx="125">
                  <c:v>518.17705616178876</c:v>
                </c:pt>
                <c:pt idx="126">
                  <c:v>523.88189142172769</c:v>
                </c:pt>
                <c:pt idx="127">
                  <c:v>529.58541777920993</c:v>
                </c:pt>
                <c:pt idx="128">
                  <c:v>535.28765132659282</c:v>
                </c:pt>
                <c:pt idx="129">
                  <c:v>540.98860778524329</c:v>
                </c:pt>
                <c:pt idx="130">
                  <c:v>546.68830251799761</c:v>
                </c:pt>
                <c:pt idx="131">
                  <c:v>496.23660698450158</c:v>
                </c:pt>
                <c:pt idx="132">
                  <c:v>501.0545302007381</c:v>
                </c:pt>
                <c:pt idx="133">
                  <c:v>505.87147293953677</c:v>
                </c:pt>
                <c:pt idx="134">
                  <c:v>510.68744586077599</c:v>
                </c:pt>
                <c:pt idx="135">
                  <c:v>515.50245940674063</c:v>
                </c:pt>
                <c:pt idx="136">
                  <c:v>520.31652380860351</c:v>
                </c:pt>
                <c:pt idx="137">
                  <c:v>525.12964909264781</c:v>
                </c:pt>
                <c:pt idx="138">
                  <c:v>529.94184508625449</c:v>
                </c:pt>
                <c:pt idx="139">
                  <c:v>534.75312142365681</c:v>
                </c:pt>
                <c:pt idx="140">
                  <c:v>539.56348755148042</c:v>
                </c:pt>
                <c:pt idx="141">
                  <c:v>495.70122118881187</c:v>
                </c:pt>
                <c:pt idx="142">
                  <c:v>499.98396570940122</c:v>
                </c:pt>
                <c:pt idx="143">
                  <c:v>504.26593363931647</c:v>
                </c:pt>
                <c:pt idx="144">
                  <c:v>508.54713250848772</c:v>
                </c:pt>
                <c:pt idx="145">
                  <c:v>512.82756970962453</c:v>
                </c:pt>
                <c:pt idx="146">
                  <c:v>517.10725250186795</c:v>
                </c:pt>
                <c:pt idx="147">
                  <c:v>521.38618801431301</c:v>
                </c:pt>
                <c:pt idx="148">
                  <c:v>525.66438324941055</c:v>
                </c:pt>
                <c:pt idx="149">
                  <c:v>529.94184508625403</c:v>
                </c:pt>
                <c:pt idx="150">
                  <c:v>534.21858028375061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62202896"/>
        <c:axId val="-1962202352"/>
      </c:scatterChart>
      <c:valAx>
        <c:axId val="-1962202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2202352"/>
        <c:crosses val="autoZero"/>
        <c:crossBetween val="midCat"/>
      </c:valAx>
      <c:valAx>
        <c:axId val="-196220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2202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50517872"/>
        <c:axId val="-1950517328"/>
      </c:scatterChart>
      <c:valAx>
        <c:axId val="-1950517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50517328"/>
        <c:crosses val="autoZero"/>
        <c:crossBetween val="midCat"/>
      </c:valAx>
      <c:valAx>
        <c:axId val="-195051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50517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1.657597146041617</c:v>
                </c:pt>
                <c:pt idx="2">
                  <c:v>2.0703332205472811</c:v>
                </c:pt>
                <c:pt idx="3">
                  <c:v>2.5862467692886821</c:v>
                </c:pt>
                <c:pt idx="4">
                  <c:v>3.2312268892770533</c:v>
                </c:pt>
                <c:pt idx="5">
                  <c:v>4.0376814138322539</c:v>
                </c:pt>
                <c:pt idx="6">
                  <c:v>5.0461836196591854</c:v>
                </c:pt>
                <c:pt idx="7">
                  <c:v>26.265950244845314</c:v>
                </c:pt>
                <c:pt idx="8">
                  <c:v>54.888750907393927</c:v>
                </c:pt>
                <c:pt idx="9">
                  <c:v>86.468226978239628</c:v>
                </c:pt>
                <c:pt idx="10">
                  <c:v>118.86519359265833</c:v>
                </c:pt>
                <c:pt idx="11">
                  <c:v>155.46966644974881</c:v>
                </c:pt>
                <c:pt idx="12">
                  <c:v>188.56636773017456</c:v>
                </c:pt>
                <c:pt idx="13">
                  <c:v>224.81686592693055</c:v>
                </c:pt>
                <c:pt idx="14">
                  <c:v>255.46870740450996</c:v>
                </c:pt>
                <c:pt idx="15">
                  <c:v>287.12761317419091</c:v>
                </c:pt>
                <c:pt idx="16">
                  <c:v>316.53274040423241</c:v>
                </c:pt>
                <c:pt idx="17">
                  <c:v>344.79152205649939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62203440"/>
        <c:axId val="-1837161408"/>
      </c:scatterChart>
      <c:valAx>
        <c:axId val="-1962203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61408"/>
        <c:crosses val="autoZero"/>
        <c:crossBetween val="midCat"/>
      </c:valAx>
      <c:valAx>
        <c:axId val="-18371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2203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2.6244689027724655</c:v>
                </c:pt>
                <c:pt idx="2">
                  <c:v>3.312042388924576</c:v>
                </c:pt>
                <c:pt idx="3">
                  <c:v>4.1804548138730162</c:v>
                </c:pt>
                <c:pt idx="4">
                  <c:v>5.2774433162678447</c:v>
                </c:pt>
                <c:pt idx="5">
                  <c:v>6.6633896118575118</c:v>
                </c:pt>
                <c:pt idx="6">
                  <c:v>8.4146798872289725</c:v>
                </c:pt>
                <c:pt idx="7">
                  <c:v>10.627960079078528</c:v>
                </c:pt>
                <c:pt idx="8">
                  <c:v>13.425525787915056</c:v>
                </c:pt>
                <c:pt idx="9">
                  <c:v>16.962150157804761</c:v>
                </c:pt>
                <c:pt idx="10">
                  <c:v>21.43373433864426</c:v>
                </c:pt>
                <c:pt idx="11">
                  <c:v>27.088268261323339</c:v>
                </c:pt>
                <c:pt idx="12">
                  <c:v>34.239720272511569</c:v>
                </c:pt>
                <c:pt idx="13">
                  <c:v>43.285640151293769</c:v>
                </c:pt>
                <c:pt idx="14">
                  <c:v>54.729470631594388</c:v>
                </c:pt>
                <c:pt idx="15">
                  <c:v>69.208829802760235</c:v>
                </c:pt>
                <c:pt idx="16">
                  <c:v>89.903542800528598</c:v>
                </c:pt>
                <c:pt idx="17">
                  <c:v>110.47821024661486</c:v>
                </c:pt>
                <c:pt idx="18">
                  <c:v>130.95847101943656</c:v>
                </c:pt>
                <c:pt idx="19">
                  <c:v>151.3612148803482</c:v>
                </c:pt>
                <c:pt idx="20">
                  <c:v>171.69837969730824</c:v>
                </c:pt>
                <c:pt idx="21">
                  <c:v>117.62230117689131</c:v>
                </c:pt>
                <c:pt idx="22">
                  <c:v>139.7718435296224</c:v>
                </c:pt>
                <c:pt idx="23">
                  <c:v>161.83696568829635</c:v>
                </c:pt>
                <c:pt idx="24">
                  <c:v>183.83081652024475</c:v>
                </c:pt>
                <c:pt idx="25">
                  <c:v>205.76312973775077</c:v>
                </c:pt>
                <c:pt idx="26">
                  <c:v>226.76721841993992</c:v>
                </c:pt>
                <c:pt idx="27">
                  <c:v>247.72676285227666</c:v>
                </c:pt>
                <c:pt idx="28">
                  <c:v>268.64606128457058</c:v>
                </c:pt>
                <c:pt idx="29">
                  <c:v>289.52868753368028</c:v>
                </c:pt>
                <c:pt idx="30">
                  <c:v>310.37765765188334</c:v>
                </c:pt>
                <c:pt idx="31">
                  <c:v>231.62663999592982</c:v>
                </c:pt>
                <c:pt idx="32">
                  <c:v>250.44846504751658</c:v>
                </c:pt>
                <c:pt idx="33">
                  <c:v>269.23822510034057</c:v>
                </c:pt>
                <c:pt idx="34">
                  <c:v>287.99847235451199</c:v>
                </c:pt>
                <c:pt idx="35">
                  <c:v>306.7313992866795</c:v>
                </c:pt>
                <c:pt idx="36">
                  <c:v>323.11481010931777</c:v>
                </c:pt>
                <c:pt idx="37">
                  <c:v>339.47986025799952</c:v>
                </c:pt>
                <c:pt idx="38">
                  <c:v>355.82755927655097</c:v>
                </c:pt>
                <c:pt idx="39">
                  <c:v>372.15881638351107</c:v>
                </c:pt>
                <c:pt idx="40">
                  <c:v>388.47445449897322</c:v>
                </c:pt>
                <c:pt idx="41">
                  <c:v>305.68943472176829</c:v>
                </c:pt>
                <c:pt idx="42">
                  <c:v>319.92290747907714</c:v>
                </c:pt>
                <c:pt idx="43">
                  <c:v>334.14236984380841</c:v>
                </c:pt>
                <c:pt idx="44">
                  <c:v>348.34850202775442</c:v>
                </c:pt>
                <c:pt idx="45">
                  <c:v>362.541924229519</c:v>
                </c:pt>
                <c:pt idx="46">
                  <c:v>374.85610109245766</c:v>
                </c:pt>
                <c:pt idx="47">
                  <c:v>387.16146731647558</c:v>
                </c:pt>
                <c:pt idx="48">
                  <c:v>399.45834243331996</c:v>
                </c:pt>
                <c:pt idx="49">
                  <c:v>411.74702469422203</c:v>
                </c:pt>
                <c:pt idx="50">
                  <c:v>424.02779309344351</c:v>
                </c:pt>
                <c:pt idx="51">
                  <c:v>368.45800070785009</c:v>
                </c:pt>
                <c:pt idx="52">
                  <c:v>379.03951490194459</c:v>
                </c:pt>
                <c:pt idx="53">
                  <c:v>389.61460202756672</c:v>
                </c:pt>
                <c:pt idx="54">
                  <c:v>400.18346117939126</c:v>
                </c:pt>
                <c:pt idx="55">
                  <c:v>410.74628007457659</c:v>
                </c:pt>
                <c:pt idx="56">
                  <c:v>419.64762369150316</c:v>
                </c:pt>
                <c:pt idx="57">
                  <c:v>428.54490050127418</c:v>
                </c:pt>
                <c:pt idx="58">
                  <c:v>437.43820687961357</c:v>
                </c:pt>
                <c:pt idx="59">
                  <c:v>446.32763496223782</c:v>
                </c:pt>
                <c:pt idx="60">
                  <c:v>455.21327291395477</c:v>
                </c:pt>
                <c:pt idx="61">
                  <c:v>419.2681927399326</c:v>
                </c:pt>
                <c:pt idx="62">
                  <c:v>426.75197343084409</c:v>
                </c:pt>
                <c:pt idx="63">
                  <c:v>434.23293192198884</c:v>
                </c:pt>
                <c:pt idx="64">
                  <c:v>441.71112372067245</c:v>
                </c:pt>
                <c:pt idx="65">
                  <c:v>449.186602300316</c:v>
                </c:pt>
                <c:pt idx="66">
                  <c:v>455.66090010069485</c:v>
                </c:pt>
                <c:pt idx="67">
                  <c:v>462.13323254367833</c:v>
                </c:pt>
                <c:pt idx="68">
                  <c:v>468.60363105500534</c:v>
                </c:pt>
                <c:pt idx="69">
                  <c:v>475.07212612124312</c:v>
                </c:pt>
                <c:pt idx="70">
                  <c:v>481.538747330543</c:v>
                </c:pt>
                <c:pt idx="71">
                  <c:v>451.42528061425156</c:v>
                </c:pt>
                <c:pt idx="72">
                  <c:v>457.27916621968103</c:v>
                </c:pt>
                <c:pt idx="73">
                  <c:v>463.13145130621803</c:v>
                </c:pt>
                <c:pt idx="74">
                  <c:v>468.9821589661239</c:v>
                </c:pt>
                <c:pt idx="75">
                  <c:v>474.83131166809176</c:v>
                </c:pt>
                <c:pt idx="76">
                  <c:v>479.95666053791041</c:v>
                </c:pt>
                <c:pt idx="77">
                  <c:v>485.0808460570284</c:v>
                </c:pt>
                <c:pt idx="78">
                  <c:v>490.20388225735581</c:v>
                </c:pt>
                <c:pt idx="79">
                  <c:v>495.32578285337695</c:v>
                </c:pt>
                <c:pt idx="80">
                  <c:v>500.44656125261253</c:v>
                </c:pt>
                <c:pt idx="81">
                  <c:v>6.9121814197236049E-12</c:v>
                </c:pt>
                <c:pt idx="82">
                  <c:v>6.9121814197236049E-12</c:v>
                </c:pt>
                <c:pt idx="83">
                  <c:v>6.9121814197236049E-12</c:v>
                </c:pt>
                <c:pt idx="84">
                  <c:v>6.9121814197236049E-12</c:v>
                </c:pt>
                <c:pt idx="85">
                  <c:v>6.9121814197236049E-12</c:v>
                </c:pt>
                <c:pt idx="86">
                  <c:v>6.9121814197236049E-12</c:v>
                </c:pt>
                <c:pt idx="87">
                  <c:v>6.9121814197236049E-12</c:v>
                </c:pt>
                <c:pt idx="88">
                  <c:v>6.9121814197236049E-12</c:v>
                </c:pt>
                <c:pt idx="89">
                  <c:v>6.9121814197236049E-12</c:v>
                </c:pt>
                <c:pt idx="90">
                  <c:v>6.9121814197236049E-12</c:v>
                </c:pt>
                <c:pt idx="91">
                  <c:v>6.9121814197236049E-12</c:v>
                </c:pt>
                <c:pt idx="92">
                  <c:v>6.9121814197236049E-12</c:v>
                </c:pt>
                <c:pt idx="93">
                  <c:v>6.9121814197236049E-12</c:v>
                </c:pt>
                <c:pt idx="94">
                  <c:v>6.9121814197236049E-12</c:v>
                </c:pt>
                <c:pt idx="95">
                  <c:v>6.9121814197236049E-12</c:v>
                </c:pt>
                <c:pt idx="96">
                  <c:v>6.9121814197236049E-12</c:v>
                </c:pt>
                <c:pt idx="97">
                  <c:v>6.9121814197236049E-12</c:v>
                </c:pt>
                <c:pt idx="98">
                  <c:v>6.9121814197236049E-12</c:v>
                </c:pt>
                <c:pt idx="99">
                  <c:v>6.9121814197236049E-12</c:v>
                </c:pt>
                <c:pt idx="100">
                  <c:v>6.9121814197236049E-12</c:v>
                </c:pt>
                <c:pt idx="101">
                  <c:v>6.9121814197236049E-12</c:v>
                </c:pt>
                <c:pt idx="102">
                  <c:v>6.9121814197236049E-12</c:v>
                </c:pt>
                <c:pt idx="103">
                  <c:v>6.9121814197236049E-12</c:v>
                </c:pt>
                <c:pt idx="104">
                  <c:v>6.9121814197236049E-12</c:v>
                </c:pt>
                <c:pt idx="105">
                  <c:v>6.9121814197236049E-12</c:v>
                </c:pt>
                <c:pt idx="106">
                  <c:v>6.9121814197236049E-12</c:v>
                </c:pt>
                <c:pt idx="107">
                  <c:v>6.9121814197236049E-12</c:v>
                </c:pt>
                <c:pt idx="108">
                  <c:v>6.9121814197236049E-12</c:v>
                </c:pt>
                <c:pt idx="109">
                  <c:v>6.9121814197236049E-12</c:v>
                </c:pt>
                <c:pt idx="110">
                  <c:v>6.9121814197236049E-12</c:v>
                </c:pt>
                <c:pt idx="111">
                  <c:v>6.9121814197236049E-12</c:v>
                </c:pt>
                <c:pt idx="112">
                  <c:v>6.9121814197236049E-12</c:v>
                </c:pt>
                <c:pt idx="113">
                  <c:v>6.9121814197236049E-12</c:v>
                </c:pt>
                <c:pt idx="114">
                  <c:v>6.9121814197236049E-12</c:v>
                </c:pt>
                <c:pt idx="115">
                  <c:v>6.9121814197236049E-12</c:v>
                </c:pt>
                <c:pt idx="116">
                  <c:v>6.9121814197236049E-12</c:v>
                </c:pt>
                <c:pt idx="117">
                  <c:v>6.9121814197236049E-12</c:v>
                </c:pt>
                <c:pt idx="118">
                  <c:v>6.9121814197236049E-12</c:v>
                </c:pt>
                <c:pt idx="119">
                  <c:v>6.9121814197236049E-12</c:v>
                </c:pt>
                <c:pt idx="120">
                  <c:v>6.9121814197236049E-12</c:v>
                </c:pt>
                <c:pt idx="121">
                  <c:v>6.9121814197236049E-12</c:v>
                </c:pt>
                <c:pt idx="122">
                  <c:v>6.9121814197236049E-12</c:v>
                </c:pt>
                <c:pt idx="123">
                  <c:v>6.9121814197236049E-12</c:v>
                </c:pt>
                <c:pt idx="124">
                  <c:v>6.9121814197236049E-12</c:v>
                </c:pt>
                <c:pt idx="125">
                  <c:v>6.9121814197236049E-12</c:v>
                </c:pt>
                <c:pt idx="126">
                  <c:v>6.9121814197236049E-12</c:v>
                </c:pt>
                <c:pt idx="127">
                  <c:v>6.9121814197236049E-12</c:v>
                </c:pt>
                <c:pt idx="128">
                  <c:v>6.9121814197236049E-12</c:v>
                </c:pt>
                <c:pt idx="129">
                  <c:v>6.9121814197236049E-12</c:v>
                </c:pt>
                <c:pt idx="130">
                  <c:v>6.9121814197236049E-12</c:v>
                </c:pt>
                <c:pt idx="131">
                  <c:v>6.9121814197236049E-12</c:v>
                </c:pt>
                <c:pt idx="132">
                  <c:v>6.9121814197236049E-12</c:v>
                </c:pt>
                <c:pt idx="133">
                  <c:v>6.9121814197236049E-12</c:v>
                </c:pt>
                <c:pt idx="134">
                  <c:v>6.9121814197236049E-12</c:v>
                </c:pt>
                <c:pt idx="135">
                  <c:v>6.9121814197236049E-12</c:v>
                </c:pt>
                <c:pt idx="136">
                  <c:v>6.9121814197236049E-12</c:v>
                </c:pt>
                <c:pt idx="137">
                  <c:v>6.9121814197236049E-12</c:v>
                </c:pt>
                <c:pt idx="138">
                  <c:v>6.9121814197236049E-12</c:v>
                </c:pt>
                <c:pt idx="139">
                  <c:v>6.9121814197236049E-12</c:v>
                </c:pt>
                <c:pt idx="140">
                  <c:v>6.9121814197236049E-12</c:v>
                </c:pt>
                <c:pt idx="141">
                  <c:v>6.9121814197236049E-12</c:v>
                </c:pt>
                <c:pt idx="142">
                  <c:v>6.9121814197236049E-12</c:v>
                </c:pt>
                <c:pt idx="143">
                  <c:v>6.9121814197236049E-12</c:v>
                </c:pt>
                <c:pt idx="144">
                  <c:v>6.9121814197236049E-12</c:v>
                </c:pt>
                <c:pt idx="145">
                  <c:v>6.9121814197236049E-12</c:v>
                </c:pt>
                <c:pt idx="146">
                  <c:v>6.9121814197236049E-12</c:v>
                </c:pt>
                <c:pt idx="147">
                  <c:v>6.9121814197236049E-12</c:v>
                </c:pt>
                <c:pt idx="148">
                  <c:v>6.9121814197236049E-12</c:v>
                </c:pt>
                <c:pt idx="149">
                  <c:v>6.9121814197236049E-12</c:v>
                </c:pt>
                <c:pt idx="150">
                  <c:v>6.9121814197236049E-12</c:v>
                </c:pt>
                <c:pt idx="151">
                  <c:v>6.9121814197236049E-12</c:v>
                </c:pt>
                <c:pt idx="152">
                  <c:v>6.9121814197236049E-12</c:v>
                </c:pt>
                <c:pt idx="153">
                  <c:v>6.9121814197236049E-12</c:v>
                </c:pt>
                <c:pt idx="154">
                  <c:v>6.9121814197236049E-12</c:v>
                </c:pt>
                <c:pt idx="155">
                  <c:v>6.9121814197236049E-12</c:v>
                </c:pt>
                <c:pt idx="156">
                  <c:v>6.9121814197236049E-12</c:v>
                </c:pt>
                <c:pt idx="157">
                  <c:v>6.9121814197236049E-12</c:v>
                </c:pt>
                <c:pt idx="158">
                  <c:v>6.9121814197236049E-12</c:v>
                </c:pt>
                <c:pt idx="159">
                  <c:v>6.9121814197236049E-12</c:v>
                </c:pt>
                <c:pt idx="160">
                  <c:v>6.9121814197236049E-12</c:v>
                </c:pt>
                <c:pt idx="161">
                  <c:v>6.9121814197236049E-12</c:v>
                </c:pt>
                <c:pt idx="162">
                  <c:v>6.9121814197236049E-12</c:v>
                </c:pt>
                <c:pt idx="163">
                  <c:v>6.9121814197236049E-12</c:v>
                </c:pt>
                <c:pt idx="164">
                  <c:v>6.9121814197236049E-12</c:v>
                </c:pt>
                <c:pt idx="165">
                  <c:v>6.9121814197236049E-12</c:v>
                </c:pt>
                <c:pt idx="166">
                  <c:v>6.9121814197236049E-12</c:v>
                </c:pt>
                <c:pt idx="167">
                  <c:v>6.9121814197236049E-12</c:v>
                </c:pt>
                <c:pt idx="168">
                  <c:v>6.9121814197236049E-12</c:v>
                </c:pt>
                <c:pt idx="169">
                  <c:v>6.9121814197236049E-12</c:v>
                </c:pt>
                <c:pt idx="170">
                  <c:v>6.9121814197236049E-12</c:v>
                </c:pt>
                <c:pt idx="171">
                  <c:v>6.9121814197236049E-12</c:v>
                </c:pt>
                <c:pt idx="172">
                  <c:v>6.9121814197236049E-12</c:v>
                </c:pt>
                <c:pt idx="173">
                  <c:v>6.9121814197236049E-12</c:v>
                </c:pt>
                <c:pt idx="174">
                  <c:v>6.9121814197236049E-12</c:v>
                </c:pt>
                <c:pt idx="175">
                  <c:v>6.9121814197236049E-12</c:v>
                </c:pt>
                <c:pt idx="176">
                  <c:v>6.9121814197236049E-12</c:v>
                </c:pt>
                <c:pt idx="177">
                  <c:v>6.9121814197236049E-12</c:v>
                </c:pt>
                <c:pt idx="178">
                  <c:v>6.9121814197236049E-12</c:v>
                </c:pt>
                <c:pt idx="179">
                  <c:v>6.9121814197236049E-12</c:v>
                </c:pt>
                <c:pt idx="180">
                  <c:v>6.9121814197236049E-12</c:v>
                </c:pt>
                <c:pt idx="181">
                  <c:v>6.9121814197236049E-12</c:v>
                </c:pt>
                <c:pt idx="182">
                  <c:v>6.9121814197236049E-12</c:v>
                </c:pt>
                <c:pt idx="183">
                  <c:v>6.9121814197236049E-12</c:v>
                </c:pt>
                <c:pt idx="184">
                  <c:v>6.9121814197236049E-12</c:v>
                </c:pt>
                <c:pt idx="185">
                  <c:v>6.9121814197236049E-12</c:v>
                </c:pt>
                <c:pt idx="186">
                  <c:v>6.9121814197236049E-12</c:v>
                </c:pt>
                <c:pt idx="187">
                  <c:v>6.9121814197236049E-12</c:v>
                </c:pt>
                <c:pt idx="188">
                  <c:v>6.9121814197236049E-12</c:v>
                </c:pt>
                <c:pt idx="189">
                  <c:v>6.9121814197236049E-12</c:v>
                </c:pt>
                <c:pt idx="190">
                  <c:v>6.9121814197236049E-12</c:v>
                </c:pt>
                <c:pt idx="191">
                  <c:v>6.9121814197236049E-12</c:v>
                </c:pt>
                <c:pt idx="192">
                  <c:v>6.9121814197236049E-12</c:v>
                </c:pt>
                <c:pt idx="193">
                  <c:v>6.9121814197236049E-12</c:v>
                </c:pt>
                <c:pt idx="194">
                  <c:v>6.9121814197236049E-12</c:v>
                </c:pt>
                <c:pt idx="195">
                  <c:v>6.9121814197236049E-12</c:v>
                </c:pt>
                <c:pt idx="196">
                  <c:v>6.9121814197236049E-12</c:v>
                </c:pt>
                <c:pt idx="197">
                  <c:v>6.9121814197236049E-12</c:v>
                </c:pt>
                <c:pt idx="198">
                  <c:v>6.9121814197236049E-12</c:v>
                </c:pt>
                <c:pt idx="199">
                  <c:v>6.9121814197236049E-12</c:v>
                </c:pt>
                <c:pt idx="200">
                  <c:v>6.9121814197236049E-12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7155968"/>
        <c:axId val="-1837161952"/>
      </c:scatterChart>
      <c:valAx>
        <c:axId val="-1837155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61952"/>
        <c:crosses val="autoZero"/>
        <c:crossBetween val="midCat"/>
      </c:valAx>
      <c:valAx>
        <c:axId val="-183716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55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2.059299625439059</c:v>
                </c:pt>
                <c:pt idx="2">
                  <c:v>2.5631490552489224</c:v>
                </c:pt>
                <c:pt idx="3">
                  <c:v>3.1907575421655068</c:v>
                </c:pt>
                <c:pt idx="4">
                  <c:v>3.972635492295312</c:v>
                </c:pt>
                <c:pt idx="5">
                  <c:v>4.9468409052332136</c:v>
                </c:pt>
                <c:pt idx="6">
                  <c:v>6.1608524298468161</c:v>
                </c:pt>
                <c:pt idx="7">
                  <c:v>7.673908613844187</c:v>
                </c:pt>
                <c:pt idx="8">
                  <c:v>9.5599296925347588</c:v>
                </c:pt>
                <c:pt idx="9">
                  <c:v>11.911167369074306</c:v>
                </c:pt>
                <c:pt idx="10">
                  <c:v>14.842764443415049</c:v>
                </c:pt>
                <c:pt idx="11">
                  <c:v>18.498451683695013</c:v>
                </c:pt>
                <c:pt idx="12">
                  <c:v>23.057666296912391</c:v>
                </c:pt>
                <c:pt idx="13">
                  <c:v>28.744447618276066</c:v>
                </c:pt>
                <c:pt idx="14">
                  <c:v>35.838554796967067</c:v>
                </c:pt>
                <c:pt idx="15">
                  <c:v>44.689362812583909</c:v>
                </c:pt>
                <c:pt idx="16">
                  <c:v>55.733232748311231</c:v>
                </c:pt>
                <c:pt idx="17">
                  <c:v>69.515226931876853</c:v>
                </c:pt>
                <c:pt idx="18">
                  <c:v>86.716258171398479</c:v>
                </c:pt>
                <c:pt idx="19">
                  <c:v>108.18703592715815</c:v>
                </c:pt>
                <c:pt idx="20">
                  <c:v>134.99051473121605</c:v>
                </c:pt>
                <c:pt idx="21">
                  <c:v>75.106139619906443</c:v>
                </c:pt>
                <c:pt idx="22">
                  <c:v>89.746706436515694</c:v>
                </c:pt>
                <c:pt idx="23">
                  <c:v>104.3272941810082</c:v>
                </c:pt>
                <c:pt idx="24">
                  <c:v>118.85748997118363</c:v>
                </c:pt>
                <c:pt idx="25">
                  <c:v>133.34433344211197</c:v>
                </c:pt>
                <c:pt idx="26">
                  <c:v>147.79320404174845</c:v>
                </c:pt>
                <c:pt idx="27">
                  <c:v>162.20834057141184</c:v>
                </c:pt>
                <c:pt idx="28">
                  <c:v>176.59316531401487</c:v>
                </c:pt>
                <c:pt idx="29">
                  <c:v>190.95049654731417</c:v>
                </c:pt>
                <c:pt idx="30">
                  <c:v>205.28269356734697</c:v>
                </c:pt>
                <c:pt idx="31">
                  <c:v>216.25896183985853</c:v>
                </c:pt>
                <c:pt idx="32">
                  <c:v>227.22241767290214</c:v>
                </c:pt>
                <c:pt idx="33">
                  <c:v>238.17376682993768</c:v>
                </c:pt>
                <c:pt idx="34">
                  <c:v>249.11364481597573</c:v>
                </c:pt>
                <c:pt idx="35">
                  <c:v>260.04262671698189</c:v>
                </c:pt>
                <c:pt idx="36">
                  <c:v>270.96123529691698</c:v>
                </c:pt>
                <c:pt idx="37">
                  <c:v>281.86994772018772</c:v>
                </c:pt>
                <c:pt idx="38">
                  <c:v>292.7692011781333</c:v>
                </c:pt>
                <c:pt idx="39">
                  <c:v>303.659397633217</c:v>
                </c:pt>
                <c:pt idx="40">
                  <c:v>314.54090784661207</c:v>
                </c:pt>
                <c:pt idx="41">
                  <c:v>145.7684799383367</c:v>
                </c:pt>
                <c:pt idx="42">
                  <c:v>163.29836706023542</c:v>
                </c:pt>
                <c:pt idx="43">
                  <c:v>180.78374378845038</c:v>
                </c:pt>
                <c:pt idx="44">
                  <c:v>198.22952330955923</c:v>
                </c:pt>
                <c:pt idx="45">
                  <c:v>215.63968200938768</c:v>
                </c:pt>
                <c:pt idx="46">
                  <c:v>233.01750101249687</c:v>
                </c:pt>
                <c:pt idx="47">
                  <c:v>250.36573167724194</c:v>
                </c:pt>
                <c:pt idx="48">
                  <c:v>267.68671271122554</c:v>
                </c:pt>
                <c:pt idx="49">
                  <c:v>284.98245533148872</c:v>
                </c:pt>
                <c:pt idx="50">
                  <c:v>302.25470663909709</c:v>
                </c:pt>
                <c:pt idx="51">
                  <c:v>236.38349204501648</c:v>
                </c:pt>
                <c:pt idx="52">
                  <c:v>248.81735550888095</c:v>
                </c:pt>
                <c:pt idx="53">
                  <c:v>261.23712560010279</c:v>
                </c:pt>
                <c:pt idx="54">
                  <c:v>273.64356702742066</c:v>
                </c:pt>
                <c:pt idx="55">
                  <c:v>286.03736945996593</c:v>
                </c:pt>
                <c:pt idx="56">
                  <c:v>298.41915789277482</c:v>
                </c:pt>
                <c:pt idx="57">
                  <c:v>310.78950120078446</c:v>
                </c:pt>
                <c:pt idx="58">
                  <c:v>323.14891925888026</c:v>
                </c:pt>
                <c:pt idx="59">
                  <c:v>335.49788891514845</c:v>
                </c:pt>
                <c:pt idx="60">
                  <c:v>347.83684903831903</c:v>
                </c:pt>
                <c:pt idx="61">
                  <c:v>357.19933732983412</c:v>
                </c:pt>
                <c:pt idx="62">
                  <c:v>366.55645469361872</c:v>
                </c:pt>
                <c:pt idx="63">
                  <c:v>375.9083576406224</c:v>
                </c:pt>
                <c:pt idx="64">
                  <c:v>385.25519425482179</c:v>
                </c:pt>
                <c:pt idx="65">
                  <c:v>394.59710484482639</c:v>
                </c:pt>
                <c:pt idx="66">
                  <c:v>403.93422253053865</c:v>
                </c:pt>
                <c:pt idx="67">
                  <c:v>413.26667377272298</c:v>
                </c:pt>
                <c:pt idx="68">
                  <c:v>422.59457885222963</c:v>
                </c:pt>
                <c:pt idx="69">
                  <c:v>431.91805230469055</c:v>
                </c:pt>
                <c:pt idx="70">
                  <c:v>441.23720331571639</c:v>
                </c:pt>
                <c:pt idx="71">
                  <c:v>449.50767757631553</c:v>
                </c:pt>
                <c:pt idx="72">
                  <c:v>457.77489658252875</c:v>
                </c:pt>
                <c:pt idx="73">
                  <c:v>466.03892743829942</c:v>
                </c:pt>
                <c:pt idx="74">
                  <c:v>474.29983467263992</c:v>
                </c:pt>
                <c:pt idx="75">
                  <c:v>482.55768038254035</c:v>
                </c:pt>
                <c:pt idx="76">
                  <c:v>490.8125243655831</c:v>
                </c:pt>
                <c:pt idx="77">
                  <c:v>499.06442424316856</c:v>
                </c:pt>
                <c:pt idx="78">
                  <c:v>507.31343557516715</c:v>
                </c:pt>
                <c:pt idx="79">
                  <c:v>515.5596119667224</c:v>
                </c:pt>
                <c:pt idx="80">
                  <c:v>523.80300516786735</c:v>
                </c:pt>
                <c:pt idx="81">
                  <c:v>1.1334929971951436E-12</c:v>
                </c:pt>
                <c:pt idx="82">
                  <c:v>1.1334929971951436E-12</c:v>
                </c:pt>
                <c:pt idx="83">
                  <c:v>1.1334929971951436E-12</c:v>
                </c:pt>
                <c:pt idx="84">
                  <c:v>1.1334929971951436E-12</c:v>
                </c:pt>
                <c:pt idx="85">
                  <c:v>1.1334929971951436E-12</c:v>
                </c:pt>
                <c:pt idx="86">
                  <c:v>1.1334929971951436E-12</c:v>
                </c:pt>
                <c:pt idx="87">
                  <c:v>1.1334929971951436E-12</c:v>
                </c:pt>
                <c:pt idx="88">
                  <c:v>1.1334929971951436E-12</c:v>
                </c:pt>
                <c:pt idx="89">
                  <c:v>1.1334929971951436E-12</c:v>
                </c:pt>
                <c:pt idx="90">
                  <c:v>1.1334929971951436E-12</c:v>
                </c:pt>
                <c:pt idx="91">
                  <c:v>1.1334929971951436E-12</c:v>
                </c:pt>
                <c:pt idx="92">
                  <c:v>1.1334929971951436E-12</c:v>
                </c:pt>
                <c:pt idx="93">
                  <c:v>1.1334929971951436E-12</c:v>
                </c:pt>
                <c:pt idx="94">
                  <c:v>1.1334929971951436E-12</c:v>
                </c:pt>
                <c:pt idx="95">
                  <c:v>1.1334929971951436E-12</c:v>
                </c:pt>
                <c:pt idx="96">
                  <c:v>1.1334929971951436E-12</c:v>
                </c:pt>
                <c:pt idx="97">
                  <c:v>1.1334929971951436E-12</c:v>
                </c:pt>
                <c:pt idx="98">
                  <c:v>1.1334929971951436E-12</c:v>
                </c:pt>
                <c:pt idx="99">
                  <c:v>1.1334929971951436E-12</c:v>
                </c:pt>
                <c:pt idx="100">
                  <c:v>1.1334929971951436E-12</c:v>
                </c:pt>
                <c:pt idx="101">
                  <c:v>1.1334929971951436E-12</c:v>
                </c:pt>
                <c:pt idx="102">
                  <c:v>1.1334929971951436E-12</c:v>
                </c:pt>
                <c:pt idx="103">
                  <c:v>1.1334929971951436E-12</c:v>
                </c:pt>
                <c:pt idx="104">
                  <c:v>1.1334929971951436E-12</c:v>
                </c:pt>
                <c:pt idx="105">
                  <c:v>1.1334929971951436E-12</c:v>
                </c:pt>
                <c:pt idx="106">
                  <c:v>1.1334929971951436E-12</c:v>
                </c:pt>
                <c:pt idx="107">
                  <c:v>1.1334929971951436E-12</c:v>
                </c:pt>
                <c:pt idx="108">
                  <c:v>1.1334929971951436E-12</c:v>
                </c:pt>
                <c:pt idx="109">
                  <c:v>1.1334929971951436E-12</c:v>
                </c:pt>
                <c:pt idx="110">
                  <c:v>1.1334929971951436E-12</c:v>
                </c:pt>
                <c:pt idx="111">
                  <c:v>1.1334929971951436E-12</c:v>
                </c:pt>
                <c:pt idx="112">
                  <c:v>1.1334929971951436E-12</c:v>
                </c:pt>
                <c:pt idx="113">
                  <c:v>1.1334929971951436E-12</c:v>
                </c:pt>
                <c:pt idx="114">
                  <c:v>1.1334929971951436E-12</c:v>
                </c:pt>
                <c:pt idx="115">
                  <c:v>1.1334929971951436E-12</c:v>
                </c:pt>
                <c:pt idx="116">
                  <c:v>1.1334929971951436E-12</c:v>
                </c:pt>
                <c:pt idx="117">
                  <c:v>1.1334929971951436E-12</c:v>
                </c:pt>
                <c:pt idx="118">
                  <c:v>1.1334929971951436E-12</c:v>
                </c:pt>
                <c:pt idx="119">
                  <c:v>1.1334929971951436E-12</c:v>
                </c:pt>
                <c:pt idx="120">
                  <c:v>1.1334929971951436E-12</c:v>
                </c:pt>
                <c:pt idx="121">
                  <c:v>1.1334929971951436E-12</c:v>
                </c:pt>
                <c:pt idx="122">
                  <c:v>1.1334929971951436E-12</c:v>
                </c:pt>
                <c:pt idx="123">
                  <c:v>1.1334929971951436E-12</c:v>
                </c:pt>
                <c:pt idx="124">
                  <c:v>1.1334929971951436E-12</c:v>
                </c:pt>
                <c:pt idx="125">
                  <c:v>1.1334929971951436E-12</c:v>
                </c:pt>
                <c:pt idx="126">
                  <c:v>1.1334929971951436E-12</c:v>
                </c:pt>
                <c:pt idx="127">
                  <c:v>1.1334929971951436E-12</c:v>
                </c:pt>
                <c:pt idx="128">
                  <c:v>1.1334929971951436E-12</c:v>
                </c:pt>
                <c:pt idx="129">
                  <c:v>1.1334929971951436E-12</c:v>
                </c:pt>
                <c:pt idx="130">
                  <c:v>1.1334929971951436E-12</c:v>
                </c:pt>
                <c:pt idx="131">
                  <c:v>1.1334929971951436E-12</c:v>
                </c:pt>
                <c:pt idx="132">
                  <c:v>1.1334929971951436E-12</c:v>
                </c:pt>
                <c:pt idx="133">
                  <c:v>1.1334929971951436E-12</c:v>
                </c:pt>
                <c:pt idx="134">
                  <c:v>1.1334929971951436E-12</c:v>
                </c:pt>
                <c:pt idx="135">
                  <c:v>1.1334929971951436E-12</c:v>
                </c:pt>
                <c:pt idx="136">
                  <c:v>1.1334929971951436E-12</c:v>
                </c:pt>
                <c:pt idx="137">
                  <c:v>1.1334929971951436E-12</c:v>
                </c:pt>
                <c:pt idx="138">
                  <c:v>1.1334929971951436E-12</c:v>
                </c:pt>
                <c:pt idx="139">
                  <c:v>1.1334929971951436E-12</c:v>
                </c:pt>
                <c:pt idx="140">
                  <c:v>1.1334929971951436E-12</c:v>
                </c:pt>
                <c:pt idx="141">
                  <c:v>1.1334929971951436E-12</c:v>
                </c:pt>
                <c:pt idx="142">
                  <c:v>1.1334929971951436E-12</c:v>
                </c:pt>
                <c:pt idx="143">
                  <c:v>1.1334929971951436E-12</c:v>
                </c:pt>
                <c:pt idx="144">
                  <c:v>1.1334929971951436E-12</c:v>
                </c:pt>
                <c:pt idx="145">
                  <c:v>1.1334929971951436E-12</c:v>
                </c:pt>
                <c:pt idx="146">
                  <c:v>1.1334929971951436E-12</c:v>
                </c:pt>
                <c:pt idx="147">
                  <c:v>1.1334929971951436E-12</c:v>
                </c:pt>
                <c:pt idx="148">
                  <c:v>1.1334929971951436E-12</c:v>
                </c:pt>
                <c:pt idx="149">
                  <c:v>1.1334929971951436E-12</c:v>
                </c:pt>
                <c:pt idx="150">
                  <c:v>1.1334929971951436E-12</c:v>
                </c:pt>
                <c:pt idx="151">
                  <c:v>1.1334929971951436E-12</c:v>
                </c:pt>
                <c:pt idx="152">
                  <c:v>1.1334929971951436E-12</c:v>
                </c:pt>
                <c:pt idx="153">
                  <c:v>1.1334929971951436E-12</c:v>
                </c:pt>
                <c:pt idx="154">
                  <c:v>1.1334929971951436E-12</c:v>
                </c:pt>
                <c:pt idx="155">
                  <c:v>1.1334929971951436E-12</c:v>
                </c:pt>
                <c:pt idx="156">
                  <c:v>1.1334929971951436E-12</c:v>
                </c:pt>
                <c:pt idx="157">
                  <c:v>1.1334929971951436E-12</c:v>
                </c:pt>
                <c:pt idx="158">
                  <c:v>1.1334929971951436E-12</c:v>
                </c:pt>
                <c:pt idx="159">
                  <c:v>1.1334929971951436E-12</c:v>
                </c:pt>
                <c:pt idx="160">
                  <c:v>1.1334929971951436E-12</c:v>
                </c:pt>
                <c:pt idx="161">
                  <c:v>1.1334929971951436E-12</c:v>
                </c:pt>
                <c:pt idx="162">
                  <c:v>1.1334929971951436E-12</c:v>
                </c:pt>
                <c:pt idx="163">
                  <c:v>1.1334929971951436E-12</c:v>
                </c:pt>
                <c:pt idx="164">
                  <c:v>1.1334929971951436E-12</c:v>
                </c:pt>
                <c:pt idx="165">
                  <c:v>1.1334929971951436E-12</c:v>
                </c:pt>
                <c:pt idx="166">
                  <c:v>1.1334929971951436E-12</c:v>
                </c:pt>
                <c:pt idx="167">
                  <c:v>1.1334929971951436E-12</c:v>
                </c:pt>
                <c:pt idx="168">
                  <c:v>1.1334929971951436E-12</c:v>
                </c:pt>
                <c:pt idx="169">
                  <c:v>1.1334929971951436E-12</c:v>
                </c:pt>
                <c:pt idx="170">
                  <c:v>1.1334929971951436E-12</c:v>
                </c:pt>
                <c:pt idx="171">
                  <c:v>1.1334929971951436E-12</c:v>
                </c:pt>
                <c:pt idx="172">
                  <c:v>1.1334929971951436E-12</c:v>
                </c:pt>
                <c:pt idx="173">
                  <c:v>1.1334929971951436E-12</c:v>
                </c:pt>
                <c:pt idx="174">
                  <c:v>1.1334929971951436E-12</c:v>
                </c:pt>
                <c:pt idx="175">
                  <c:v>1.1334929971951436E-12</c:v>
                </c:pt>
                <c:pt idx="176">
                  <c:v>1.1334929971951436E-12</c:v>
                </c:pt>
                <c:pt idx="177">
                  <c:v>1.1334929971951436E-12</c:v>
                </c:pt>
                <c:pt idx="178">
                  <c:v>1.1334929971951436E-12</c:v>
                </c:pt>
                <c:pt idx="179">
                  <c:v>1.1334929971951436E-12</c:v>
                </c:pt>
                <c:pt idx="180">
                  <c:v>1.1334929971951436E-12</c:v>
                </c:pt>
                <c:pt idx="181">
                  <c:v>1.1334929971951436E-12</c:v>
                </c:pt>
                <c:pt idx="182">
                  <c:v>1.1334929971951436E-12</c:v>
                </c:pt>
                <c:pt idx="183">
                  <c:v>1.1334929971951436E-12</c:v>
                </c:pt>
                <c:pt idx="184">
                  <c:v>1.1334929971951436E-12</c:v>
                </c:pt>
                <c:pt idx="185">
                  <c:v>1.1334929971951436E-12</c:v>
                </c:pt>
                <c:pt idx="186">
                  <c:v>1.1334929971951436E-12</c:v>
                </c:pt>
                <c:pt idx="187">
                  <c:v>1.1334929971951436E-12</c:v>
                </c:pt>
                <c:pt idx="188">
                  <c:v>1.1334929971951436E-12</c:v>
                </c:pt>
                <c:pt idx="189">
                  <c:v>1.1334929971951436E-12</c:v>
                </c:pt>
                <c:pt idx="190">
                  <c:v>1.1334929971951436E-12</c:v>
                </c:pt>
                <c:pt idx="191">
                  <c:v>1.1334929971951436E-12</c:v>
                </c:pt>
                <c:pt idx="192">
                  <c:v>1.1334929971951436E-12</c:v>
                </c:pt>
                <c:pt idx="193">
                  <c:v>1.1334929971951436E-12</c:v>
                </c:pt>
                <c:pt idx="194">
                  <c:v>1.1334929971951436E-12</c:v>
                </c:pt>
                <c:pt idx="195">
                  <c:v>1.1334929971951436E-12</c:v>
                </c:pt>
                <c:pt idx="196">
                  <c:v>1.1334929971951436E-12</c:v>
                </c:pt>
                <c:pt idx="197">
                  <c:v>1.1334929971951436E-12</c:v>
                </c:pt>
                <c:pt idx="198">
                  <c:v>1.1334929971951436E-12</c:v>
                </c:pt>
                <c:pt idx="199">
                  <c:v>1.1334929971951436E-12</c:v>
                </c:pt>
                <c:pt idx="200">
                  <c:v>1.1334929971951436E-12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7159232"/>
        <c:axId val="-1837160864"/>
      </c:scatterChart>
      <c:valAx>
        <c:axId val="-1837159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60864"/>
        <c:crosses val="autoZero"/>
        <c:crossBetween val="midCat"/>
      </c:valAx>
      <c:valAx>
        <c:axId val="-183716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59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27.345220255102358</c:v>
                </c:pt>
                <c:pt idx="12">
                  <c:v>37.432463952525062</c:v>
                </c:pt>
                <c:pt idx="13">
                  <c:v>47.445001472262504</c:v>
                </c:pt>
                <c:pt idx="14">
                  <c:v>57.400994138954132</c:v>
                </c:pt>
                <c:pt idx="15">
                  <c:v>67.311695544212839</c:v>
                </c:pt>
                <c:pt idx="16">
                  <c:v>84.712794136987995</c:v>
                </c:pt>
                <c:pt idx="17">
                  <c:v>102.02343949799173</c:v>
                </c:pt>
                <c:pt idx="18">
                  <c:v>119.26121337444529</c:v>
                </c:pt>
                <c:pt idx="19">
                  <c:v>136.43816057705777</c:v>
                </c:pt>
                <c:pt idx="20">
                  <c:v>153.56302988078727</c:v>
                </c:pt>
                <c:pt idx="21">
                  <c:v>167.22993767644601</c:v>
                </c:pt>
                <c:pt idx="22">
                  <c:v>180.87049769568827</c:v>
                </c:pt>
                <c:pt idx="23">
                  <c:v>194.48697803189245</c:v>
                </c:pt>
                <c:pt idx="24">
                  <c:v>208.08130286734146</c:v>
                </c:pt>
                <c:pt idx="25">
                  <c:v>221.65512417668984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245.08225003541108</c:v>
                </c:pt>
                <c:pt idx="32">
                  <c:v>257.19884285520715</c:v>
                </c:pt>
                <c:pt idx="33">
                  <c:v>269.30253071627453</c:v>
                </c:pt>
                <c:pt idx="34">
                  <c:v>281.39397560428034</c:v>
                </c:pt>
                <c:pt idx="35">
                  <c:v>293.47377793906497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291.22722867703152</c:v>
                </c:pt>
                <c:pt idx="42">
                  <c:v>301.61432492529298</c:v>
                </c:pt>
                <c:pt idx="43">
                  <c:v>311.99345994696824</c:v>
                </c:pt>
                <c:pt idx="44">
                  <c:v>322.36493607230227</c:v>
                </c:pt>
                <c:pt idx="45">
                  <c:v>332.72903457884462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317.88089480903892</c:v>
                </c:pt>
                <c:pt idx="52">
                  <c:v>326.84759797683068</c:v>
                </c:pt>
                <c:pt idx="53">
                  <c:v>335.80886953875768</c:v>
                </c:pt>
                <c:pt idx="54">
                  <c:v>344.76487498038233</c:v>
                </c:pt>
                <c:pt idx="55">
                  <c:v>353.71577048208877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335.80886953875768</c:v>
                </c:pt>
                <c:pt idx="62">
                  <c:v>343.08601778170447</c:v>
                </c:pt>
                <c:pt idx="63">
                  <c:v>350.35977394062758</c:v>
                </c:pt>
                <c:pt idx="64">
                  <c:v>357.63021843517214</c:v>
                </c:pt>
                <c:pt idx="65">
                  <c:v>364.89742814550777</c:v>
                </c:pt>
                <c:pt idx="66">
                  <c:v>312.83467185841931</c:v>
                </c:pt>
                <c:pt idx="67">
                  <c:v>319.56257332567844</c:v>
                </c:pt>
                <c:pt idx="68">
                  <c:v>326.28733992743037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346.16378539221341</c:v>
                </c:pt>
                <c:pt idx="72">
                  <c:v>352.59718287003494</c:v>
                </c:pt>
                <c:pt idx="73">
                  <c:v>359.02800767063667</c:v>
                </c:pt>
                <c:pt idx="74">
                  <c:v>365.45631242252267</c:v>
                </c:pt>
                <c:pt idx="75">
                  <c:v>371.88214774985971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354.83428056807537</c:v>
                </c:pt>
                <c:pt idx="82">
                  <c:v>360.14615329066834</c:v>
                </c:pt>
                <c:pt idx="83">
                  <c:v>365.45631242252267</c:v>
                </c:pt>
                <c:pt idx="84">
                  <c:v>370.76478640470532</c:v>
                </c:pt>
                <c:pt idx="85">
                  <c:v>376.0716027964873</c:v>
                </c:pt>
                <c:pt idx="86">
                  <c:v>381.0976082607811</c:v>
                </c:pt>
                <c:pt idx="87">
                  <c:v>386.12217206095738</c:v>
                </c:pt>
                <c:pt idx="88">
                  <c:v>391.14531562543885</c:v>
                </c:pt>
                <c:pt idx="89">
                  <c:v>396.16705978676401</c:v>
                </c:pt>
                <c:pt idx="90">
                  <c:v>401.18742480567101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7157600"/>
        <c:axId val="-1837158688"/>
      </c:scatterChart>
      <c:valAx>
        <c:axId val="-1837157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58688"/>
        <c:crosses val="autoZero"/>
        <c:crossBetween val="midCat"/>
      </c:valAx>
      <c:valAx>
        <c:axId val="-183715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57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7160320"/>
        <c:axId val="-1837157056"/>
      </c:scatterChart>
      <c:valAx>
        <c:axId val="-1837160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57056"/>
        <c:crosses val="autoZero"/>
        <c:crossBetween val="midCat"/>
      </c:valAx>
      <c:valAx>
        <c:axId val="-183715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6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7163040"/>
        <c:axId val="-1837159776"/>
      </c:scatterChart>
      <c:valAx>
        <c:axId val="-1837163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59776"/>
        <c:crosses val="autoZero"/>
        <c:crossBetween val="midCat"/>
      </c:valAx>
      <c:valAx>
        <c:axId val="-183715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6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7162496"/>
        <c:axId val="-1837158144"/>
      </c:scatterChart>
      <c:valAx>
        <c:axId val="-1837162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58144"/>
        <c:crosses val="autoZero"/>
        <c:crossBetween val="midCat"/>
      </c:valAx>
      <c:valAx>
        <c:axId val="-183715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62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7156512"/>
        <c:axId val="-1950522224"/>
      </c:scatterChart>
      <c:valAx>
        <c:axId val="-1837156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50522224"/>
        <c:crosses val="autoZero"/>
        <c:crossBetween val="midCat"/>
      </c:valAx>
      <c:valAx>
        <c:axId val="-195052222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156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21" zoomScaleNormal="100" workbookViewId="0">
      <selection activeCell="H74" sqref="H7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</v>
      </c>
      <c r="C9" s="35">
        <v>0.50646999999999998</v>
      </c>
      <c r="D9" s="36">
        <f t="shared" ref="D9:D18" si="0">C9*$C$5</f>
        <v>0.86099899999999996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112</v>
      </c>
      <c r="C10" s="35">
        <v>0.27646999999999999</v>
      </c>
      <c r="D10" s="36">
        <f t="shared" si="0"/>
        <v>0.469999</v>
      </c>
      <c r="E10" s="37">
        <v>17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30</v>
      </c>
      <c r="C11" s="35">
        <v>7.2349999999999998E-2</v>
      </c>
      <c r="D11" s="36">
        <f t="shared" si="0"/>
        <v>0.12299499999999999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321</v>
      </c>
      <c r="C12" s="35">
        <v>7.2349999999999998E-2</v>
      </c>
      <c r="D12" s="36">
        <f t="shared" si="0"/>
        <v>0.12299499999999999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4</v>
      </c>
      <c r="C13" s="35">
        <v>7.2349999999999998E-2</v>
      </c>
      <c r="D13" s="36">
        <f t="shared" si="0"/>
        <v>0.12299499999999999</v>
      </c>
      <c r="E13" s="37">
        <v>90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0.99999000000000005</v>
      </c>
      <c r="D19" s="41">
        <f>SUM(D9:D18)</f>
        <v>1.6999829999999998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pédonculé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</f>
        <v>116</v>
      </c>
      <c r="C39" s="63"/>
      <c r="D39" s="63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</f>
        <v>158</v>
      </c>
      <c r="C41" s="63"/>
      <c r="D41" s="63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f>176+21</f>
        <v>197</v>
      </c>
      <c r="C43" s="63"/>
      <c r="D43" s="6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Koster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6</v>
      </c>
      <c r="B62" s="63">
        <v>4</v>
      </c>
      <c r="C62" s="63"/>
      <c r="D62" s="63"/>
      <c r="E62" s="54"/>
      <c r="F62" s="54"/>
      <c r="G62" s="54"/>
      <c r="H62" s="54"/>
      <c r="I62" s="56">
        <f>IFERROR(B62/A62,"")</f>
        <v>0.66666666666666663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7</v>
      </c>
      <c r="B63" s="63">
        <v>22</v>
      </c>
      <c r="C63" s="63"/>
      <c r="D63" s="63"/>
      <c r="E63" s="54"/>
      <c r="F63" s="54"/>
      <c r="G63" s="54"/>
      <c r="H63" s="54"/>
      <c r="I63" s="52">
        <f>IF(A63&lt;&gt;0,(B63-(B62-D62))/(A63-A62),"")</f>
        <v>18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8</v>
      </c>
      <c r="B64" s="63">
        <v>47</v>
      </c>
      <c r="C64" s="63"/>
      <c r="D64" s="63"/>
      <c r="E64" s="54"/>
      <c r="F64" s="54"/>
      <c r="G64" s="54"/>
      <c r="H64" s="54"/>
      <c r="I64" s="52">
        <f>IF(A64&lt;&gt;0,(B64-(B63-D63))/(A64-A63),"")</f>
        <v>25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9</v>
      </c>
      <c r="B65" s="63">
        <v>75</v>
      </c>
      <c r="C65" s="63"/>
      <c r="D65" s="63"/>
      <c r="E65" s="54"/>
      <c r="F65" s="54"/>
      <c r="G65" s="54"/>
      <c r="H65" s="54"/>
      <c r="I65" s="52">
        <f>IF(A65&lt;&gt;0,(B65-(B64-D64))/(A65-A64),"")</f>
        <v>28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10</v>
      </c>
      <c r="B66" s="63">
        <v>104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29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11</v>
      </c>
      <c r="B67" s="63">
        <v>137</v>
      </c>
      <c r="C67" s="63"/>
      <c r="D67" s="63"/>
      <c r="E67" s="54"/>
      <c r="F67" s="54"/>
      <c r="G67" s="54"/>
      <c r="H67" s="54"/>
      <c r="I67" s="52">
        <f t="shared" si="2"/>
        <v>33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12</v>
      </c>
      <c r="B68" s="63">
        <v>167</v>
      </c>
      <c r="C68" s="63"/>
      <c r="D68" s="63"/>
      <c r="E68" s="54"/>
      <c r="F68" s="54"/>
      <c r="G68" s="54"/>
      <c r="H68" s="54"/>
      <c r="I68" s="52">
        <f t="shared" si="2"/>
        <v>30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13</v>
      </c>
      <c r="B69" s="53">
        <v>200</v>
      </c>
      <c r="C69" s="53"/>
      <c r="D69" s="53"/>
      <c r="E69" s="54"/>
      <c r="F69" s="54"/>
      <c r="G69" s="54"/>
      <c r="H69" s="54"/>
      <c r="I69" s="52">
        <f t="shared" si="2"/>
        <v>33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14</v>
      </c>
      <c r="B70" s="53">
        <v>228</v>
      </c>
      <c r="C70" s="53"/>
      <c r="D70" s="53"/>
      <c r="E70" s="54"/>
      <c r="F70" s="54"/>
      <c r="G70" s="54"/>
      <c r="H70" s="54"/>
      <c r="I70" s="52">
        <f t="shared" si="2"/>
        <v>28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15</v>
      </c>
      <c r="B71" s="53">
        <v>257</v>
      </c>
      <c r="C71" s="53"/>
      <c r="D71" s="53"/>
      <c r="E71" s="54"/>
      <c r="F71" s="54"/>
      <c r="G71" s="54"/>
      <c r="H71" s="54"/>
      <c r="I71" s="52">
        <f t="shared" si="2"/>
        <v>29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16</v>
      </c>
      <c r="B72" s="53">
        <v>284</v>
      </c>
      <c r="C72" s="53"/>
      <c r="D72" s="53"/>
      <c r="E72" s="54"/>
      <c r="F72" s="54"/>
      <c r="G72" s="54"/>
      <c r="H72" s="54"/>
      <c r="I72" s="52">
        <f t="shared" si="2"/>
        <v>27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17</v>
      </c>
      <c r="B73" s="53">
        <v>310</v>
      </c>
      <c r="C73" s="53">
        <v>1</v>
      </c>
      <c r="D73" s="53">
        <f>'Données projet'!B73</f>
        <v>310</v>
      </c>
      <c r="E73" s="54">
        <v>0.77</v>
      </c>
      <c r="F73" s="54"/>
      <c r="G73" s="54">
        <v>0.11</v>
      </c>
      <c r="H73" s="54">
        <v>0.12</v>
      </c>
      <c r="I73" s="52">
        <f t="shared" si="2"/>
        <v>26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Noyer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f>22.3+15.1</f>
        <v>37.4</v>
      </c>
      <c r="C88" s="63"/>
      <c r="D88" s="63"/>
      <c r="E88" s="54"/>
      <c r="F88" s="54"/>
      <c r="G88" s="54"/>
      <c r="H88" s="54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f>52+15.1+28</f>
        <v>95.1</v>
      </c>
      <c r="C89" s="63">
        <v>1</v>
      </c>
      <c r="D89" s="63">
        <f>15.1+28</f>
        <v>43.1</v>
      </c>
      <c r="E89" s="54"/>
      <c r="F89" s="54"/>
      <c r="G89" s="54"/>
      <c r="H89" s="54">
        <v>1</v>
      </c>
      <c r="I89" s="56">
        <f t="shared" ref="I89:I107" si="3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f>86.5+28</f>
        <v>114.5</v>
      </c>
      <c r="C90" s="63"/>
      <c r="D90" s="63"/>
      <c r="E90" s="54"/>
      <c r="F90" s="54"/>
      <c r="G90" s="54"/>
      <c r="H90" s="54"/>
      <c r="I90" s="56">
        <f t="shared" si="3"/>
        <v>12.500000000000002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f>118.5+28+28</f>
        <v>174.5</v>
      </c>
      <c r="C91" s="63">
        <v>2</v>
      </c>
      <c r="D91" s="63">
        <f>28+28</f>
        <v>56</v>
      </c>
      <c r="E91" s="54"/>
      <c r="F91" s="54"/>
      <c r="G91" s="54"/>
      <c r="H91" s="54">
        <v>1</v>
      </c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f>144.4+28</f>
        <v>172.4</v>
      </c>
      <c r="C92" s="63"/>
      <c r="D92" s="63"/>
      <c r="E92" s="54"/>
      <c r="F92" s="54"/>
      <c r="G92" s="54"/>
      <c r="H92" s="54"/>
      <c r="I92" s="56">
        <f t="shared" si="3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f>163.6+28+28</f>
        <v>219.6</v>
      </c>
      <c r="C93" s="63">
        <v>3</v>
      </c>
      <c r="D93" s="63">
        <f>28+28</f>
        <v>56</v>
      </c>
      <c r="E93" s="54"/>
      <c r="F93" s="54"/>
      <c r="G93" s="54"/>
      <c r="H93" s="54"/>
      <c r="I93" s="56">
        <f t="shared" si="3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f>182.8+21.8</f>
        <v>204.60000000000002</v>
      </c>
      <c r="C94" s="63"/>
      <c r="D94" s="63"/>
      <c r="E94" s="54"/>
      <c r="F94" s="54"/>
      <c r="G94" s="54"/>
      <c r="H94" s="54"/>
      <c r="I94" s="56">
        <f t="shared" si="3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53">
        <v>240.20000000000002</v>
      </c>
      <c r="C95" s="53">
        <v>4</v>
      </c>
      <c r="D95" s="53">
        <v>38.299999999999997</v>
      </c>
      <c r="E95" s="54"/>
      <c r="F95" s="54"/>
      <c r="G95" s="54"/>
      <c r="H95" s="54"/>
      <c r="I95" s="56">
        <f t="shared" si="3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53">
        <v>232.5</v>
      </c>
      <c r="C96" s="53"/>
      <c r="D96" s="53"/>
      <c r="E96" s="54"/>
      <c r="F96" s="54"/>
      <c r="G96" s="54"/>
      <c r="H96" s="54"/>
      <c r="I96" s="56">
        <f t="shared" si="3"/>
        <v>6.119999999999993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53">
        <v>258.3</v>
      </c>
      <c r="C97" s="53">
        <v>5</v>
      </c>
      <c r="D97" s="53">
        <v>25.200000000000003</v>
      </c>
      <c r="E97" s="54"/>
      <c r="F97" s="54"/>
      <c r="G97" s="54"/>
      <c r="H97" s="54"/>
      <c r="I97" s="56">
        <f t="shared" si="3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53">
        <v>254.8</v>
      </c>
      <c r="C98" s="53"/>
      <c r="D98" s="53"/>
      <c r="E98" s="54"/>
      <c r="F98" s="54"/>
      <c r="G98" s="54"/>
      <c r="H98" s="54"/>
      <c r="I98" s="56">
        <f t="shared" si="3"/>
        <v>4.3399999999999981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53">
        <v>273.59999999999997</v>
      </c>
      <c r="C99" s="53">
        <v>6</v>
      </c>
      <c r="D99" s="53">
        <v>20.9</v>
      </c>
      <c r="E99" s="54"/>
      <c r="F99" s="54"/>
      <c r="G99" s="54"/>
      <c r="H99" s="54"/>
      <c r="I99" s="56">
        <f t="shared" si="3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75</v>
      </c>
      <c r="B100" s="53">
        <v>269.70000000000005</v>
      </c>
      <c r="C100" s="53"/>
      <c r="D100" s="53"/>
      <c r="E100" s="54"/>
      <c r="F100" s="54"/>
      <c r="G100" s="54"/>
      <c r="H100" s="54"/>
      <c r="I100" s="56">
        <f t="shared" si="3"/>
        <v>3.4000000000000172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80</v>
      </c>
      <c r="B101" s="53">
        <v>284.60000000000002</v>
      </c>
      <c r="C101" s="53">
        <v>7</v>
      </c>
      <c r="D101" s="53">
        <v>284.60000000000002</v>
      </c>
      <c r="E101" s="54"/>
      <c r="F101" s="54"/>
      <c r="G101" s="54"/>
      <c r="H101" s="54"/>
      <c r="I101" s="56">
        <f t="shared" si="3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Tulipier de Virginie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f>147/1.56</f>
        <v>94.230769230769226</v>
      </c>
      <c r="C114" s="63">
        <v>1</v>
      </c>
      <c r="D114" s="63">
        <v>53</v>
      </c>
      <c r="E114" s="54"/>
      <c r="F114" s="54"/>
      <c r="G114" s="54"/>
      <c r="H114" s="54">
        <v>1</v>
      </c>
      <c r="I114" s="56">
        <f>IFERROR(B114/A114,"")</f>
        <v>4.7115384615384617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f>226/1.56</f>
        <v>144.87179487179486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10.364102564102563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40</v>
      </c>
      <c r="B116" s="63">
        <f>350/1.56</f>
        <v>224.35897435897436</v>
      </c>
      <c r="C116" s="63">
        <v>2</v>
      </c>
      <c r="D116" s="63">
        <v>135</v>
      </c>
      <c r="E116" s="54"/>
      <c r="F116" s="54"/>
      <c r="G116" s="54"/>
      <c r="H116" s="54"/>
      <c r="I116" s="56">
        <f t="shared" si="4"/>
        <v>7.9487179487179507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50</v>
      </c>
      <c r="B117" s="63">
        <f>336/1.56</f>
        <v>215.38461538461539</v>
      </c>
      <c r="C117" s="63">
        <v>3</v>
      </c>
      <c r="D117" s="63">
        <v>57</v>
      </c>
      <c r="E117" s="54"/>
      <c r="F117" s="54"/>
      <c r="G117" s="54"/>
      <c r="H117" s="54"/>
      <c r="I117" s="56">
        <f t="shared" si="4"/>
        <v>12.602564102564102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60</v>
      </c>
      <c r="B118" s="63">
        <f>388/1.56</f>
        <v>248.7179487179487</v>
      </c>
      <c r="C118" s="63"/>
      <c r="D118" s="63"/>
      <c r="E118" s="54"/>
      <c r="F118" s="54"/>
      <c r="G118" s="54"/>
      <c r="H118" s="54"/>
      <c r="I118" s="56">
        <f t="shared" si="4"/>
        <v>9.0333333333333314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70</v>
      </c>
      <c r="B119" s="63">
        <f>495/1.56</f>
        <v>317.30769230769232</v>
      </c>
      <c r="C119" s="63"/>
      <c r="D119" s="63"/>
      <c r="E119" s="54"/>
      <c r="F119" s="54"/>
      <c r="G119" s="54"/>
      <c r="H119" s="54"/>
      <c r="I119" s="56">
        <f t="shared" si="4"/>
        <v>6.8589743589743621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80</v>
      </c>
      <c r="B120" s="63">
        <f>590/1.56</f>
        <v>378.20512820512818</v>
      </c>
      <c r="C120" s="63">
        <v>4</v>
      </c>
      <c r="D120" s="63">
        <f>B120</f>
        <v>378.20512820512818</v>
      </c>
      <c r="E120" s="54"/>
      <c r="F120" s="54"/>
      <c r="G120" s="54"/>
      <c r="H120" s="54"/>
      <c r="I120" s="56">
        <f t="shared" si="4"/>
        <v>6.0897435897435859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Aulne glutineux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10</v>
      </c>
      <c r="B140" s="63">
        <f>10+1</f>
        <v>11</v>
      </c>
      <c r="C140" s="63"/>
      <c r="D140" s="63"/>
      <c r="E140" s="54"/>
      <c r="F140" s="54"/>
      <c r="G140" s="54"/>
      <c r="H140" s="54"/>
      <c r="I140" s="60">
        <f>IFERROR(B140/A140,"")</f>
        <v>1.1000000000000001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15</v>
      </c>
      <c r="B141" s="63">
        <f>40+1+4</f>
        <v>45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6.8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20</v>
      </c>
      <c r="B142" s="63">
        <f>90+1+4+10</f>
        <v>105</v>
      </c>
      <c r="C142" s="63"/>
      <c r="D142" s="63"/>
      <c r="E142" s="54"/>
      <c r="F142" s="54"/>
      <c r="G142" s="54"/>
      <c r="H142" s="54"/>
      <c r="I142" s="60">
        <f t="shared" si="5"/>
        <v>12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25</v>
      </c>
      <c r="B143" s="63">
        <f>117+1+4+10+21</f>
        <v>153</v>
      </c>
      <c r="C143" s="63">
        <v>1</v>
      </c>
      <c r="D143" s="63">
        <f>1+4+10+21</f>
        <v>36</v>
      </c>
      <c r="E143" s="54"/>
      <c r="F143" s="54"/>
      <c r="G143" s="54"/>
      <c r="H143" s="54">
        <v>1</v>
      </c>
      <c r="I143" s="60">
        <f t="shared" si="5"/>
        <v>9.6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30</v>
      </c>
      <c r="B144" s="63">
        <f>138+23</f>
        <v>161</v>
      </c>
      <c r="C144" s="63"/>
      <c r="D144" s="63"/>
      <c r="E144" s="54"/>
      <c r="F144" s="54"/>
      <c r="G144" s="54"/>
      <c r="H144" s="54"/>
      <c r="I144" s="60">
        <f t="shared" si="5"/>
        <v>8.8000000000000007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35</v>
      </c>
      <c r="B145" s="63">
        <f>156+23+25</f>
        <v>204</v>
      </c>
      <c r="C145" s="63">
        <v>2</v>
      </c>
      <c r="D145" s="63">
        <f>23+25</f>
        <v>48</v>
      </c>
      <c r="E145" s="54"/>
      <c r="F145" s="54"/>
      <c r="G145" s="54"/>
      <c r="H145" s="54"/>
      <c r="I145" s="60">
        <f t="shared" si="5"/>
        <v>8.6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40</v>
      </c>
      <c r="B146" s="63">
        <f>170+25</f>
        <v>195</v>
      </c>
      <c r="C146" s="63"/>
      <c r="D146" s="63"/>
      <c r="E146" s="54"/>
      <c r="F146" s="54"/>
      <c r="G146" s="54"/>
      <c r="H146" s="54"/>
      <c r="I146" s="60">
        <f t="shared" si="5"/>
        <v>7.8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45</v>
      </c>
      <c r="B147" s="53">
        <v>232</v>
      </c>
      <c r="C147" s="53">
        <v>3</v>
      </c>
      <c r="D147" s="53">
        <v>50</v>
      </c>
      <c r="E147" s="54"/>
      <c r="F147" s="54"/>
      <c r="G147" s="54"/>
      <c r="H147" s="54"/>
      <c r="I147" s="60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50</v>
      </c>
      <c r="B148" s="53">
        <v>215</v>
      </c>
      <c r="C148" s="53"/>
      <c r="D148" s="53"/>
      <c r="E148" s="54"/>
      <c r="F148" s="54"/>
      <c r="G148" s="54"/>
      <c r="H148" s="54"/>
      <c r="I148" s="60">
        <f t="shared" si="5"/>
        <v>6.6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55</v>
      </c>
      <c r="B149" s="53">
        <v>247</v>
      </c>
      <c r="C149" s="53">
        <v>4</v>
      </c>
      <c r="D149" s="53">
        <v>47</v>
      </c>
      <c r="E149" s="54"/>
      <c r="F149" s="54"/>
      <c r="G149" s="54"/>
      <c r="H149" s="54"/>
      <c r="I149" s="60">
        <f t="shared" si="5"/>
        <v>6.4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60</v>
      </c>
      <c r="B150" s="53">
        <v>229</v>
      </c>
      <c r="C150" s="53"/>
      <c r="D150" s="53"/>
      <c r="E150" s="54"/>
      <c r="F150" s="54"/>
      <c r="G150" s="54"/>
      <c r="H150" s="54"/>
      <c r="I150" s="60">
        <f t="shared" si="5"/>
        <v>5.8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65</v>
      </c>
      <c r="B151" s="53">
        <v>255</v>
      </c>
      <c r="C151" s="53">
        <v>5</v>
      </c>
      <c r="D151" s="53">
        <v>42</v>
      </c>
      <c r="E151" s="54"/>
      <c r="F151" s="54"/>
      <c r="G151" s="54"/>
      <c r="H151" s="54"/>
      <c r="I151" s="60">
        <f t="shared" si="5"/>
        <v>5.2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70</v>
      </c>
      <c r="B152" s="53">
        <v>237</v>
      </c>
      <c r="C152" s="53"/>
      <c r="D152" s="53"/>
      <c r="E152" s="54"/>
      <c r="F152" s="54"/>
      <c r="G152" s="54"/>
      <c r="H152" s="54"/>
      <c r="I152" s="60">
        <f t="shared" si="5"/>
        <v>4.8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75</v>
      </c>
      <c r="B153" s="53">
        <v>260</v>
      </c>
      <c r="C153" s="53">
        <v>6</v>
      </c>
      <c r="D153" s="53">
        <v>37</v>
      </c>
      <c r="E153" s="54"/>
      <c r="F153" s="54"/>
      <c r="G153" s="54"/>
      <c r="H153" s="54"/>
      <c r="I153" s="60">
        <f t="shared" si="5"/>
        <v>4.5999999999999996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80</v>
      </c>
      <c r="B154" s="53">
        <v>244</v>
      </c>
      <c r="C154" s="53"/>
      <c r="D154" s="53"/>
      <c r="E154" s="54"/>
      <c r="F154" s="54"/>
      <c r="G154" s="54"/>
      <c r="H154" s="54"/>
      <c r="I154" s="60">
        <f t="shared" si="5"/>
        <v>4.2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85</v>
      </c>
      <c r="B155" s="53">
        <v>263</v>
      </c>
      <c r="C155" s="53"/>
      <c r="D155" s="53"/>
      <c r="E155" s="54"/>
      <c r="F155" s="54"/>
      <c r="G155" s="54"/>
      <c r="H155" s="54"/>
      <c r="I155" s="60">
        <f t="shared" si="5"/>
        <v>3.8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90</v>
      </c>
      <c r="B156" s="53">
        <v>281</v>
      </c>
      <c r="C156" s="53">
        <v>7</v>
      </c>
      <c r="D156" s="53">
        <v>281</v>
      </c>
      <c r="E156" s="54"/>
      <c r="F156" s="54"/>
      <c r="G156" s="54"/>
      <c r="H156" s="54"/>
      <c r="I156" s="60">
        <f t="shared" si="5"/>
        <v>3.6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26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pédonculé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Koster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Noyer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Tulipier de Virginie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Aulne glutineux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223.49015613166239</v>
      </c>
      <c r="T3" s="62">
        <f>IF('Données projet'!E9&gt;30,$R$33-$H$33,LOOKUP('Données projet'!$E$9,$A$3:$A$203,R3:R203)-LOOKUP('Données projet'!$E$9,$A$3:$A$203,$H$3:$H$203))</f>
        <v>136.15898308259307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97.899731390293653</v>
      </c>
      <c r="AO3" s="62">
        <f>IF('Données projet'!E10&gt;30,$AM$33-$H$33,LOOKUP('Données projet'!$E$10,$A$3:$A$203,AM3:AM203)-LOOKUP('Données projet'!$E$10,$A$3:$A$203,$H$3:$H$203))</f>
        <v>310.21833995692549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209.0958230411249</v>
      </c>
      <c r="BJ3" s="62">
        <f>IF('Données projet'!E11&gt;30,$BH$33-$H$33,LOOKUP('Données projet'!$E$11,$A$3:$A$203,BH3:BH203)-LOOKUP('Données projet'!$E$11,$A$3:$A$203,$H$3:$H$203))</f>
        <v>250.34919671671565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152.52712777621315</v>
      </c>
      <c r="CE3" s="62">
        <f>IF('Données projet'!E12&gt;30,$CC$33-$H$33,LOOKUP('Données projet'!$E$12,$A$3:$A$203,CC3:CC203)-LOOKUP('Données projet'!$E$12,$A$3:$A$203,$H$3:$H$203))</f>
        <v>145.25423263217925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158.23848664370132</v>
      </c>
      <c r="CZ3" s="62">
        <f>IF('Données projet'!E13&gt;30,$CX$33-$H$33,LOOKUP('Données projet'!$E$13,$A$3:$A$203,CX3:CX203)-LOOKUP('Données projet'!$E$13,$A$3:$A$203,$H$3:$H$203))</f>
        <v>172.92355799729972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2">
        <f>IFERROR(EXP(-1.0587+0.8836*LN(C4)+0.284),0)</f>
        <v>0.40897418972440713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70">
        <f t="shared" ref="H4:H67" si="1">(B4+E4+F4)*44/12+(C4+D4)*0.475*44/12</f>
        <v>295.56715004710333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1.0155020926567102</v>
      </c>
      <c r="P4" s="14">
        <f>EXP(-1.0587+0.8836*LN(O4)+0.284)</f>
        <v>0.46714880239274614</v>
      </c>
      <c r="Q4" s="22">
        <f t="shared" ref="Q4:Q34" si="2">(O4+P4)*0.475*44/12</f>
        <v>2.5822836422111366</v>
      </c>
      <c r="R4" s="62">
        <f t="shared" si="0"/>
        <v>295.91561697554442</v>
      </c>
      <c r="S4" s="62">
        <f ca="1">AVERAGE(OFFSET($R$3,0,0,'Données projet'!$E$9+1,1))-AVERAGE(OFFSET($H$3,0,0,'Données projet'!$E$9+1,1))</f>
        <v>223.49015613166239</v>
      </c>
      <c r="T4" s="62">
        <f>$T$3</f>
        <v>136.15898308259307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0.66666666666666663</v>
      </c>
      <c r="AI4" s="14">
        <f>IF('Données projet'!$A$62&gt;35,AI3+AH4-AQ3,IF(A4&lt;'Données projet'!$A$62,$AF$205^A4,IF(A4='Données projet'!$A$62,'Données projet'!$B$62,AI3+AH4-AQ3)))</f>
        <v>1.2599210498948732</v>
      </c>
      <c r="AJ4" s="14">
        <f>AI4*VLOOKUP('Données projet'!$B$10,Paramètres!$A$1:$I$89,3,0)*VLOOKUP('Données projet'!$B$10,Paramètres!$A$1:$I$89,5,0)</f>
        <v>0.64074544913453679</v>
      </c>
      <c r="AK4" s="14">
        <f>EXP(-1.0587+0.8836*LN(AJ4)+0.284)</f>
        <v>0.31098496964533912</v>
      </c>
      <c r="AL4" s="22">
        <f t="shared" ref="AL4:AL67" si="4">(AJ4+AK4)*0.475*44/12</f>
        <v>1.657597146041617</v>
      </c>
      <c r="AM4" s="62">
        <f t="shared" ref="AM4:AM67" si="5">AL4+(AD4+AE4)*44/12</f>
        <v>294.99093047937492</v>
      </c>
      <c r="AN4" s="62">
        <f ca="1">AVERAGE(OFFSET($AM$3,0,0,'Données projet'!$E$10+1,1))-AVERAGE(OFFSET($H$3,0,0,'Données projet'!$E$10+1,1))</f>
        <v>97.899731390293653</v>
      </c>
      <c r="AO4" s="62">
        <f>$AO$3</f>
        <v>310.21833995692549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1.0327282300536906</v>
      </c>
      <c r="BF4" s="14">
        <f>EXP(-1.0587+0.8836*LN(BE4)+0.284)</f>
        <v>0.47414386723193569</v>
      </c>
      <c r="BG4" s="22">
        <f t="shared" ref="BG4:BG67" si="7">(BE4+BF4)*0.475*44/12</f>
        <v>2.6244689027724655</v>
      </c>
      <c r="BH4" s="62">
        <f t="shared" ref="BH4:BH67" si="8">BG4+(AY4+AZ4)*44/12</f>
        <v>295.95780223610581</v>
      </c>
      <c r="BI4" s="62">
        <f ca="1">AVERAGE(OFFSET($BH$3,0,0,'Données projet'!$E$11+1,1))-AVERAGE(OFFSET($H$3,0,0,'Données projet'!$E$11+1,1))</f>
        <v>209.0958230411249</v>
      </c>
      <c r="BJ4" s="62">
        <f>$BJ$3</f>
        <v>250.34919671671565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4.7115384615384617</v>
      </c>
      <c r="BY4" s="13">
        <f>IF('Données projet'!$A$114&gt;35,BY3+BX4-CG3,IF(A4&lt;'Données projet'!$A$114,$BV$205^A4,IF(A4='Données projet'!$A$114,'Données projet'!$B$114,BY3+BX4-CG3)))</f>
        <v>1.2551904803974363</v>
      </c>
      <c r="BZ4" s="14">
        <f>BY4*VLOOKUP('Données projet'!$B$12,Paramètres!$A$1:$I$89,3,0)*VLOOKUP('Données projet'!$B$12,Paramètres!$A$1:$I$89,5,0)</f>
        <v>0.80281983126220025</v>
      </c>
      <c r="CA4" s="14">
        <f>EXP(-1.0587+0.8836*LN(BZ4)+0.284)</f>
        <v>0.37955315942051321</v>
      </c>
      <c r="CB4" s="22">
        <f t="shared" ref="CB4:CB67" si="10">(BZ4+CA4)*0.475*44/12</f>
        <v>2.059299625439059</v>
      </c>
      <c r="CC4" s="62">
        <f t="shared" ref="CC4:CC67" si="11">CB4+(BT4+BU4)*44/12</f>
        <v>295.39263295877237</v>
      </c>
      <c r="CD4" s="62">
        <f ca="1">AVERAGE(OFFSET($CC$3,0,0,'Données projet'!$E$12+1,1))-AVERAGE(OFFSET($H$3,0,0,'Données projet'!$E$12+1,1))</f>
        <v>152.52712777621315</v>
      </c>
      <c r="CE4" s="62">
        <f>$CE$3</f>
        <v>145.25423263217925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1.1000000000000001</v>
      </c>
      <c r="CT4" s="13">
        <f>IF('Données projet'!$A$140&gt;35,CT3+CS4-DB3,IF(A4&lt;'Données projet'!$A$140,$CQ$205^A4,IF(A4='Données projet'!$A$140,'Données projet'!$B$140,CT3+CS4-DB3)))</f>
        <v>1.2709816152101407</v>
      </c>
      <c r="CU4" s="18">
        <f>CT4*VLOOKUP('Données projet'!$B$13,Paramètres!$A$1:$I$89,3,0)*VLOOKUP('Données projet'!$B$13,Paramètres!$A$1:$I$89,5,0)</f>
        <v>0.83274715428568413</v>
      </c>
      <c r="CV4" s="14">
        <f>EXP(-1.0587+0.8836*LN(CU4)+0.284)</f>
        <v>0.39202836439738087</v>
      </c>
      <c r="CW4" s="22">
        <f t="shared" ref="CW4:CW67" si="13">(CU4+CV4)*0.475*44/12</f>
        <v>2.1331506950396717</v>
      </c>
      <c r="CX4" s="62">
        <f t="shared" ref="CX4:CX67" si="14">CW4+(CO4+CP4)*44/12</f>
        <v>295.46648402837297</v>
      </c>
      <c r="CY4" s="62">
        <f ca="1">AVERAGE(OFFSET($CX$3,0,0,'Données projet'!$E$13+1,1))-AVERAGE(OFFSET($H$3,0,0,'Données projet'!$E$13+1,1))</f>
        <v>158.23848664370132</v>
      </c>
      <c r="CZ4" s="62">
        <f>$CZ$3</f>
        <v>172.92355799729972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2">
        <f t="shared" ref="D5:D68" si="32">IFERROR(EXP(-1.0587+0.8836*LN(C5)+0.284),0)</f>
        <v>0.75454649280048791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70">
        <f t="shared" si="1"/>
        <v>297.69054180829414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1.2241743829417828</v>
      </c>
      <c r="P5" s="14">
        <f t="shared" ref="P5:P68" si="33">EXP(-1.0587+0.8836*LN(O5)+0.284)</f>
        <v>0.55102384568700224</v>
      </c>
      <c r="Q5" s="22">
        <f t="shared" si="2"/>
        <v>3.0918035815284672</v>
      </c>
      <c r="R5" s="62">
        <f t="shared" si="0"/>
        <v>296.42513691486181</v>
      </c>
      <c r="S5" s="62">
        <f ca="1">AVERAGE(OFFSET($R$3,0,0,'Données projet'!$E$9+1,1))-AVERAGE(OFFSET($H$3,0,0,'Données projet'!$E$9+1,1))</f>
        <v>223.49015613166239</v>
      </c>
      <c r="T5" s="62">
        <f t="shared" ref="T5:T68" si="34">$T$3</f>
        <v>136.15898308259307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0.66666666666666663</v>
      </c>
      <c r="AI5" s="14">
        <f>IF('Données projet'!$A$62&gt;35,AI4+AH5-AQ4,IF(A5&lt;'Données projet'!$A$62,$AF$205^A5,IF(A5='Données projet'!$A$62,'Données projet'!$B$62,AI4+AH5-AQ4)))</f>
        <v>1.5874010519681996</v>
      </c>
      <c r="AJ5" s="14">
        <f>AI5*VLOOKUP('Données projet'!$B$10,Paramètres!$A$1:$I$89,3,0)*VLOOKUP('Données projet'!$B$10,Paramètres!$A$1:$I$89,5,0)</f>
        <v>0.80728867898894763</v>
      </c>
      <c r="AK5" s="14">
        <f t="shared" ref="AK5:AK68" si="35">EXP(-1.0587+0.8836*LN(AJ5)+0.284)</f>
        <v>0.38141939022480248</v>
      </c>
      <c r="AL5" s="22">
        <f t="shared" si="4"/>
        <v>2.0703332205472811</v>
      </c>
      <c r="AM5" s="62">
        <f t="shared" si="5"/>
        <v>295.40366655388061</v>
      </c>
      <c r="AN5" s="62">
        <f ca="1">AVERAGE(OFFSET($AM$3,0,0,'Données projet'!$E$10+1,1))-AVERAGE(OFFSET($H$3,0,0,'Données projet'!$E$10+1,1))</f>
        <v>97.899731390293653</v>
      </c>
      <c r="AO5" s="62">
        <f t="shared" ref="AO5:AO68" si="36">$AO$3</f>
        <v>310.21833995692549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1.314752955066357</v>
      </c>
      <c r="BF5" s="14">
        <f t="shared" ref="BF5:BF68" si="37">EXP(-1.0587+0.8836*LN(BE5)+0.284)</f>
        <v>0.58689817733052874</v>
      </c>
      <c r="BG5" s="22">
        <f t="shared" si="7"/>
        <v>3.312042388924576</v>
      </c>
      <c r="BH5" s="62">
        <f t="shared" si="8"/>
        <v>296.64537572225788</v>
      </c>
      <c r="BI5" s="62">
        <f ca="1">AVERAGE(OFFSET($BH$3,0,0,'Données projet'!$E$11+1,1))-AVERAGE(OFFSET($H$3,0,0,'Données projet'!$E$11+1,1))</f>
        <v>209.0958230411249</v>
      </c>
      <c r="BJ5" s="62">
        <f t="shared" ref="BJ5:BJ68" si="38">$BJ$3</f>
        <v>250.34919671671565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4.7115384615384617</v>
      </c>
      <c r="BY5" s="13">
        <f>IF('Données projet'!$A$114&gt;35,BY4+BX5-CG4,IF(A5&lt;'Données projet'!$A$114,$BV$205^A5,IF(A5='Données projet'!$A$114,'Données projet'!$B$114,BY4+BX5-CG4)))</f>
        <v>1.5755031420803469</v>
      </c>
      <c r="BZ5" s="14">
        <f>BY5*VLOOKUP('Données projet'!$B$12,Paramètres!$A$1:$I$89,3,0)*VLOOKUP('Données projet'!$B$12,Paramètres!$A$1:$I$89,5,0)</f>
        <v>1.0076918096745897</v>
      </c>
      <c r="CA5" s="14">
        <f t="shared" ref="CA5:CA68" si="39">EXP(-1.0587+0.8836*LN(BZ5)+0.284)</f>
        <v>0.46397271965493531</v>
      </c>
      <c r="CB5" s="22">
        <f t="shared" si="10"/>
        <v>2.5631490552489224</v>
      </c>
      <c r="CC5" s="62">
        <f t="shared" si="11"/>
        <v>295.89648238858223</v>
      </c>
      <c r="CD5" s="62">
        <f ca="1">AVERAGE(OFFSET($CC$3,0,0,'Données projet'!$E$12+1,1))-AVERAGE(OFFSET($H$3,0,0,'Données projet'!$E$12+1,1))</f>
        <v>152.52712777621315</v>
      </c>
      <c r="CE5" s="62">
        <f t="shared" ref="CE5:CE68" si="40">$CE$3</f>
        <v>145.25423263217925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1.1000000000000001</v>
      </c>
      <c r="CT5" s="13">
        <f>IF('Données projet'!$A$140&gt;35,CT4+CS5-DB4,IF(A5&lt;'Données projet'!$A$140,$CQ$205^A5,IF(A5='Données projet'!$A$140,'Données projet'!$B$140,CT4+CS5-DB4)))</f>
        <v>1.6153942662021783</v>
      </c>
      <c r="CU5" s="18">
        <f>CT5*VLOOKUP('Données projet'!$B$13,Paramètres!$A$1:$I$89,3,0)*VLOOKUP('Données projet'!$B$13,Paramètres!$A$1:$I$89,5,0)</f>
        <v>1.0584063232156671</v>
      </c>
      <c r="CV5" s="14">
        <f t="shared" ref="CV5:CV68" si="41">EXP(-1.0587+0.8836*LN(CU5)+0.284)</f>
        <v>0.48454592807852009</v>
      </c>
      <c r="CW5" s="22">
        <f t="shared" si="13"/>
        <v>2.6873085043373757</v>
      </c>
      <c r="CX5" s="62">
        <f t="shared" si="14"/>
        <v>296.02064183767067</v>
      </c>
      <c r="CY5" s="62">
        <f ca="1">AVERAGE(OFFSET($CX$3,0,0,'Données projet'!$E$13+1,1))-AVERAGE(OFFSET($H$3,0,0,'Données projet'!$E$13+1,1))</f>
        <v>158.23848664370132</v>
      </c>
      <c r="CZ5" s="62">
        <f t="shared" ref="CZ5:CZ68" si="42">$CZ$3</f>
        <v>172.92355799729972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2">
        <f t="shared" si="32"/>
        <v>1.0796431690647796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70">
        <f t="shared" si="1"/>
        <v>299.77827185278778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1.4757260774621526</v>
      </c>
      <c r="P6" s="14">
        <f t="shared" si="33"/>
        <v>0.64995837934402878</v>
      </c>
      <c r="Q6" s="22">
        <f t="shared" si="2"/>
        <v>3.7022337622707653</v>
      </c>
      <c r="R6" s="62">
        <f t="shared" si="0"/>
        <v>297.03556709560405</v>
      </c>
      <c r="S6" s="62">
        <f ca="1">AVERAGE(OFFSET($R$3,0,0,'Données projet'!$E$9+1,1))-AVERAGE(OFFSET($H$3,0,0,'Données projet'!$E$9+1,1))</f>
        <v>223.49015613166239</v>
      </c>
      <c r="T6" s="62">
        <f t="shared" si="34"/>
        <v>136.15898308259307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0.66666666666666663</v>
      </c>
      <c r="AI6" s="14">
        <f>IF('Données projet'!$A$62&gt;35,AI5+AH6-AQ5,IF(A6&lt;'Données projet'!$A$62,$AF$205^A6,IF(A6='Données projet'!$A$62,'Données projet'!$B$62,AI5+AH6-AQ5)))</f>
        <v>2</v>
      </c>
      <c r="AJ6" s="14">
        <f>AI6*VLOOKUP('Données projet'!$B$10,Paramètres!$A$1:$I$89,3,0)*VLOOKUP('Données projet'!$B$10,Paramètres!$A$1:$I$89,5,0)</f>
        <v>1.01712</v>
      </c>
      <c r="AK6" s="14">
        <f t="shared" si="35"/>
        <v>0.46780637471120479</v>
      </c>
      <c r="AL6" s="22">
        <f t="shared" si="4"/>
        <v>2.5862467692886821</v>
      </c>
      <c r="AM6" s="62">
        <f t="shared" si="5"/>
        <v>295.91958010262198</v>
      </c>
      <c r="AN6" s="62">
        <f ca="1">AVERAGE(OFFSET($AM$3,0,0,'Données projet'!$E$10+1,1))-AVERAGE(OFFSET($H$3,0,0,'Données projet'!$E$10+1,1))</f>
        <v>97.899731390293653</v>
      </c>
      <c r="AO6" s="62">
        <f t="shared" si="36"/>
        <v>310.21833995692549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1.6737949855073202</v>
      </c>
      <c r="BF6" s="14">
        <f t="shared" si="37"/>
        <v>0.726466151644651</v>
      </c>
      <c r="BG6" s="22">
        <f t="shared" si="7"/>
        <v>4.1804548138730162</v>
      </c>
      <c r="BH6" s="62">
        <f t="shared" si="8"/>
        <v>297.51378814720636</v>
      </c>
      <c r="BI6" s="62">
        <f ca="1">AVERAGE(OFFSET($BH$3,0,0,'Données projet'!$E$11+1,1))-AVERAGE(OFFSET($H$3,0,0,'Données projet'!$E$11+1,1))</f>
        <v>209.0958230411249</v>
      </c>
      <c r="BJ6" s="62">
        <f t="shared" si="38"/>
        <v>250.34919671671565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4.7115384615384617</v>
      </c>
      <c r="BY6" s="13">
        <f>IF('Données projet'!$A$114&gt;35,BY5+BX6-CG5,IF(A6&lt;'Données projet'!$A$114,$BV$205^A6,IF(A6='Données projet'!$A$114,'Données projet'!$B$114,BY5+BX6-CG5)))</f>
        <v>1.9775565457755009</v>
      </c>
      <c r="BZ6" s="14">
        <f>BY6*VLOOKUP('Données projet'!$B$12,Paramètres!$A$1:$I$89,3,0)*VLOOKUP('Données projet'!$B$12,Paramètres!$A$1:$I$89,5,0)</f>
        <v>1.2648451666780103</v>
      </c>
      <c r="CA6" s="14">
        <f t="shared" si="39"/>
        <v>0.56716873312993621</v>
      </c>
      <c r="CB6" s="22">
        <f t="shared" si="10"/>
        <v>3.1907575421655068</v>
      </c>
      <c r="CC6" s="62">
        <f t="shared" si="11"/>
        <v>296.52409087549881</v>
      </c>
      <c r="CD6" s="62">
        <f ca="1">AVERAGE(OFFSET($CC$3,0,0,'Données projet'!$E$12+1,1))-AVERAGE(OFFSET($H$3,0,0,'Données projet'!$E$12+1,1))</f>
        <v>152.52712777621315</v>
      </c>
      <c r="CE6" s="62">
        <f t="shared" si="40"/>
        <v>145.25423263217925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1.1000000000000001</v>
      </c>
      <c r="CT6" s="13">
        <f>IF('Données projet'!$A$140&gt;35,CT5+CS6-DB5,IF(A6&lt;'Données projet'!$A$140,$CQ$205^A6,IF(A6='Données projet'!$A$140,'Données projet'!$B$140,CT5+CS6-DB5)))</f>
        <v>2.0531364136588448</v>
      </c>
      <c r="CU6" s="18">
        <f>CT6*VLOOKUP('Données projet'!$B$13,Paramètres!$A$1:$I$89,3,0)*VLOOKUP('Données projet'!$B$13,Paramètres!$A$1:$I$89,5,0)</f>
        <v>1.3452149782292753</v>
      </c>
      <c r="CV6" s="14">
        <f t="shared" si="41"/>
        <v>0.59889737003693966</v>
      </c>
      <c r="CW6" s="22">
        <f t="shared" si="13"/>
        <v>3.3859956732303242</v>
      </c>
      <c r="CX6" s="62">
        <f t="shared" si="14"/>
        <v>296.71932900656361</v>
      </c>
      <c r="CY6" s="62">
        <f ca="1">AVERAGE(OFFSET($CX$3,0,0,'Données projet'!$E$13+1,1))-AVERAGE(OFFSET($H$3,0,0,'Données projet'!$E$13+1,1))</f>
        <v>158.23848664370132</v>
      </c>
      <c r="CZ6" s="62">
        <f t="shared" si="42"/>
        <v>172.92355799729972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2">
        <f t="shared" si="32"/>
        <v>1.392118192547003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70">
        <f t="shared" si="1"/>
        <v>301.84401918535269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1.7789683284079942</v>
      </c>
      <c r="P7" s="14">
        <f t="shared" si="33"/>
        <v>0.76665628572357314</v>
      </c>
      <c r="Q7" s="22">
        <f t="shared" si="2"/>
        <v>4.4336295362791462</v>
      </c>
      <c r="R7" s="62">
        <f t="shared" si="0"/>
        <v>297.76696286961248</v>
      </c>
      <c r="S7" s="62">
        <f ca="1">AVERAGE(OFFSET($R$3,0,0,'Données projet'!$E$9+1,1))-AVERAGE(OFFSET($H$3,0,0,'Données projet'!$E$9+1,1))</f>
        <v>223.49015613166239</v>
      </c>
      <c r="T7" s="62">
        <f t="shared" si="34"/>
        <v>136.15898308259307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0.66666666666666663</v>
      </c>
      <c r="AI7" s="14">
        <f>IF('Données projet'!$A$62&gt;35,AI6+AH7-AQ6,IF(A7&lt;'Données projet'!$A$62,$AF$205^A7,IF(A7='Données projet'!$A$62,'Données projet'!$B$62,AI6+AH7-AQ6)))</f>
        <v>2.5198420997897468</v>
      </c>
      <c r="AJ7" s="14">
        <f>AI7*VLOOKUP('Données projet'!$B$10,Paramètres!$A$1:$I$89,3,0)*VLOOKUP('Données projet'!$B$10,Paramètres!$A$1:$I$89,5,0)</f>
        <v>1.2814908982690736</v>
      </c>
      <c r="AK7" s="14">
        <f t="shared" si="35"/>
        <v>0.57375899031105293</v>
      </c>
      <c r="AL7" s="22">
        <f t="shared" si="4"/>
        <v>3.2312268892770533</v>
      </c>
      <c r="AM7" s="62">
        <f t="shared" si="5"/>
        <v>296.56456022261034</v>
      </c>
      <c r="AN7" s="62">
        <f ca="1">AVERAGE(OFFSET($AM$3,0,0,'Données projet'!$E$10+1,1))-AVERAGE(OFFSET($H$3,0,0,'Données projet'!$E$10+1,1))</f>
        <v>97.899731390293653</v>
      </c>
      <c r="AO7" s="62">
        <f t="shared" si="36"/>
        <v>310.21833995692549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2.1308867515479757</v>
      </c>
      <c r="BF7" s="14">
        <f t="shared" si="37"/>
        <v>0.89922424343834662</v>
      </c>
      <c r="BG7" s="22">
        <f t="shared" si="7"/>
        <v>5.2774433162678447</v>
      </c>
      <c r="BH7" s="62">
        <f t="shared" si="8"/>
        <v>298.61077664960118</v>
      </c>
      <c r="BI7" s="62">
        <f ca="1">AVERAGE(OFFSET($BH$3,0,0,'Données projet'!$E$11+1,1))-AVERAGE(OFFSET($H$3,0,0,'Données projet'!$E$11+1,1))</f>
        <v>209.0958230411249</v>
      </c>
      <c r="BJ7" s="62">
        <f t="shared" si="38"/>
        <v>250.34919671671565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4.7115384615384617</v>
      </c>
      <c r="BY7" s="13">
        <f>IF('Données projet'!$A$114&gt;35,BY6+BX7-CG6,IF(A7&lt;'Données projet'!$A$114,$BV$205^A7,IF(A7='Données projet'!$A$114,'Données projet'!$B$114,BY6+BX7-CG6)))</f>
        <v>2.482210150705046</v>
      </c>
      <c r="BZ7" s="14">
        <f>BY7*VLOOKUP('Données projet'!$B$12,Paramètres!$A$1:$I$89,3,0)*VLOOKUP('Données projet'!$B$12,Paramètres!$A$1:$I$89,5,0)</f>
        <v>1.5876216123909475</v>
      </c>
      <c r="CA7" s="14">
        <f t="shared" si="39"/>
        <v>0.69331742624750925</v>
      </c>
      <c r="CB7" s="22">
        <f t="shared" si="10"/>
        <v>3.972635492295312</v>
      </c>
      <c r="CC7" s="62">
        <f t="shared" si="11"/>
        <v>297.30596882562861</v>
      </c>
      <c r="CD7" s="62">
        <f ca="1">AVERAGE(OFFSET($CC$3,0,0,'Données projet'!$E$12+1,1))-AVERAGE(OFFSET($H$3,0,0,'Données projet'!$E$12+1,1))</f>
        <v>152.52712777621315</v>
      </c>
      <c r="CE7" s="62">
        <f t="shared" si="40"/>
        <v>145.25423263217925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1.1000000000000001</v>
      </c>
      <c r="CT7" s="13">
        <f>IF('Données projet'!$A$140&gt;35,CT6+CS7-DB6,IF(A7&lt;'Données projet'!$A$140,$CQ$205^A7,IF(A7='Données projet'!$A$140,'Données projet'!$B$140,CT6+CS7-DB6)))</f>
        <v>2.6094986352788743</v>
      </c>
      <c r="CU7" s="18">
        <f>CT7*VLOOKUP('Données projet'!$B$13,Paramètres!$A$1:$I$89,3,0)*VLOOKUP('Données projet'!$B$13,Paramètres!$A$1:$I$89,5,0)</f>
        <v>1.7097435058347183</v>
      </c>
      <c r="CV7" s="14">
        <f t="shared" si="41"/>
        <v>0.74023542259349984</v>
      </c>
      <c r="CW7" s="22">
        <f t="shared" si="13"/>
        <v>4.2670466336791462</v>
      </c>
      <c r="CX7" s="62">
        <f t="shared" si="14"/>
        <v>297.60037996701249</v>
      </c>
      <c r="CY7" s="62">
        <f ca="1">AVERAGE(OFFSET($CX$3,0,0,'Données projet'!$E$13+1,1))-AVERAGE(OFFSET($H$3,0,0,'Données projet'!$E$13+1,1))</f>
        <v>158.23848664370132</v>
      </c>
      <c r="CZ7" s="62">
        <f t="shared" si="42"/>
        <v>172.92355799729972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2">
        <f t="shared" si="32"/>
        <v>1.6955312417477204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70">
        <f t="shared" si="1"/>
        <v>303.89398357937728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2.1445228635663907</v>
      </c>
      <c r="P8" s="14">
        <f t="shared" si="33"/>
        <v>0.90430692044106609</v>
      </c>
      <c r="Q8" s="22">
        <f t="shared" si="2"/>
        <v>5.3100452071463202</v>
      </c>
      <c r="R8" s="62">
        <f t="shared" si="0"/>
        <v>298.64337854047966</v>
      </c>
      <c r="S8" s="62">
        <f ca="1">AVERAGE(OFFSET($R$3,0,0,'Données projet'!$E$9+1,1))-AVERAGE(OFFSET($H$3,0,0,'Données projet'!$E$9+1,1))</f>
        <v>223.49015613166239</v>
      </c>
      <c r="T8" s="62">
        <f t="shared" si="34"/>
        <v>136.15898308259307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0.66666666666666663</v>
      </c>
      <c r="AI8" s="14">
        <f>IF('Données projet'!$A$62&gt;35,AI7+AH8-AQ7,IF(A8&lt;'Données projet'!$A$62,$AF$205^A8,IF(A8='Données projet'!$A$62,'Données projet'!$B$62,AI7+AH8-AQ7)))</f>
        <v>3.1748021039363996</v>
      </c>
      <c r="AJ8" s="14">
        <f>AI8*VLOOKUP('Données projet'!$B$10,Paramètres!$A$1:$I$89,3,0)*VLOOKUP('Données projet'!$B$10,Paramètres!$A$1:$I$89,5,0)</f>
        <v>1.6145773579778955</v>
      </c>
      <c r="AK8" s="14">
        <f t="shared" si="35"/>
        <v>0.70370862125593436</v>
      </c>
      <c r="AL8" s="22">
        <f t="shared" si="4"/>
        <v>4.0376814138322539</v>
      </c>
      <c r="AM8" s="62">
        <f t="shared" si="5"/>
        <v>297.37101474716559</v>
      </c>
      <c r="AN8" s="62">
        <f ca="1">AVERAGE(OFFSET($AM$3,0,0,'Données projet'!$E$10+1,1))-AVERAGE(OFFSET($H$3,0,0,'Données projet'!$E$10+1,1))</f>
        <v>97.899731390293653</v>
      </c>
      <c r="AO8" s="62">
        <f t="shared" si="36"/>
        <v>310.21833995692549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2.7128043680608971</v>
      </c>
      <c r="BF8" s="14">
        <f t="shared" si="37"/>
        <v>1.1130652655415023</v>
      </c>
      <c r="BG8" s="22">
        <f t="shared" si="7"/>
        <v>6.6633896118575118</v>
      </c>
      <c r="BH8" s="62">
        <f t="shared" si="8"/>
        <v>299.99672294519081</v>
      </c>
      <c r="BI8" s="62">
        <f ca="1">AVERAGE(OFFSET($BH$3,0,0,'Données projet'!$E$11+1,1))-AVERAGE(OFFSET($H$3,0,0,'Données projet'!$E$11+1,1))</f>
        <v>209.0958230411249</v>
      </c>
      <c r="BJ8" s="62">
        <f t="shared" si="38"/>
        <v>250.34919671671565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4.7115384615384617</v>
      </c>
      <c r="BY8" s="13">
        <f>IF('Données projet'!$A$114&gt;35,BY7+BX8-CG7,IF(A8&lt;'Données projet'!$A$114,$BV$205^A8,IF(A8='Données projet'!$A$114,'Données projet'!$B$114,BY7+BX8-CG7)))</f>
        <v>3.1156465515108596</v>
      </c>
      <c r="BZ8" s="14">
        <f>BY8*VLOOKUP('Données projet'!$B$12,Paramètres!$A$1:$I$89,3,0)*VLOOKUP('Données projet'!$B$12,Paramètres!$A$1:$I$89,5,0)</f>
        <v>1.9927675343463458</v>
      </c>
      <c r="CA8" s="14">
        <f t="shared" si="39"/>
        <v>0.84752389449569021</v>
      </c>
      <c r="CB8" s="22">
        <f t="shared" si="10"/>
        <v>4.9468409052332136</v>
      </c>
      <c r="CC8" s="62">
        <f t="shared" si="11"/>
        <v>298.28017423856653</v>
      </c>
      <c r="CD8" s="62">
        <f ca="1">AVERAGE(OFFSET($CC$3,0,0,'Données projet'!$E$12+1,1))-AVERAGE(OFFSET($H$3,0,0,'Données projet'!$E$12+1,1))</f>
        <v>152.52712777621315</v>
      </c>
      <c r="CE8" s="62">
        <f t="shared" si="40"/>
        <v>145.25423263217925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1.1000000000000001</v>
      </c>
      <c r="CT8" s="13">
        <f>IF('Données projet'!$A$140&gt;35,CT7+CS8-DB7,IF(A8&lt;'Données projet'!$A$140,$CQ$205^A8,IF(A8='Données projet'!$A$140,'Données projet'!$B$140,CT7+CS8-DB7)))</f>
        <v>3.3166247903554016</v>
      </c>
      <c r="CU8" s="18">
        <f>CT8*VLOOKUP('Données projet'!$B$13,Paramètres!$A$1:$I$89,3,0)*VLOOKUP('Données projet'!$B$13,Paramètres!$A$1:$I$89,5,0)</f>
        <v>2.173052562640859</v>
      </c>
      <c r="CV8" s="14">
        <f t="shared" si="41"/>
        <v>0.91492884804015795</v>
      </c>
      <c r="CW8" s="22">
        <f t="shared" si="13"/>
        <v>5.3782342902694369</v>
      </c>
      <c r="CX8" s="62">
        <f t="shared" si="14"/>
        <v>298.71156762360278</v>
      </c>
      <c r="CY8" s="62">
        <f ca="1">AVERAGE(OFFSET($CX$3,0,0,'Données projet'!$E$13+1,1))-AVERAGE(OFFSET($H$3,0,0,'Données projet'!$E$13+1,1))</f>
        <v>158.23848664370132</v>
      </c>
      <c r="CZ8" s="62">
        <f t="shared" si="42"/>
        <v>172.92355799729972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2">
        <f t="shared" si="32"/>
        <v>1.9919129059043814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70">
        <f t="shared" si="1"/>
        <v>305.93170164445013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2.5851940357334171</v>
      </c>
      <c r="P9" s="14">
        <f t="shared" si="33"/>
        <v>1.0666722775067177</v>
      </c>
      <c r="Q9" s="22">
        <f t="shared" si="2"/>
        <v>6.3603338288932347</v>
      </c>
      <c r="R9" s="62">
        <f t="shared" si="0"/>
        <v>299.69366716222657</v>
      </c>
      <c r="S9" s="62">
        <f ca="1">AVERAGE(OFFSET($R$3,0,0,'Données projet'!$E$9+1,1))-AVERAGE(OFFSET($H$3,0,0,'Données projet'!$E$9+1,1))</f>
        <v>223.49015613166239</v>
      </c>
      <c r="T9" s="62">
        <f t="shared" si="34"/>
        <v>136.15898308259307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>
        <f>VLOOKUP(A9,'Données projet'!$A$61:$I$81,2,0)</f>
        <v>4</v>
      </c>
      <c r="AG9" s="13">
        <f>VLOOKUP(A9,'Données projet'!$A$61:$I$81,9,0)</f>
        <v>0.66666666666666663</v>
      </c>
      <c r="AH9" s="13">
        <f t="array" ref="AH9">INDEX(AG:AG,MIN(IF(ISNUMBER(AG9:AG205),ROW(AG9:AG205),"")))</f>
        <v>0.66666666666666663</v>
      </c>
      <c r="AI9" s="14">
        <f>IF('Données projet'!$A$62&gt;35,AI8+AH9-AQ8,IF(A9&lt;'Données projet'!$A$62,$AF$205^A9,IF(A9='Données projet'!$A$62,'Données projet'!$B$62,AI8+AH9-AQ8)))</f>
        <v>4</v>
      </c>
      <c r="AJ9" s="14">
        <f>AI9*VLOOKUP('Données projet'!$B$10,Paramètres!$A$1:$I$89,3,0)*VLOOKUP('Données projet'!$B$10,Paramètres!$A$1:$I$89,5,0)</f>
        <v>2.03424</v>
      </c>
      <c r="AK9" s="14">
        <f t="shared" si="35"/>
        <v>0.86309030793828811</v>
      </c>
      <c r="AL9" s="22">
        <f t="shared" si="4"/>
        <v>5.0461836196591854</v>
      </c>
      <c r="AM9" s="62">
        <f t="shared" si="5"/>
        <v>298.3795169529925</v>
      </c>
      <c r="AN9" s="62">
        <f ca="1">AVERAGE(OFFSET($AM$3,0,0,'Données projet'!$E$10+1,1))-AVERAGE(OFFSET($H$3,0,0,'Données projet'!$E$10+1,1))</f>
        <v>97.899731390293653</v>
      </c>
      <c r="AO9" s="62">
        <f t="shared" si="36"/>
        <v>310.21833995692549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3.4536361606378834</v>
      </c>
      <c r="BF9" s="14">
        <f t="shared" si="37"/>
        <v>1.377758989924206</v>
      </c>
      <c r="BG9" s="22">
        <f t="shared" si="7"/>
        <v>8.4146798872289725</v>
      </c>
      <c r="BH9" s="62">
        <f t="shared" si="8"/>
        <v>301.74801322056231</v>
      </c>
      <c r="BI9" s="62">
        <f ca="1">AVERAGE(OFFSET($BH$3,0,0,'Données projet'!$E$11+1,1))-AVERAGE(OFFSET($H$3,0,0,'Données projet'!$E$11+1,1))</f>
        <v>209.0958230411249</v>
      </c>
      <c r="BJ9" s="62">
        <f t="shared" si="38"/>
        <v>250.34919671671565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4.7115384615384617</v>
      </c>
      <c r="BY9" s="13">
        <f>IF('Données projet'!$A$114&gt;35,BY8+BX9-CG8,IF(A9&lt;'Données projet'!$A$114,$BV$205^A9,IF(A9='Données projet'!$A$114,'Données projet'!$B$114,BY8+BX9-CG8)))</f>
        <v>3.9107298917395314</v>
      </c>
      <c r="BZ9" s="14">
        <f>BY9*VLOOKUP('Données projet'!$B$12,Paramètres!$A$1:$I$89,3,0)*VLOOKUP('Données projet'!$B$12,Paramètres!$A$1:$I$89,5,0)</f>
        <v>2.5013028387566041</v>
      </c>
      <c r="CA9" s="14">
        <f t="shared" si="39"/>
        <v>1.0360286999114241</v>
      </c>
      <c r="CB9" s="22">
        <f t="shared" si="10"/>
        <v>6.1608524298468161</v>
      </c>
      <c r="CC9" s="62">
        <f t="shared" si="11"/>
        <v>299.49418576318016</v>
      </c>
      <c r="CD9" s="62">
        <f ca="1">AVERAGE(OFFSET($CC$3,0,0,'Données projet'!$E$12+1,1))-AVERAGE(OFFSET($H$3,0,0,'Données projet'!$E$12+1,1))</f>
        <v>152.52712777621315</v>
      </c>
      <c r="CE9" s="62">
        <f t="shared" si="40"/>
        <v>145.25423263217925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1.1000000000000001</v>
      </c>
      <c r="CT9" s="13">
        <f>IF('Données projet'!$A$140&gt;35,CT8+CS9-DB8,IF(A9&lt;'Données projet'!$A$140,$CQ$205^A9,IF(A9='Données projet'!$A$140,'Données projet'!$B$140,CT8+CS9-DB8)))</f>
        <v>4.2153691330919028</v>
      </c>
      <c r="CU9" s="18">
        <f>CT9*VLOOKUP('Données projet'!$B$13,Paramètres!$A$1:$I$89,3,0)*VLOOKUP('Données projet'!$B$13,Paramètres!$A$1:$I$89,5,0)</f>
        <v>2.7619098560018145</v>
      </c>
      <c r="CV9" s="14">
        <f t="shared" si="41"/>
        <v>1.1308494182070246</v>
      </c>
      <c r="CW9" s="22">
        <f t="shared" si="13"/>
        <v>6.7798890692470613</v>
      </c>
      <c r="CX9" s="62">
        <f t="shared" si="14"/>
        <v>300.11322240258039</v>
      </c>
      <c r="CY9" s="62">
        <f ca="1">AVERAGE(OFFSET($CX$3,0,0,'Données projet'!$E$13+1,1))-AVERAGE(OFFSET($H$3,0,0,'Données projet'!$E$13+1,1))</f>
        <v>158.23848664370132</v>
      </c>
      <c r="CZ9" s="62">
        <f t="shared" si="42"/>
        <v>172.92355799729972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2">
        <f t="shared" si="32"/>
        <v>2.2825722273844922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70">
        <f t="shared" si="1"/>
        <v>307.95945329602796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3.1164173233748005</v>
      </c>
      <c r="P10" s="14">
        <f t="shared" si="33"/>
        <v>1.2581898046809412</v>
      </c>
      <c r="Q10" s="22">
        <f t="shared" si="2"/>
        <v>7.6191074146970825</v>
      </c>
      <c r="R10" s="62">
        <f t="shared" si="0"/>
        <v>300.95244074803037</v>
      </c>
      <c r="S10" s="62">
        <f ca="1">AVERAGE(OFFSET($R$3,0,0,'Données projet'!$E$9+1,1))-AVERAGE(OFFSET($H$3,0,0,'Données projet'!$E$9+1,1))</f>
        <v>223.49015613166239</v>
      </c>
      <c r="T10" s="62">
        <f t="shared" si="34"/>
        <v>136.15898308259307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>
        <f>VLOOKUP(A10,'Données projet'!$A$61:$I$81,2,0)</f>
        <v>22</v>
      </c>
      <c r="AG10" s="13">
        <f>VLOOKUP(A10,'Données projet'!$A$61:$I$81,9,0)</f>
        <v>18</v>
      </c>
      <c r="AH10" s="13">
        <f t="array" ref="AH10">INDEX(AG:AG,MIN(IF(ISNUMBER(AG10:AG206),ROW(AG10:AG206),"")))</f>
        <v>18</v>
      </c>
      <c r="AI10" s="14">
        <f>IF('Données projet'!$A$62&gt;35,AI9+AH10-AQ9,IF(A10&lt;'Données projet'!$A$62,$AF$205^A10,IF(A10='Données projet'!$A$62,'Données projet'!$B$62,AI9+AH10-AQ9)))</f>
        <v>22</v>
      </c>
      <c r="AJ10" s="14">
        <f>AI10*VLOOKUP('Données projet'!$B$10,Paramètres!$A$1:$I$89,3,0)*VLOOKUP('Données projet'!$B$10,Paramètres!$A$1:$I$89,5,0)</f>
        <v>11.188320000000001</v>
      </c>
      <c r="AK10" s="14">
        <f t="shared" si="35"/>
        <v>3.8926083702461112</v>
      </c>
      <c r="AL10" s="22">
        <f t="shared" si="4"/>
        <v>26.265950244845314</v>
      </c>
      <c r="AM10" s="62">
        <f t="shared" si="5"/>
        <v>319.59928357817864</v>
      </c>
      <c r="AN10" s="62">
        <f ca="1">AVERAGE(OFFSET($AM$3,0,0,'Données projet'!$E$10+1,1))-AVERAGE(OFFSET($H$3,0,0,'Données projet'!$E$10+1,1))</f>
        <v>97.899731390293653</v>
      </c>
      <c r="AO10" s="62">
        <f t="shared" si="36"/>
        <v>310.21833995692549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4.3967795357803068</v>
      </c>
      <c r="BF10" s="14">
        <f t="shared" si="37"/>
        <v>1.7053985000542544</v>
      </c>
      <c r="BG10" s="22">
        <f t="shared" si="7"/>
        <v>10.627960079078528</v>
      </c>
      <c r="BH10" s="62">
        <f t="shared" si="8"/>
        <v>303.96129341241186</v>
      </c>
      <c r="BI10" s="62">
        <f ca="1">AVERAGE(OFFSET($BH$3,0,0,'Données projet'!$E$11+1,1))-AVERAGE(OFFSET($H$3,0,0,'Données projet'!$E$11+1,1))</f>
        <v>209.0958230411249</v>
      </c>
      <c r="BJ10" s="62">
        <f t="shared" si="38"/>
        <v>250.34919671671565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4.7115384615384617</v>
      </c>
      <c r="BY10" s="13">
        <f>IF('Données projet'!$A$114&gt;35,BY9+BX10-CG9,IF(A10&lt;'Données projet'!$A$114,$BV$205^A10,IF(A10='Données projet'!$A$114,'Données projet'!$B$114,BY9+BX10-CG9)))</f>
        <v>4.908710931517156</v>
      </c>
      <c r="BZ10" s="14">
        <f>BY10*VLOOKUP('Données projet'!$B$12,Paramètres!$A$1:$I$89,3,0)*VLOOKUP('Données projet'!$B$12,Paramètres!$A$1:$I$89,5,0)</f>
        <v>3.1396115117983725</v>
      </c>
      <c r="CA10" s="14">
        <f t="shared" si="39"/>
        <v>1.2664604195954194</v>
      </c>
      <c r="CB10" s="22">
        <f t="shared" si="10"/>
        <v>7.673908613844187</v>
      </c>
      <c r="CC10" s="62">
        <f t="shared" si="11"/>
        <v>301.00724194717748</v>
      </c>
      <c r="CD10" s="62">
        <f ca="1">AVERAGE(OFFSET($CC$3,0,0,'Données projet'!$E$12+1,1))-AVERAGE(OFFSET($H$3,0,0,'Données projet'!$E$12+1,1))</f>
        <v>152.52712777621315</v>
      </c>
      <c r="CE10" s="62">
        <f t="shared" si="40"/>
        <v>145.25423263217925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1.1000000000000001</v>
      </c>
      <c r="CT10" s="13">
        <f>IF('Données projet'!$A$140&gt;35,CT9+CS10-DB9,IF(A10&lt;'Données projet'!$A$140,$CQ$205^A10,IF(A10='Données projet'!$A$140,'Données projet'!$B$140,CT9+CS10-DB9)))</f>
        <v>5.3576566694841175</v>
      </c>
      <c r="CU10" s="18">
        <f>CT10*VLOOKUP('Données projet'!$B$13,Paramètres!$A$1:$I$89,3,0)*VLOOKUP('Données projet'!$B$13,Paramètres!$A$1:$I$89,5,0)</f>
        <v>3.510336649845994</v>
      </c>
      <c r="CV10" s="14">
        <f t="shared" si="41"/>
        <v>1.397726620379814</v>
      </c>
      <c r="CW10" s="22">
        <f t="shared" si="13"/>
        <v>8.5482101956432839</v>
      </c>
      <c r="CX10" s="62">
        <f t="shared" si="14"/>
        <v>301.88154352897658</v>
      </c>
      <c r="CY10" s="62">
        <f ca="1">AVERAGE(OFFSET($CX$3,0,0,'Données projet'!$E$13+1,1))-AVERAGE(OFFSET($H$3,0,0,'Données projet'!$E$13+1,1))</f>
        <v>158.23848664370132</v>
      </c>
      <c r="CZ10" s="62">
        <f t="shared" si="42"/>
        <v>172.92355799729972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2">
        <f t="shared" si="32"/>
        <v>2.5684210058779833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70">
        <f t="shared" si="1"/>
        <v>309.97882658523747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3.7567999922587045</v>
      </c>
      <c r="P11" s="14">
        <f t="shared" si="33"/>
        <v>1.4840936789913857</v>
      </c>
      <c r="Q11" s="22">
        <f t="shared" si="2"/>
        <v>9.127889810760573</v>
      </c>
      <c r="R11" s="62">
        <f t="shared" si="0"/>
        <v>302.46122314409388</v>
      </c>
      <c r="S11" s="62">
        <f ca="1">AVERAGE(OFFSET($R$3,0,0,'Données projet'!$E$9+1,1))-AVERAGE(OFFSET($H$3,0,0,'Données projet'!$E$9+1,1))</f>
        <v>223.49015613166239</v>
      </c>
      <c r="T11" s="62">
        <f t="shared" si="34"/>
        <v>136.15898308259307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>
        <f>VLOOKUP(A11,'Données projet'!$A$61:$I$81,2,0)</f>
        <v>47</v>
      </c>
      <c r="AG11" s="13">
        <f>VLOOKUP(A11,'Données projet'!$A$61:$I$81,9,0)</f>
        <v>25</v>
      </c>
      <c r="AH11" s="13">
        <f t="array" ref="AH11">INDEX(AG:AG,MIN(IF(ISNUMBER(AG11:AG207),ROW(AG11:AG207),"")))</f>
        <v>25</v>
      </c>
      <c r="AI11" s="14">
        <f>IF('Données projet'!$A$62&gt;35,AI10+AH11-AQ10,IF(A11&lt;'Données projet'!$A$62,$AF$205^A11,IF(A11='Données projet'!$A$62,'Données projet'!$B$62,AI10+AH11-AQ10)))</f>
        <v>47</v>
      </c>
      <c r="AJ11" s="14">
        <f>AI11*VLOOKUP('Données projet'!$B$10,Paramètres!$A$1:$I$89,3,0)*VLOOKUP('Données projet'!$B$10,Paramètres!$A$1:$I$89,5,0)</f>
        <v>23.902320000000003</v>
      </c>
      <c r="AK11" s="14">
        <f t="shared" si="35"/>
        <v>7.6127522913266548</v>
      </c>
      <c r="AL11" s="22">
        <f t="shared" si="4"/>
        <v>54.888750907393927</v>
      </c>
      <c r="AM11" s="62">
        <f t="shared" si="5"/>
        <v>348.22208424072721</v>
      </c>
      <c r="AN11" s="62">
        <f ca="1">AVERAGE(OFFSET($AM$3,0,0,'Données projet'!$E$10+1,1))-AVERAGE(OFFSET($H$3,0,0,'Données projet'!$E$10+1,1))</f>
        <v>97.899731390293653</v>
      </c>
      <c r="AO11" s="62">
        <f t="shared" si="36"/>
        <v>310.21833995692549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5.5974831705161296</v>
      </c>
      <c r="BF11" s="14">
        <f t="shared" si="37"/>
        <v>2.110952688573855</v>
      </c>
      <c r="BG11" s="22">
        <f t="shared" si="7"/>
        <v>13.425525787915056</v>
      </c>
      <c r="BH11" s="62">
        <f t="shared" si="8"/>
        <v>306.75885912124835</v>
      </c>
      <c r="BI11" s="62">
        <f ca="1">AVERAGE(OFFSET($BH$3,0,0,'Données projet'!$E$11+1,1))-AVERAGE(OFFSET($H$3,0,0,'Données projet'!$E$11+1,1))</f>
        <v>209.0958230411249</v>
      </c>
      <c r="BJ11" s="62">
        <f t="shared" si="38"/>
        <v>250.34919671671565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4.7115384615384617</v>
      </c>
      <c r="BY11" s="13">
        <f>IF('Données projet'!$A$114&gt;35,BY10+BX11-CG10,IF(A11&lt;'Données projet'!$A$114,$BV$205^A11,IF(A11='Données projet'!$A$114,'Données projet'!$B$114,BY10+BX11-CG10)))</f>
        <v>6.1613672322631672</v>
      </c>
      <c r="BZ11" s="14">
        <f>BY11*VLOOKUP('Données projet'!$B$12,Paramètres!$A$1:$I$89,3,0)*VLOOKUP('Données projet'!$B$12,Paramètres!$A$1:$I$89,5,0)</f>
        <v>3.9408104817555212</v>
      </c>
      <c r="CA11" s="14">
        <f t="shared" si="39"/>
        <v>1.5481443656328577</v>
      </c>
      <c r="CB11" s="22">
        <f t="shared" si="10"/>
        <v>9.5599296925347588</v>
      </c>
      <c r="CC11" s="62">
        <f t="shared" si="11"/>
        <v>302.89326302586807</v>
      </c>
      <c r="CD11" s="62">
        <f ca="1">AVERAGE(OFFSET($CC$3,0,0,'Données projet'!$E$12+1,1))-AVERAGE(OFFSET($H$3,0,0,'Données projet'!$E$12+1,1))</f>
        <v>152.52712777621315</v>
      </c>
      <c r="CE11" s="62">
        <f t="shared" si="40"/>
        <v>145.25423263217925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1.1000000000000001</v>
      </c>
      <c r="CT11" s="13">
        <f>IF('Données projet'!$A$140&gt;35,CT10+CS11-DB10,IF(A11&lt;'Données projet'!$A$140,$CQ$205^A11,IF(A11='Données projet'!$A$140,'Données projet'!$B$140,CT10+CS11-DB10)))</f>
        <v>6.8094831275223076</v>
      </c>
      <c r="CU11" s="18">
        <f>CT11*VLOOKUP('Données projet'!$B$13,Paramètres!$A$1:$I$89,3,0)*VLOOKUP('Données projet'!$B$13,Paramètres!$A$1:$I$89,5,0)</f>
        <v>4.4615733451526163</v>
      </c>
      <c r="CV11" s="14">
        <f t="shared" si="41"/>
        <v>1.7275860727911023</v>
      </c>
      <c r="CW11" s="22">
        <f t="shared" si="13"/>
        <v>10.779452652918643</v>
      </c>
      <c r="CX11" s="62">
        <f t="shared" si="14"/>
        <v>304.11278598625194</v>
      </c>
      <c r="CY11" s="62">
        <f ca="1">AVERAGE(OFFSET($CX$3,0,0,'Données projet'!$E$13+1,1))-AVERAGE(OFFSET($H$3,0,0,'Données projet'!$E$13+1,1))</f>
        <v>158.23848664370132</v>
      </c>
      <c r="CZ11" s="62">
        <f t="shared" si="42"/>
        <v>172.92355799729972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2">
        <f t="shared" si="32"/>
        <v>2.8501294257559762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70">
        <f t="shared" si="1"/>
        <v>311.99098874985827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4.5287728559252471</v>
      </c>
      <c r="P12" s="14">
        <f t="shared" si="33"/>
        <v>1.7505578568733651</v>
      </c>
      <c r="Q12" s="22">
        <f t="shared" si="2"/>
        <v>10.93650099145758</v>
      </c>
      <c r="R12" s="62">
        <f t="shared" si="0"/>
        <v>304.26983432479091</v>
      </c>
      <c r="S12" s="62">
        <f ca="1">AVERAGE(OFFSET($R$3,0,0,'Données projet'!$E$9+1,1))-AVERAGE(OFFSET($H$3,0,0,'Données projet'!$E$9+1,1))</f>
        <v>223.49015613166239</v>
      </c>
      <c r="T12" s="62">
        <f t="shared" si="34"/>
        <v>136.15898308259307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>
        <f>VLOOKUP(A12,'Données projet'!$A$61:$I$81,2,0)</f>
        <v>75</v>
      </c>
      <c r="AG12" s="13">
        <f>VLOOKUP(A12,'Données projet'!$A$61:$I$81,9,0)</f>
        <v>28</v>
      </c>
      <c r="AH12" s="13">
        <f t="array" ref="AH12">INDEX(AG:AG,MIN(IF(ISNUMBER(AG12:AG208),ROW(AG12:AG208),"")))</f>
        <v>28</v>
      </c>
      <c r="AI12" s="14">
        <f>IF('Données projet'!$A$62&gt;35,AI11+AH12-AQ11,IF(A12&lt;'Données projet'!$A$62,$AF$205^A12,IF(A12='Données projet'!$A$62,'Données projet'!$B$62,AI11+AH12-AQ11)))</f>
        <v>75</v>
      </c>
      <c r="AJ12" s="14">
        <f>AI12*VLOOKUP('Données projet'!$B$10,Paramètres!$A$1:$I$89,3,0)*VLOOKUP('Données projet'!$B$10,Paramètres!$A$1:$I$89,5,0)</f>
        <v>38.142000000000003</v>
      </c>
      <c r="AK12" s="14">
        <f t="shared" si="35"/>
        <v>11.504828887027534</v>
      </c>
      <c r="AL12" s="22">
        <f t="shared" si="4"/>
        <v>86.468226978239628</v>
      </c>
      <c r="AM12" s="62">
        <f t="shared" si="5"/>
        <v>379.80156031157293</v>
      </c>
      <c r="AN12" s="62">
        <f ca="1">AVERAGE(OFFSET($AM$3,0,0,'Données projet'!$E$10+1,1))-AVERAGE(OFFSET($H$3,0,0,'Données projet'!$E$10+1,1))</f>
        <v>97.899731390293653</v>
      </c>
      <c r="AO12" s="62">
        <f t="shared" si="36"/>
        <v>310.21833995692549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7.126083441127272</v>
      </c>
      <c r="BF12" s="14">
        <f t="shared" si="37"/>
        <v>2.6129501423012993</v>
      </c>
      <c r="BG12" s="22">
        <f t="shared" si="7"/>
        <v>16.962150157804761</v>
      </c>
      <c r="BH12" s="62">
        <f t="shared" si="8"/>
        <v>310.2954834911381</v>
      </c>
      <c r="BI12" s="62">
        <f ca="1">AVERAGE(OFFSET($BH$3,0,0,'Données projet'!$E$11+1,1))-AVERAGE(OFFSET($H$3,0,0,'Données projet'!$E$11+1,1))</f>
        <v>209.0958230411249</v>
      </c>
      <c r="BJ12" s="62">
        <f t="shared" si="38"/>
        <v>250.34919671671565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4.7115384615384617</v>
      </c>
      <c r="BY12" s="13">
        <f>IF('Données projet'!$A$114&gt;35,BY11+BX12-CG11,IF(A12&lt;'Données projet'!$A$114,$BV$205^A12,IF(A12='Données projet'!$A$114,'Données projet'!$B$114,BY11+BX12-CG11)))</f>
        <v>7.7336894961694274</v>
      </c>
      <c r="BZ12" s="14">
        <f>BY12*VLOOKUP('Données projet'!$B$12,Paramètres!$A$1:$I$89,3,0)*VLOOKUP('Données projet'!$B$12,Paramètres!$A$1:$I$89,5,0)</f>
        <v>4.9464678017499661</v>
      </c>
      <c r="CA12" s="14">
        <f t="shared" si="39"/>
        <v>1.8924799699673398</v>
      </c>
      <c r="CB12" s="22">
        <f t="shared" si="10"/>
        <v>11.911167369074306</v>
      </c>
      <c r="CC12" s="62">
        <f t="shared" si="11"/>
        <v>305.24450070240761</v>
      </c>
      <c r="CD12" s="62">
        <f ca="1">AVERAGE(OFFSET($CC$3,0,0,'Données projet'!$E$12+1,1))-AVERAGE(OFFSET($H$3,0,0,'Données projet'!$E$12+1,1))</f>
        <v>152.52712777621315</v>
      </c>
      <c r="CE12" s="62">
        <f t="shared" si="40"/>
        <v>145.25423263217925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1.1000000000000001</v>
      </c>
      <c r="CT12" s="13">
        <f>IF('Données projet'!$A$140&gt;35,CT11+CS12-DB11,IF(A12&lt;'Données projet'!$A$140,$CQ$205^A12,IF(A12='Données projet'!$A$140,'Données projet'!$B$140,CT11+CS12-DB11)))</f>
        <v>8.6547278641645029</v>
      </c>
      <c r="CU12" s="18">
        <f>CT12*VLOOKUP('Données projet'!$B$13,Paramètres!$A$1:$I$89,3,0)*VLOOKUP('Données projet'!$B$13,Paramètres!$A$1:$I$89,5,0)</f>
        <v>5.6705776966005823</v>
      </c>
      <c r="CV12" s="14">
        <f t="shared" si="41"/>
        <v>2.1352914049034637</v>
      </c>
      <c r="CW12" s="22">
        <f t="shared" si="13"/>
        <v>13.59522201845288</v>
      </c>
      <c r="CX12" s="62">
        <f t="shared" si="14"/>
        <v>306.9285553517862</v>
      </c>
      <c r="CY12" s="62">
        <f ca="1">AVERAGE(OFFSET($CX$3,0,0,'Données projet'!$E$13+1,1))-AVERAGE(OFFSET($H$3,0,0,'Données projet'!$E$13+1,1))</f>
        <v>158.23848664370132</v>
      </c>
      <c r="CZ12" s="62">
        <f t="shared" si="42"/>
        <v>172.92355799729972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2">
        <f t="shared" si="32"/>
        <v>3.1282100045396772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70">
        <f t="shared" si="1"/>
        <v>313.99683242457326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5.4593759643387862</v>
      </c>
      <c r="P13" s="14">
        <f t="shared" si="33"/>
        <v>2.0648648084962673</v>
      </c>
      <c r="Q13" s="22">
        <f t="shared" si="2"/>
        <v>13.104719346021051</v>
      </c>
      <c r="R13" s="62">
        <f t="shared" si="0"/>
        <v>306.43805267935437</v>
      </c>
      <c r="S13" s="62">
        <f ca="1">AVERAGE(OFFSET($R$3,0,0,'Données projet'!$E$9+1,1))-AVERAGE(OFFSET($H$3,0,0,'Données projet'!$E$9+1,1))</f>
        <v>223.49015613166239</v>
      </c>
      <c r="T13" s="62">
        <f t="shared" si="34"/>
        <v>136.15898308259307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104</v>
      </c>
      <c r="AG13" s="13">
        <f>VLOOKUP(A13,'Données projet'!$A$61:$I$81,9,0)</f>
        <v>29</v>
      </c>
      <c r="AH13" s="13">
        <f t="array" ref="AH13">INDEX(AG:AG,MIN(IF(ISNUMBER(AG13:AG209),ROW(AG13:AG209),"")))</f>
        <v>29</v>
      </c>
      <c r="AI13" s="14">
        <f>IF('Données projet'!$A$62&gt;35,AI12+AH13-AQ12,IF(A13&lt;'Données projet'!$A$62,$AF$205^A13,IF(A13='Données projet'!$A$62,'Données projet'!$B$62,AI12+AH13-AQ12)))</f>
        <v>104</v>
      </c>
      <c r="AJ13" s="14">
        <f>AI13*VLOOKUP('Données projet'!$B$10,Paramètres!$A$1:$I$89,3,0)*VLOOKUP('Données projet'!$B$10,Paramètres!$A$1:$I$89,5,0)</f>
        <v>52.890240000000006</v>
      </c>
      <c r="AK13" s="14">
        <f t="shared" si="35"/>
        <v>15.357718043631577</v>
      </c>
      <c r="AL13" s="22">
        <f t="shared" si="4"/>
        <v>118.86519359265833</v>
      </c>
      <c r="AM13" s="62">
        <f t="shared" si="5"/>
        <v>412.19852692599164</v>
      </c>
      <c r="AN13" s="62">
        <f ca="1">AVERAGE(OFFSET($AM$3,0,0,'Données projet'!$E$10+1,1))-AVERAGE(OFFSET($H$3,0,0,'Données projet'!$E$10+1,1))</f>
        <v>97.899731390293653</v>
      </c>
      <c r="AO13" s="62">
        <f t="shared" si="36"/>
        <v>310.21833995692549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9.0721246787108996</v>
      </c>
      <c r="BF13" s="14">
        <f t="shared" si="37"/>
        <v>3.234325659266668</v>
      </c>
      <c r="BG13" s="22">
        <f t="shared" si="7"/>
        <v>21.43373433864426</v>
      </c>
      <c r="BH13" s="62">
        <f t="shared" si="8"/>
        <v>314.7670676719776</v>
      </c>
      <c r="BI13" s="62">
        <f ca="1">AVERAGE(OFFSET($BH$3,0,0,'Données projet'!$E$11+1,1))-AVERAGE(OFFSET($H$3,0,0,'Données projet'!$E$11+1,1))</f>
        <v>209.0958230411249</v>
      </c>
      <c r="BJ13" s="62">
        <f t="shared" si="38"/>
        <v>250.34919671671565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4.7115384615384617</v>
      </c>
      <c r="BY13" s="13">
        <f>IF('Données projet'!$A$114&gt;35,BY12+BX13-CG12,IF(A13&lt;'Données projet'!$A$114,$BV$205^A13,IF(A13='Données projet'!$A$114,'Données projet'!$B$114,BY12+BX13-CG12)))</f>
        <v>9.70725343394151</v>
      </c>
      <c r="BZ13" s="14">
        <f>BY13*VLOOKUP('Données projet'!$B$12,Paramètres!$A$1:$I$89,3,0)*VLOOKUP('Données projet'!$B$12,Paramètres!$A$1:$I$89,5,0)</f>
        <v>6.2087592963489895</v>
      </c>
      <c r="CA13" s="14">
        <f t="shared" si="39"/>
        <v>2.3134021065687422</v>
      </c>
      <c r="CB13" s="22">
        <f t="shared" si="10"/>
        <v>14.842764443415049</v>
      </c>
      <c r="CC13" s="62">
        <f t="shared" si="11"/>
        <v>308.17609777674835</v>
      </c>
      <c r="CD13" s="62">
        <f ca="1">AVERAGE(OFFSET($CC$3,0,0,'Données projet'!$E$12+1,1))-AVERAGE(OFFSET($H$3,0,0,'Données projet'!$E$12+1,1))</f>
        <v>152.52712777621315</v>
      </c>
      <c r="CE13" s="62">
        <f t="shared" si="40"/>
        <v>145.25423263217925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>
        <f>VLOOKUP(A13,'Données projet'!$A$139:$I$159,2,0)</f>
        <v>11</v>
      </c>
      <c r="CR13" s="13">
        <f>VLOOKUP(A13,'Données projet'!$A$139:$I$159,9,0)</f>
        <v>1.1000000000000001</v>
      </c>
      <c r="CS13" s="13">
        <f t="array" ref="CS13">INDEX(CR:CR,MIN(IF(ISNUMBER(CR13:CR209),ROW(CR13:CR209),"")))</f>
        <v>1.1000000000000001</v>
      </c>
      <c r="CT13" s="13">
        <f>IF('Données projet'!$A$140&gt;35,CT12+CS13-DB12,IF(A13&lt;'Données projet'!$A$140,$CQ$205^A13,IF(A13='Données projet'!$A$140,'Données projet'!$B$140,CT12+CS13-DB12)))</f>
        <v>11</v>
      </c>
      <c r="CU13" s="18">
        <f>CT13*VLOOKUP('Données projet'!$B$13,Paramètres!$A$1:$I$89,3,0)*VLOOKUP('Données projet'!$B$13,Paramètres!$A$1:$I$89,5,0)</f>
        <v>7.2072000000000003</v>
      </c>
      <c r="CV13" s="14">
        <f t="shared" si="41"/>
        <v>2.6392140198770462</v>
      </c>
      <c r="CW13" s="22">
        <f t="shared" si="13"/>
        <v>17.149171084619187</v>
      </c>
      <c r="CX13" s="62">
        <f t="shared" si="14"/>
        <v>310.4825044179525</v>
      </c>
      <c r="CY13" s="62">
        <f ca="1">AVERAGE(OFFSET($CX$3,0,0,'Données projet'!$E$13+1,1))-AVERAGE(OFFSET($H$3,0,0,'Données projet'!$E$13+1,1))</f>
        <v>158.23848664370132</v>
      </c>
      <c r="CZ13" s="62">
        <f t="shared" si="42"/>
        <v>172.92355799729972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2">
        <f t="shared" si="32"/>
        <v>3.4030668246422189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70">
        <f t="shared" si="1"/>
        <v>315.99706138625186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6.5812057411986977</v>
      </c>
      <c r="P14" s="14">
        <f t="shared" si="33"/>
        <v>2.4356045477877388</v>
      </c>
      <c r="Q14" s="22">
        <f t="shared" si="2"/>
        <v>15.70427791998471</v>
      </c>
      <c r="R14" s="62">
        <f t="shared" si="0"/>
        <v>309.037611253318</v>
      </c>
      <c r="S14" s="62">
        <f ca="1">AVERAGE(OFFSET($R$3,0,0,'Données projet'!$E$9+1,1))-AVERAGE(OFFSET($H$3,0,0,'Données projet'!$E$9+1,1))</f>
        <v>223.49015613166239</v>
      </c>
      <c r="T14" s="62">
        <f t="shared" si="34"/>
        <v>136.15898308259307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>
        <f>VLOOKUP(A14,'Données projet'!$A$61:$I$81,2,0)</f>
        <v>137</v>
      </c>
      <c r="AG14" s="13">
        <f>VLOOKUP(A14,'Données projet'!$A$61:$I$81,9,0)</f>
        <v>33</v>
      </c>
      <c r="AH14" s="13">
        <f t="array" ref="AH14">INDEX(AG:AG,MIN(IF(ISNUMBER(AG14:AG210),ROW(AG14:AG210),"")))</f>
        <v>33</v>
      </c>
      <c r="AI14" s="14">
        <f>IF('Données projet'!$A$62&gt;35,AI13+AH14-AQ13,IF(A14&lt;'Données projet'!$A$62,$AF$205^A14,IF(A14='Données projet'!$A$62,'Données projet'!$B$62,AI13+AH14-AQ13)))</f>
        <v>137</v>
      </c>
      <c r="AJ14" s="14">
        <f>AI14*VLOOKUP('Données projet'!$B$10,Paramètres!$A$1:$I$89,3,0)*VLOOKUP('Données projet'!$B$10,Paramètres!$A$1:$I$89,5,0)</f>
        <v>69.672719999999998</v>
      </c>
      <c r="AK14" s="14">
        <f t="shared" si="35"/>
        <v>19.592160258228969</v>
      </c>
      <c r="AL14" s="22">
        <f t="shared" si="4"/>
        <v>155.46966644974881</v>
      </c>
      <c r="AM14" s="62">
        <f t="shared" si="5"/>
        <v>448.8029997830821</v>
      </c>
      <c r="AN14" s="62">
        <f ca="1">AVERAGE(OFFSET($AM$3,0,0,'Données projet'!$E$10+1,1))-AVERAGE(OFFSET($H$3,0,0,'Données projet'!$E$10+1,1))</f>
        <v>97.899731390293653</v>
      </c>
      <c r="AO14" s="62">
        <f t="shared" si="36"/>
        <v>310.21833995692549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11.549604613253839</v>
      </c>
      <c r="BF14" s="14">
        <f t="shared" si="37"/>
        <v>4.0034680726734386</v>
      </c>
      <c r="BG14" s="22">
        <f t="shared" si="7"/>
        <v>27.088268261323339</v>
      </c>
      <c r="BH14" s="62">
        <f t="shared" si="8"/>
        <v>320.42160159465664</v>
      </c>
      <c r="BI14" s="62">
        <f ca="1">AVERAGE(OFFSET($BH$3,0,0,'Données projet'!$E$11+1,1))-AVERAGE(OFFSET($H$3,0,0,'Données projet'!$E$11+1,1))</f>
        <v>209.0958230411249</v>
      </c>
      <c r="BJ14" s="62">
        <f t="shared" si="38"/>
        <v>250.34919671671565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4.7115384615384617</v>
      </c>
      <c r="BY14" s="13">
        <f>IF('Données projet'!$A$114&gt;35,BY13+BX14-CG13,IF(A14&lt;'Données projet'!$A$114,$BV$205^A14,IF(A14='Données projet'!$A$114,'Données projet'!$B$114,BY13+BX14-CG13)))</f>
        <v>12.184452101088707</v>
      </c>
      <c r="BZ14" s="14">
        <f>BY14*VLOOKUP('Données projet'!$B$12,Paramètres!$A$1:$I$89,3,0)*VLOOKUP('Données projet'!$B$12,Paramètres!$A$1:$I$89,5,0)</f>
        <v>7.7931755638563374</v>
      </c>
      <c r="CA14" s="14">
        <f t="shared" si="39"/>
        <v>2.8279450200833858</v>
      </c>
      <c r="CB14" s="22">
        <f t="shared" si="10"/>
        <v>18.498451683695013</v>
      </c>
      <c r="CC14" s="62">
        <f t="shared" si="11"/>
        <v>311.83178501702832</v>
      </c>
      <c r="CD14" s="62">
        <f ca="1">AVERAGE(OFFSET($CC$3,0,0,'Données projet'!$E$12+1,1))-AVERAGE(OFFSET($H$3,0,0,'Données projet'!$E$12+1,1))</f>
        <v>152.52712777621315</v>
      </c>
      <c r="CE14" s="62">
        <f t="shared" si="40"/>
        <v>145.25423263217925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6.8</v>
      </c>
      <c r="CT14" s="13">
        <f>IF('Données projet'!$A$140&gt;35,CT13+CS14-DB13,IF(A14&lt;'Données projet'!$A$140,$CQ$205^A14,IF(A14='Données projet'!$A$140,'Données projet'!$B$140,CT13+CS14-DB13)))</f>
        <v>17.8</v>
      </c>
      <c r="CU14" s="18">
        <f>CT14*VLOOKUP('Données projet'!$B$13,Paramètres!$A$1:$I$89,3,0)*VLOOKUP('Données projet'!$B$13,Paramètres!$A$1:$I$89,5,0)</f>
        <v>11.662560000000001</v>
      </c>
      <c r="CV14" s="14">
        <f t="shared" si="41"/>
        <v>4.0380449311592468</v>
      </c>
      <c r="CW14" s="22">
        <f t="shared" si="13"/>
        <v>27.345220255102358</v>
      </c>
      <c r="CX14" s="62">
        <f t="shared" si="14"/>
        <v>320.67855358843565</v>
      </c>
      <c r="CY14" s="62">
        <f ca="1">AVERAGE(OFFSET($CX$3,0,0,'Données projet'!$E$13+1,1))-AVERAGE(OFFSET($H$3,0,0,'Données projet'!$E$13+1,1))</f>
        <v>158.23848664370132</v>
      </c>
      <c r="CZ14" s="62">
        <f t="shared" si="42"/>
        <v>172.92355799729972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2">
        <f t="shared" si="32"/>
        <v>3.6750262849765409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70">
        <f t="shared" si="1"/>
        <v>317.99224411300077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7.9335567454791462</v>
      </c>
      <c r="P15" s="14">
        <f t="shared" si="33"/>
        <v>2.8729093976493338</v>
      </c>
      <c r="Q15" s="22">
        <f t="shared" si="2"/>
        <v>18.82126186594877</v>
      </c>
      <c r="R15" s="62">
        <f t="shared" si="0"/>
        <v>312.15459519928208</v>
      </c>
      <c r="S15" s="62">
        <f ca="1">AVERAGE(OFFSET($R$3,0,0,'Données projet'!$E$9+1,1))-AVERAGE(OFFSET($H$3,0,0,'Données projet'!$E$9+1,1))</f>
        <v>223.49015613166239</v>
      </c>
      <c r="T15" s="62">
        <f t="shared" si="34"/>
        <v>136.15898308259307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167</v>
      </c>
      <c r="AG15" s="13">
        <f>VLOOKUP(A15,'Données projet'!$A$61:$I$81,9,0)</f>
        <v>30</v>
      </c>
      <c r="AH15" s="13">
        <f t="array" ref="AH15">INDEX(AG:AG,MIN(IF(ISNUMBER(AG15:AG211),ROW(AG15:AG211),"")))</f>
        <v>30</v>
      </c>
      <c r="AI15" s="14">
        <f>IF('Données projet'!$A$62&gt;35,AI14+AH15-AQ14,IF(A15&lt;'Données projet'!$A$62,$AF$205^A15,IF(A15='Données projet'!$A$62,'Données projet'!$B$62,AI14+AH15-AQ14)))</f>
        <v>167</v>
      </c>
      <c r="AJ15" s="14">
        <f>AI15*VLOOKUP('Données projet'!$B$10,Paramètres!$A$1:$I$89,3,0)*VLOOKUP('Données projet'!$B$10,Paramètres!$A$1:$I$89,5,0)</f>
        <v>84.929519999999997</v>
      </c>
      <c r="AK15" s="14">
        <f t="shared" si="35"/>
        <v>23.338250945554787</v>
      </c>
      <c r="AL15" s="22">
        <f t="shared" si="4"/>
        <v>188.56636773017456</v>
      </c>
      <c r="AM15" s="62">
        <f t="shared" si="5"/>
        <v>481.89970106350791</v>
      </c>
      <c r="AN15" s="62">
        <f ca="1">AVERAGE(OFFSET($AM$3,0,0,'Données projet'!$E$10+1,1))-AVERAGE(OFFSET($H$3,0,0,'Données projet'!$E$10+1,1))</f>
        <v>97.899731390293653</v>
      </c>
      <c r="AO15" s="62">
        <f t="shared" si="36"/>
        <v>310.21833995692549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14.703652280652832</v>
      </c>
      <c r="BF15" s="14">
        <f t="shared" si="37"/>
        <v>4.9555172538035688</v>
      </c>
      <c r="BG15" s="22">
        <f t="shared" si="7"/>
        <v>34.239720272511569</v>
      </c>
      <c r="BH15" s="62">
        <f t="shared" si="8"/>
        <v>327.5730536058449</v>
      </c>
      <c r="BI15" s="62">
        <f ca="1">AVERAGE(OFFSET($BH$3,0,0,'Données projet'!$E$11+1,1))-AVERAGE(OFFSET($H$3,0,0,'Données projet'!$E$11+1,1))</f>
        <v>209.0958230411249</v>
      </c>
      <c r="BJ15" s="62">
        <f t="shared" si="38"/>
        <v>250.34919671671565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4.7115384615384617</v>
      </c>
      <c r="BY15" s="13">
        <f>IF('Données projet'!$A$114&gt;35,BY14+BX15-CG14,IF(A15&lt;'Données projet'!$A$114,$BV$205^A15,IF(A15='Données projet'!$A$114,'Données projet'!$B$114,BY14+BX15-CG14)))</f>
        <v>15.293808286145088</v>
      </c>
      <c r="BZ15" s="14">
        <f>BY15*VLOOKUP('Données projet'!$B$12,Paramètres!$A$1:$I$89,3,0)*VLOOKUP('Données projet'!$B$12,Paramètres!$A$1:$I$89,5,0)</f>
        <v>9.7819197798183986</v>
      </c>
      <c r="CA15" s="14">
        <f t="shared" si="39"/>
        <v>3.4569316825236438</v>
      </c>
      <c r="CB15" s="22">
        <f t="shared" si="10"/>
        <v>23.057666296912391</v>
      </c>
      <c r="CC15" s="62">
        <f t="shared" si="11"/>
        <v>316.39099963024569</v>
      </c>
      <c r="CD15" s="62">
        <f ca="1">AVERAGE(OFFSET($CC$3,0,0,'Données projet'!$E$12+1,1))-AVERAGE(OFFSET($H$3,0,0,'Données projet'!$E$12+1,1))</f>
        <v>152.52712777621315</v>
      </c>
      <c r="CE15" s="62">
        <f t="shared" si="40"/>
        <v>145.25423263217925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6.8</v>
      </c>
      <c r="CT15" s="13">
        <f>IF('Données projet'!$A$140&gt;35,CT14+CS15-DB14,IF(A15&lt;'Données projet'!$A$140,$CQ$205^A15,IF(A15='Données projet'!$A$140,'Données projet'!$B$140,CT14+CS15-DB14)))</f>
        <v>24.6</v>
      </c>
      <c r="CU15" s="18">
        <f>CT15*VLOOKUP('Données projet'!$B$13,Paramètres!$A$1:$I$89,3,0)*VLOOKUP('Données projet'!$B$13,Paramètres!$A$1:$I$89,5,0)</f>
        <v>16.117920000000002</v>
      </c>
      <c r="CV15" s="14">
        <f t="shared" si="41"/>
        <v>5.3744038004928587</v>
      </c>
      <c r="CW15" s="22">
        <f t="shared" si="13"/>
        <v>37.432463952525062</v>
      </c>
      <c r="CX15" s="62">
        <f t="shared" si="14"/>
        <v>330.76579728585835</v>
      </c>
      <c r="CY15" s="62">
        <f ca="1">AVERAGE(OFFSET($CX$3,0,0,'Données projet'!$E$13+1,1))-AVERAGE(OFFSET($H$3,0,0,'Données projet'!$E$13+1,1))</f>
        <v>158.23848664370132</v>
      </c>
      <c r="CZ15" s="62">
        <f t="shared" si="42"/>
        <v>172.92355799729972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2">
        <f t="shared" si="32"/>
        <v>3.9443572825295607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70">
        <f t="shared" si="1"/>
        <v>319.98284893373898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9.5637980499107691</v>
      </c>
      <c r="P16" s="14">
        <f t="shared" si="33"/>
        <v>3.3887309065006521</v>
      </c>
      <c r="Q16" s="22">
        <f t="shared" si="2"/>
        <v>22.558987932416557</v>
      </c>
      <c r="R16" s="62">
        <f t="shared" si="0"/>
        <v>315.89232126574984</v>
      </c>
      <c r="S16" s="62">
        <f ca="1">AVERAGE(OFFSET($R$3,0,0,'Données projet'!$E$9+1,1))-AVERAGE(OFFSET($H$3,0,0,'Données projet'!$E$9+1,1))</f>
        <v>223.49015613166239</v>
      </c>
      <c r="T16" s="62">
        <f t="shared" si="34"/>
        <v>136.15898308259307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200</v>
      </c>
      <c r="AG16" s="13">
        <f>VLOOKUP(A16,'Données projet'!$A$61:$I$81,9,0)</f>
        <v>33</v>
      </c>
      <c r="AH16" s="13">
        <f t="array" ref="AH16">INDEX(AG:AG,MIN(IF(ISNUMBER(AG16:AG212),ROW(AG16:AG212),"")))</f>
        <v>33</v>
      </c>
      <c r="AI16" s="14">
        <f>IF('Données projet'!$A$62&gt;35,AI15+AH16-AQ15,IF(A16&lt;'Données projet'!$A$62,$AF$205^A16,IF(A16='Données projet'!$A$62,'Données projet'!$B$62,AI15+AH16-AQ15)))</f>
        <v>200</v>
      </c>
      <c r="AJ16" s="14">
        <f>AI16*VLOOKUP('Données projet'!$B$10,Paramètres!$A$1:$I$89,3,0)*VLOOKUP('Données projet'!$B$10,Paramètres!$A$1:$I$89,5,0)</f>
        <v>101.712</v>
      </c>
      <c r="AK16" s="14">
        <f t="shared" si="35"/>
        <v>27.369454120725681</v>
      </c>
      <c r="AL16" s="22">
        <f t="shared" si="4"/>
        <v>224.81686592693055</v>
      </c>
      <c r="AM16" s="62">
        <f t="shared" si="5"/>
        <v>518.15019926026389</v>
      </c>
      <c r="AN16" s="62">
        <f ca="1">AVERAGE(OFFSET($AM$3,0,0,'Données projet'!$E$10+1,1))-AVERAGE(OFFSET($H$3,0,0,'Données projet'!$E$10+1,1))</f>
        <v>97.899731390293653</v>
      </c>
      <c r="AO16" s="62">
        <f t="shared" si="36"/>
        <v>310.21833995692549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18.719029579787367</v>
      </c>
      <c r="BF16" s="14">
        <f t="shared" si="37"/>
        <v>6.1339695501420781</v>
      </c>
      <c r="BG16" s="22">
        <f t="shared" si="7"/>
        <v>43.285640151293769</v>
      </c>
      <c r="BH16" s="62">
        <f t="shared" si="8"/>
        <v>336.61897348462708</v>
      </c>
      <c r="BI16" s="62">
        <f ca="1">AVERAGE(OFFSET($BH$3,0,0,'Données projet'!$E$11+1,1))-AVERAGE(OFFSET($H$3,0,0,'Données projet'!$E$11+1,1))</f>
        <v>209.0958230411249</v>
      </c>
      <c r="BJ16" s="62">
        <f t="shared" si="38"/>
        <v>250.34919671671565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4.7115384615384617</v>
      </c>
      <c r="BY16" s="13">
        <f>IF('Données projet'!$A$114&gt;35,BY15+BX16-CG15,IF(A16&lt;'Données projet'!$A$114,$BV$205^A16,IF(A16='Données projet'!$A$114,'Données projet'!$B$114,BY15+BX16-CG15)))</f>
        <v>19.196642569792747</v>
      </c>
      <c r="BZ16" s="14">
        <f>BY16*VLOOKUP('Données projet'!$B$12,Paramètres!$A$1:$I$89,3,0)*VLOOKUP('Données projet'!$B$12,Paramètres!$A$1:$I$89,5,0)</f>
        <v>12.278172587639441</v>
      </c>
      <c r="CA16" s="14">
        <f t="shared" si="39"/>
        <v>4.2258164754855736</v>
      </c>
      <c r="CB16" s="22">
        <f t="shared" si="10"/>
        <v>28.744447618276066</v>
      </c>
      <c r="CC16" s="62">
        <f t="shared" si="11"/>
        <v>322.07778095160938</v>
      </c>
      <c r="CD16" s="62">
        <f ca="1">AVERAGE(OFFSET($CC$3,0,0,'Données projet'!$E$12+1,1))-AVERAGE(OFFSET($H$3,0,0,'Données projet'!$E$12+1,1))</f>
        <v>152.52712777621315</v>
      </c>
      <c r="CE16" s="62">
        <f t="shared" si="40"/>
        <v>145.25423263217925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6.8</v>
      </c>
      <c r="CT16" s="13">
        <f>IF('Données projet'!$A$140&gt;35,CT15+CS16-DB15,IF(A16&lt;'Données projet'!$A$140,$CQ$205^A16,IF(A16='Données projet'!$A$140,'Données projet'!$B$140,CT15+CS16-DB15)))</f>
        <v>31.400000000000002</v>
      </c>
      <c r="CU16" s="18">
        <f>CT16*VLOOKUP('Données projet'!$B$13,Paramètres!$A$1:$I$89,3,0)*VLOOKUP('Données projet'!$B$13,Paramètres!$A$1:$I$89,5,0)</f>
        <v>20.57328</v>
      </c>
      <c r="CV16" s="14">
        <f t="shared" si="41"/>
        <v>6.6678691706770401</v>
      </c>
      <c r="CW16" s="22">
        <f t="shared" si="13"/>
        <v>47.445001472262504</v>
      </c>
      <c r="CX16" s="62">
        <f t="shared" si="14"/>
        <v>340.77833480559582</v>
      </c>
      <c r="CY16" s="62">
        <f ca="1">AVERAGE(OFFSET($CX$3,0,0,'Données projet'!$E$13+1,1))-AVERAGE(OFFSET($H$3,0,0,'Données projet'!$E$13+1,1))</f>
        <v>158.23848664370132</v>
      </c>
      <c r="CZ16" s="62">
        <f t="shared" si="42"/>
        <v>172.92355799729972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2">
        <f t="shared" si="32"/>
        <v>4.2112849955088034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70">
        <f t="shared" si="1"/>
        <v>321.96926803384446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11.529032447092296</v>
      </c>
      <c r="P17" s="14">
        <f t="shared" si="33"/>
        <v>3.9971664842854926</v>
      </c>
      <c r="Q17" s="22">
        <f t="shared" si="2"/>
        <v>27.041463138816312</v>
      </c>
      <c r="R17" s="62">
        <f t="shared" si="0"/>
        <v>320.37479647214963</v>
      </c>
      <c r="S17" s="62">
        <f ca="1">AVERAGE(OFFSET($R$3,0,0,'Données projet'!$E$9+1,1))-AVERAGE(OFFSET($H$3,0,0,'Données projet'!$E$9+1,1))</f>
        <v>223.49015613166239</v>
      </c>
      <c r="T17" s="62">
        <f t="shared" si="34"/>
        <v>136.15898308259307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>
        <f>VLOOKUP(A17,'Données projet'!$A$61:$I$81,2,0)</f>
        <v>228</v>
      </c>
      <c r="AG17" s="13">
        <f>VLOOKUP(A17,'Données projet'!$A$61:$I$81,9,0)</f>
        <v>28</v>
      </c>
      <c r="AH17" s="13">
        <f t="array" ref="AH17">INDEX(AG:AG,MIN(IF(ISNUMBER(AG17:AG213),ROW(AG17:AG213),"")))</f>
        <v>28</v>
      </c>
      <c r="AI17" s="14">
        <f>IF('Données projet'!$A$62&gt;35,AI16+AH17-AQ16,IF(A17&lt;'Données projet'!$A$62,$AF$205^A17,IF(A17='Données projet'!$A$62,'Données projet'!$B$62,AI16+AH17-AQ16)))</f>
        <v>228</v>
      </c>
      <c r="AJ17" s="14">
        <f>AI17*VLOOKUP('Données projet'!$B$10,Paramètres!$A$1:$I$89,3,0)*VLOOKUP('Données projet'!$B$10,Paramètres!$A$1:$I$89,5,0)</f>
        <v>115.95168000000001</v>
      </c>
      <c r="AK17" s="14">
        <f t="shared" si="35"/>
        <v>30.728917552828705</v>
      </c>
      <c r="AL17" s="22">
        <f t="shared" si="4"/>
        <v>255.46870740450996</v>
      </c>
      <c r="AM17" s="62">
        <f t="shared" si="5"/>
        <v>548.8020407378433</v>
      </c>
      <c r="AN17" s="62">
        <f ca="1">AVERAGE(OFFSET($AM$3,0,0,'Données projet'!$E$10+1,1))-AVERAGE(OFFSET($H$3,0,0,'Données projet'!$E$10+1,1))</f>
        <v>97.899731390293653</v>
      </c>
      <c r="AO17" s="62">
        <f t="shared" si="36"/>
        <v>310.21833995692549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23.830954494892122</v>
      </c>
      <c r="BF17" s="14">
        <f t="shared" si="37"/>
        <v>7.5926650065017887</v>
      </c>
      <c r="BG17" s="22">
        <f t="shared" si="7"/>
        <v>54.729470631594388</v>
      </c>
      <c r="BH17" s="62">
        <f t="shared" si="8"/>
        <v>348.0628039649277</v>
      </c>
      <c r="BI17" s="62">
        <f ca="1">AVERAGE(OFFSET($BH$3,0,0,'Données projet'!$E$11+1,1))-AVERAGE(OFFSET($H$3,0,0,'Données projet'!$E$11+1,1))</f>
        <v>209.0958230411249</v>
      </c>
      <c r="BJ17" s="62">
        <f t="shared" si="38"/>
        <v>250.34919671671565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4.7115384615384617</v>
      </c>
      <c r="BY17" s="13">
        <f>IF('Données projet'!$A$114&gt;35,BY16+BX17-CG16,IF(A17&lt;'Données projet'!$A$114,$BV$205^A17,IF(A17='Données projet'!$A$114,'Données projet'!$B$114,BY16+BX17-CG16)))</f>
        <v>24.095443009196032</v>
      </c>
      <c r="BZ17" s="14">
        <f>BY17*VLOOKUP('Données projet'!$B$12,Paramètres!$A$1:$I$89,3,0)*VLOOKUP('Données projet'!$B$12,Paramètres!$A$1:$I$89,5,0)</f>
        <v>15.411445348681781</v>
      </c>
      <c r="CA17" s="14">
        <f t="shared" si="39"/>
        <v>5.1657153002945293</v>
      </c>
      <c r="CB17" s="22">
        <f t="shared" si="10"/>
        <v>35.838554796967067</v>
      </c>
      <c r="CC17" s="62">
        <f t="shared" si="11"/>
        <v>329.17188813030037</v>
      </c>
      <c r="CD17" s="62">
        <f ca="1">AVERAGE(OFFSET($CC$3,0,0,'Données projet'!$E$12+1,1))-AVERAGE(OFFSET($H$3,0,0,'Données projet'!$E$12+1,1))</f>
        <v>152.52712777621315</v>
      </c>
      <c r="CE17" s="62">
        <f t="shared" si="40"/>
        <v>145.25423263217925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6.8</v>
      </c>
      <c r="CT17" s="13">
        <f>IF('Données projet'!$A$140&gt;35,CT16+CS17-DB16,IF(A17&lt;'Données projet'!$A$140,$CQ$205^A17,IF(A17='Données projet'!$A$140,'Données projet'!$B$140,CT16+CS17-DB16)))</f>
        <v>38.200000000000003</v>
      </c>
      <c r="CU17" s="18">
        <f>CT17*VLOOKUP('Données projet'!$B$13,Paramètres!$A$1:$I$89,3,0)*VLOOKUP('Données projet'!$B$13,Paramètres!$A$1:$I$89,5,0)</f>
        <v>25.028640000000003</v>
      </c>
      <c r="CV17" s="14">
        <f t="shared" si="41"/>
        <v>7.9288685965286847</v>
      </c>
      <c r="CW17" s="22">
        <f t="shared" si="13"/>
        <v>57.400994138954132</v>
      </c>
      <c r="CX17" s="62">
        <f t="shared" si="14"/>
        <v>350.73432747228742</v>
      </c>
      <c r="CY17" s="62">
        <f ca="1">AVERAGE(OFFSET($CX$3,0,0,'Données projet'!$E$13+1,1))-AVERAGE(OFFSET($H$3,0,0,'Données projet'!$E$13+1,1))</f>
        <v>158.23848664370132</v>
      </c>
      <c r="CZ17" s="62">
        <f t="shared" si="42"/>
        <v>172.92355799729972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2">
        <f t="shared" si="32"/>
        <v>4.4760006109979766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70">
        <f t="shared" si="1"/>
        <v>323.95183439748814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13.898096600580887</v>
      </c>
      <c r="P18" s="14">
        <f t="shared" si="33"/>
        <v>4.7148446849071632</v>
      </c>
      <c r="Q18" s="22">
        <f t="shared" si="2"/>
        <v>32.417539405558351</v>
      </c>
      <c r="R18" s="62">
        <f t="shared" si="0"/>
        <v>325.75087273889164</v>
      </c>
      <c r="S18" s="62">
        <f ca="1">AVERAGE(OFFSET($R$3,0,0,'Données projet'!$E$9+1,1))-AVERAGE(OFFSET($H$3,0,0,'Données projet'!$E$9+1,1))</f>
        <v>223.49015613166239</v>
      </c>
      <c r="T18" s="62">
        <f t="shared" si="34"/>
        <v>136.15898308259307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257</v>
      </c>
      <c r="AG18" s="13">
        <f>VLOOKUP(A18,'Données projet'!$A$61:$I$81,9,0)</f>
        <v>29</v>
      </c>
      <c r="AH18" s="13">
        <f t="array" ref="AH18">INDEX(AG:AG,MIN(IF(ISNUMBER(AG18:AG214),ROW(AG18:AG214),"")))</f>
        <v>29</v>
      </c>
      <c r="AI18" s="14">
        <f>IF('Données projet'!$A$62&gt;35,AI17+AH18-AQ17,IF(A18&lt;'Données projet'!$A$62,$AF$205^A18,IF(A18='Données projet'!$A$62,'Données projet'!$B$62,AI17+AH18-AQ17)))</f>
        <v>257</v>
      </c>
      <c r="AJ18" s="14">
        <f>AI18*VLOOKUP('Données projet'!$B$10,Paramètres!$A$1:$I$89,3,0)*VLOOKUP('Données projet'!$B$10,Paramètres!$A$1:$I$89,5,0)</f>
        <v>130.69991999999999</v>
      </c>
      <c r="AK18" s="14">
        <f t="shared" si="35"/>
        <v>34.15803971723885</v>
      </c>
      <c r="AL18" s="22">
        <f t="shared" si="4"/>
        <v>287.12761317419091</v>
      </c>
      <c r="AM18" s="62">
        <f t="shared" si="5"/>
        <v>580.46094650752423</v>
      </c>
      <c r="AN18" s="62">
        <f ca="1">AVERAGE(OFFSET($AM$3,0,0,'Données projet'!$E$10+1,1))-AVERAGE(OFFSET($H$3,0,0,'Données projet'!$E$10+1,1))</f>
        <v>97.899731390293653</v>
      </c>
      <c r="AO18" s="62">
        <f t="shared" si="36"/>
        <v>310.21833995692549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30.338880000000003</v>
      </c>
      <c r="BF18" s="14">
        <f t="shared" si="37"/>
        <v>9.3982471594795509</v>
      </c>
      <c r="BG18" s="22">
        <f t="shared" si="7"/>
        <v>69.208829802760235</v>
      </c>
      <c r="BH18" s="62">
        <f t="shared" si="8"/>
        <v>362.54216313609356</v>
      </c>
      <c r="BI18" s="62">
        <f ca="1">AVERAGE(OFFSET($BH$3,0,0,'Données projet'!$E$11+1,1))-AVERAGE(OFFSET($H$3,0,0,'Données projet'!$E$11+1,1))</f>
        <v>209.0958230411249</v>
      </c>
      <c r="BJ18" s="62">
        <f t="shared" si="38"/>
        <v>250.34919671671565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4.7115384615384617</v>
      </c>
      <c r="BY18" s="13">
        <f>IF('Données projet'!$A$114&gt;35,BY17+BX18-CG17,IF(A18&lt;'Données projet'!$A$114,$BV$205^A18,IF(A18='Données projet'!$A$114,'Données projet'!$B$114,BY17+BX18-CG17)))</f>
        <v>30.244370686101814</v>
      </c>
      <c r="BZ18" s="14">
        <f>BY18*VLOOKUP('Données projet'!$B$12,Paramètres!$A$1:$I$89,3,0)*VLOOKUP('Données projet'!$B$12,Paramètres!$A$1:$I$89,5,0)</f>
        <v>19.344299490830721</v>
      </c>
      <c r="CA18" s="14">
        <f t="shared" si="39"/>
        <v>6.3146648034758286</v>
      </c>
      <c r="CB18" s="22">
        <f t="shared" si="10"/>
        <v>44.689362812583909</v>
      </c>
      <c r="CC18" s="62">
        <f t="shared" si="11"/>
        <v>338.02269614591722</v>
      </c>
      <c r="CD18" s="62">
        <f ca="1">AVERAGE(OFFSET($CC$3,0,0,'Données projet'!$E$12+1,1))-AVERAGE(OFFSET($H$3,0,0,'Données projet'!$E$12+1,1))</f>
        <v>152.52712777621315</v>
      </c>
      <c r="CE18" s="62">
        <f t="shared" si="40"/>
        <v>145.25423263217925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45</v>
      </c>
      <c r="CR18" s="13">
        <f>VLOOKUP(A18,'Données projet'!$A$139:$I$159,9,0)</f>
        <v>6.8</v>
      </c>
      <c r="CS18" s="13">
        <f t="array" ref="CS18">INDEX(CR:CR,MIN(IF(ISNUMBER(CR18:CR214),ROW(CR18:CR214),"")))</f>
        <v>6.8</v>
      </c>
      <c r="CT18" s="13">
        <f>IF('Données projet'!$A$140&gt;35,CT17+CS18-DB17,IF(A18&lt;'Données projet'!$A$140,$CQ$205^A18,IF(A18='Données projet'!$A$140,'Données projet'!$B$140,CT17+CS18-DB17)))</f>
        <v>45</v>
      </c>
      <c r="CU18" s="18">
        <f>CT18*VLOOKUP('Données projet'!$B$13,Paramètres!$A$1:$I$89,3,0)*VLOOKUP('Données projet'!$B$13,Paramètres!$A$1:$I$89,5,0)</f>
        <v>29.483999999999998</v>
      </c>
      <c r="CV18" s="14">
        <f t="shared" si="41"/>
        <v>9.1638634703614379</v>
      </c>
      <c r="CW18" s="22">
        <f t="shared" si="13"/>
        <v>67.311695544212839</v>
      </c>
      <c r="CX18" s="62">
        <f t="shared" si="14"/>
        <v>360.64502887754617</v>
      </c>
      <c r="CY18" s="62">
        <f ca="1">AVERAGE(OFFSET($CX$3,0,0,'Données projet'!$E$13+1,1))-AVERAGE(OFFSET($H$3,0,0,'Données projet'!$E$13+1,1))</f>
        <v>158.23848664370132</v>
      </c>
      <c r="CZ18" s="62">
        <f t="shared" si="42"/>
        <v>172.92355799729972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2">
        <f t="shared" si="32"/>
        <v>4.7386683822915021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70">
        <f t="shared" si="1"/>
        <v>325.93083409915766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16.753972200658836</v>
      </c>
      <c r="P19" s="14">
        <f t="shared" si="33"/>
        <v>5.5613796648680189</v>
      </c>
      <c r="Q19" s="22">
        <f t="shared" si="2"/>
        <v>38.865904499125939</v>
      </c>
      <c r="R19" s="62">
        <f t="shared" si="0"/>
        <v>332.19923783245923</v>
      </c>
      <c r="S19" s="62">
        <f ca="1">AVERAGE(OFFSET($R$3,0,0,'Données projet'!$E$9+1,1))-AVERAGE(OFFSET($H$3,0,0,'Données projet'!$E$9+1,1))</f>
        <v>223.49015613166239</v>
      </c>
      <c r="T19" s="62">
        <f t="shared" si="34"/>
        <v>136.15898308259307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>
        <f>VLOOKUP(A19,'Données projet'!$A$61:$I$81,2,0)</f>
        <v>284</v>
      </c>
      <c r="AG19" s="13">
        <f>VLOOKUP(A19,'Données projet'!$A$61:$I$81,9,0)</f>
        <v>27</v>
      </c>
      <c r="AH19" s="13">
        <f t="array" ref="AH19">INDEX(AG:AG,MIN(IF(ISNUMBER(AG19:AG215),ROW(AG19:AG215),"")))</f>
        <v>27</v>
      </c>
      <c r="AI19" s="14">
        <f>IF('Données projet'!$A$62&gt;35,AI18+AH19-AQ18,IF(A19&lt;'Données projet'!$A$62,$AF$205^A19,IF(A19='Données projet'!$A$62,'Données projet'!$B$62,AI18+AH19-AQ18)))</f>
        <v>284</v>
      </c>
      <c r="AJ19" s="14">
        <f>AI19*VLOOKUP('Données projet'!$B$10,Paramètres!$A$1:$I$89,3,0)*VLOOKUP('Données projet'!$B$10,Paramètres!$A$1:$I$89,5,0)</f>
        <v>144.43104</v>
      </c>
      <c r="AK19" s="14">
        <f t="shared" si="35"/>
        <v>37.310246356497096</v>
      </c>
      <c r="AL19" s="22">
        <f t="shared" si="4"/>
        <v>316.53274040423241</v>
      </c>
      <c r="AM19" s="62">
        <f t="shared" si="5"/>
        <v>609.86607373756578</v>
      </c>
      <c r="AN19" s="62">
        <f ca="1">AVERAGE(OFFSET($AM$3,0,0,'Données projet'!$E$10+1,1))-AVERAGE(OFFSET($H$3,0,0,'Données projet'!$E$10+1,1))</f>
        <v>97.899731390293653</v>
      </c>
      <c r="AO19" s="62">
        <f t="shared" si="36"/>
        <v>310.21833995692549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39.700127999999999</v>
      </c>
      <c r="BF19" s="14">
        <f t="shared" si="37"/>
        <v>11.919131024226944</v>
      </c>
      <c r="BG19" s="22">
        <f t="shared" si="7"/>
        <v>89.903542800528598</v>
      </c>
      <c r="BH19" s="62">
        <f t="shared" si="8"/>
        <v>383.23687613386193</v>
      </c>
      <c r="BI19" s="62">
        <f ca="1">AVERAGE(OFFSET($BH$3,0,0,'Données projet'!$E$11+1,1))-AVERAGE(OFFSET($H$3,0,0,'Données projet'!$E$11+1,1))</f>
        <v>209.0958230411249</v>
      </c>
      <c r="BJ19" s="62">
        <f t="shared" si="38"/>
        <v>250.34919671671565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4.7115384615384617</v>
      </c>
      <c r="BY19" s="13">
        <f>IF('Données projet'!$A$114&gt;35,BY18+BX19-CG18,IF(A19&lt;'Données projet'!$A$114,$BV$205^A19,IF(A19='Données projet'!$A$114,'Données projet'!$B$114,BY18+BX19-CG18)))</f>
        <v>37.962446170806281</v>
      </c>
      <c r="BZ19" s="14">
        <f>BY19*VLOOKUP('Données projet'!$B$12,Paramètres!$A$1:$I$89,3,0)*VLOOKUP('Données projet'!$B$12,Paramètres!$A$1:$I$89,5,0)</f>
        <v>24.280780570847696</v>
      </c>
      <c r="CA19" s="14">
        <f t="shared" si="39"/>
        <v>7.7191616769865101</v>
      </c>
      <c r="CB19" s="22">
        <f t="shared" si="10"/>
        <v>55.733232748311231</v>
      </c>
      <c r="CC19" s="62">
        <f t="shared" si="11"/>
        <v>349.06656608164457</v>
      </c>
      <c r="CD19" s="62">
        <f ca="1">AVERAGE(OFFSET($CC$3,0,0,'Données projet'!$E$12+1,1))-AVERAGE(OFFSET($H$3,0,0,'Données projet'!$E$12+1,1))</f>
        <v>152.52712777621315</v>
      </c>
      <c r="CE19" s="62">
        <f t="shared" si="40"/>
        <v>145.25423263217925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</v>
      </c>
      <c r="CT19" s="13">
        <f>IF('Données projet'!$A$140&gt;35,CT18+CS19-DB18,IF(A19&lt;'Données projet'!$A$140,$CQ$205^A19,IF(A19='Données projet'!$A$140,'Données projet'!$B$140,CT18+CS19-DB18)))</f>
        <v>57</v>
      </c>
      <c r="CU19" s="18">
        <f>CT19*VLOOKUP('Données projet'!$B$13,Paramètres!$A$1:$I$89,3,0)*VLOOKUP('Données projet'!$B$13,Paramètres!$A$1:$I$89,5,0)</f>
        <v>37.346399999999996</v>
      </c>
      <c r="CV19" s="14">
        <f t="shared" si="41"/>
        <v>11.292524863342392</v>
      </c>
      <c r="CW19" s="22">
        <f t="shared" si="13"/>
        <v>84.712794136987995</v>
      </c>
      <c r="CX19" s="62">
        <f t="shared" si="14"/>
        <v>378.04612747032132</v>
      </c>
      <c r="CY19" s="62">
        <f ca="1">AVERAGE(OFFSET($CX$3,0,0,'Données projet'!$E$13+1,1))-AVERAGE(OFFSET($H$3,0,0,'Données projet'!$E$13+1,1))</f>
        <v>158.23848664370132</v>
      </c>
      <c r="CZ19" s="62">
        <f t="shared" si="42"/>
        <v>172.92355799729972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2">
        <f t="shared" si="32"/>
        <v>4.9994308705687178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70">
        <f t="shared" si="1"/>
        <v>327.90651543290716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20.196692580818372</v>
      </c>
      <c r="P20" s="14">
        <f t="shared" si="33"/>
        <v>6.5599072384749233</v>
      </c>
      <c r="Q20" s="22">
        <f t="shared" si="2"/>
        <v>46.601078018602493</v>
      </c>
      <c r="R20" s="62">
        <f t="shared" si="0"/>
        <v>339.93441135193581</v>
      </c>
      <c r="S20" s="62">
        <f ca="1">AVERAGE(OFFSET($R$3,0,0,'Données projet'!$E$9+1,1))-AVERAGE(OFFSET($H$3,0,0,'Données projet'!$E$9+1,1))</f>
        <v>223.49015613166239</v>
      </c>
      <c r="T20" s="62">
        <f t="shared" si="34"/>
        <v>136.15898308259307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310</v>
      </c>
      <c r="AG20" s="13">
        <f>VLOOKUP(A20,'Données projet'!$A$61:$I$81,9,0)</f>
        <v>26</v>
      </c>
      <c r="AH20" s="13">
        <f t="array" ref="AH20">INDEX(AG:AG,MIN(IF(ISNUMBER(AG20:AG216),ROW(AG20:AG216),"")))</f>
        <v>26</v>
      </c>
      <c r="AI20" s="14">
        <f>IF('Données projet'!$A$62&gt;35,AI19+AH20-AQ19,IF(A20&lt;'Données projet'!$A$62,$AF$205^A20,IF(A20='Données projet'!$A$62,'Données projet'!$B$62,AI19+AH20-AQ19)))</f>
        <v>310</v>
      </c>
      <c r="AJ20" s="14">
        <f>AI20*VLOOKUP('Données projet'!$B$10,Paramètres!$A$1:$I$89,3,0)*VLOOKUP('Données projet'!$B$10,Paramètres!$A$1:$I$89,5,0)</f>
        <v>157.65360000000001</v>
      </c>
      <c r="AK20" s="14">
        <f t="shared" si="35"/>
        <v>40.31282414727238</v>
      </c>
      <c r="AL20" s="22">
        <f t="shared" si="4"/>
        <v>344.79152205649939</v>
      </c>
      <c r="AM20" s="62">
        <f t="shared" si="5"/>
        <v>638.12485538983265</v>
      </c>
      <c r="AN20" s="62">
        <f ca="1">AVERAGE(OFFSET($AM$3,0,0,'Données projet'!$E$10+1,1))-AVERAGE(OFFSET($H$3,0,0,'Données projet'!$E$10+1,1))</f>
        <v>97.899731390293653</v>
      </c>
      <c r="AO20" s="62">
        <f t="shared" si="36"/>
        <v>310.21833995692549</v>
      </c>
      <c r="AP20" s="16">
        <f>IF(ISNA(VLOOKUP(A20,'Données projet'!$A$61:$I$81,3,0)),0,VLOOKUP(A20,'Données projet'!$A$61:$I$81,3,0))</f>
        <v>1</v>
      </c>
      <c r="AQ20" s="16">
        <f>IF(ISNA(VLOOKUP(A20,'Données projet'!$A$61:$I$81,4,0)),0,VLOOKUP(A20,'Données projet'!$A$61:$I$81,4,0))</f>
        <v>310</v>
      </c>
      <c r="AR20" s="17">
        <f>IF(ISNA(VLOOKUP(A20,'Données projet'!$A$61:$I$81,5,0)),0%,VLOOKUP(A20,'Données projet'!$A$61:$I$81,5,0)*VLOOKUP('Données projet'!$B$10,Paramètres!$A$1:$I$89,7,0))</f>
        <v>0.46199999999999997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0.11</v>
      </c>
      <c r="AU20" s="23">
        <f>EXP(-LN(2)/35)*AU19+(1-EXP(-LN(2)/35))/(LN(2)/35)*AQ20*AR20*VLOOKUP('Données projet'!$B$10,Paramètres!$A$1:$I$89,3,0)*0.475*44/12</f>
        <v>80.517999882352015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16.362545626287524</v>
      </c>
      <c r="AX20" s="23">
        <f t="shared" si="6"/>
        <v>96.880545508639543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49.061376000000003</v>
      </c>
      <c r="BF20" s="14">
        <f t="shared" si="37"/>
        <v>14.371089213367384</v>
      </c>
      <c r="BG20" s="22">
        <f t="shared" si="7"/>
        <v>110.47821024661486</v>
      </c>
      <c r="BH20" s="62">
        <f t="shared" si="8"/>
        <v>403.81154357994819</v>
      </c>
      <c r="BI20" s="62">
        <f ca="1">AVERAGE(OFFSET($BH$3,0,0,'Données projet'!$E$11+1,1))-AVERAGE(OFFSET($H$3,0,0,'Données projet'!$E$11+1,1))</f>
        <v>209.0958230411249</v>
      </c>
      <c r="BJ20" s="62">
        <f t="shared" si="38"/>
        <v>250.34919671671565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4.7115384615384617</v>
      </c>
      <c r="BY20" s="13">
        <f>IF('Données projet'!$A$114&gt;35,BY19+BX20-CG19,IF(A20&lt;'Données projet'!$A$114,$BV$205^A20,IF(A20='Données projet'!$A$114,'Données projet'!$B$114,BY19+BX20-CG19)))</f>
        <v>47.650101046196156</v>
      </c>
      <c r="BZ20" s="14">
        <f>BY20*VLOOKUP('Données projet'!$B$12,Paramètres!$A$1:$I$89,3,0)*VLOOKUP('Données projet'!$B$12,Paramètres!$A$1:$I$89,5,0)</f>
        <v>30.477004629147064</v>
      </c>
      <c r="CA20" s="14">
        <f t="shared" si="39"/>
        <v>9.436044326954482</v>
      </c>
      <c r="CB20" s="22">
        <f t="shared" si="10"/>
        <v>69.515226931876853</v>
      </c>
      <c r="CC20" s="62">
        <f t="shared" si="11"/>
        <v>362.84856026521015</v>
      </c>
      <c r="CD20" s="62">
        <f ca="1">AVERAGE(OFFSET($CC$3,0,0,'Données projet'!$E$12+1,1))-AVERAGE(OFFSET($H$3,0,0,'Données projet'!$E$12+1,1))</f>
        <v>152.52712777621315</v>
      </c>
      <c r="CE20" s="62">
        <f t="shared" si="40"/>
        <v>145.25423263217925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</v>
      </c>
      <c r="CT20" s="13">
        <f>IF('Données projet'!$A$140&gt;35,CT19+CS20-DB19,IF(A20&lt;'Données projet'!$A$140,$CQ$205^A20,IF(A20='Données projet'!$A$140,'Données projet'!$B$140,CT19+CS20-DB19)))</f>
        <v>69</v>
      </c>
      <c r="CU20" s="18">
        <f>CT20*VLOOKUP('Données projet'!$B$13,Paramètres!$A$1:$I$89,3,0)*VLOOKUP('Données projet'!$B$13,Paramètres!$A$1:$I$89,5,0)</f>
        <v>45.208800000000004</v>
      </c>
      <c r="CV20" s="14">
        <f t="shared" si="41"/>
        <v>13.369251386406743</v>
      </c>
      <c r="CW20" s="22">
        <f t="shared" si="13"/>
        <v>102.02343949799173</v>
      </c>
      <c r="CX20" s="62">
        <f t="shared" si="14"/>
        <v>395.35677283132503</v>
      </c>
      <c r="CY20" s="62">
        <f ca="1">AVERAGE(OFFSET($CX$3,0,0,'Données projet'!$E$13+1,1))-AVERAGE(OFFSET($H$3,0,0,'Données projet'!$E$13+1,1))</f>
        <v>158.23848664370132</v>
      </c>
      <c r="CZ20" s="62">
        <f t="shared" si="42"/>
        <v>172.92355799729972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2">
        <f t="shared" si="32"/>
        <v>5.2584129176484726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70">
        <f t="shared" si="1"/>
        <v>329.87909583157108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24.346846605609343</v>
      </c>
      <c r="P21" s="14">
        <f t="shared" si="33"/>
        <v>7.7377171800078735</v>
      </c>
      <c r="Q21" s="22">
        <f t="shared" si="2"/>
        <v>55.880615259949991</v>
      </c>
      <c r="R21" s="62">
        <f t="shared" si="0"/>
        <v>349.21394859328331</v>
      </c>
      <c r="S21" s="62">
        <f ca="1">AVERAGE(OFFSET($R$3,0,0,'Données projet'!$E$9+1,1))-AVERAGE(OFFSET($H$3,0,0,'Données projet'!$E$9+1,1))</f>
        <v>223.49015613166239</v>
      </c>
      <c r="T21" s="62">
        <f t="shared" si="34"/>
        <v>136.15898308259307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97.899731390293653</v>
      </c>
      <c r="AO21" s="62">
        <f t="shared" si="36"/>
        <v>310.21833995692549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78.9390910157897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11.570066969822193</v>
      </c>
      <c r="AX21" s="23">
        <f t="shared" si="6"/>
        <v>90.509157985611893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58.422624000000006</v>
      </c>
      <c r="BF21" s="14">
        <f t="shared" si="37"/>
        <v>16.76884261403055</v>
      </c>
      <c r="BG21" s="22">
        <f t="shared" si="7"/>
        <v>130.95847101943656</v>
      </c>
      <c r="BH21" s="62">
        <f t="shared" si="8"/>
        <v>424.29180435276987</v>
      </c>
      <c r="BI21" s="62">
        <f ca="1">AVERAGE(OFFSET($BH$3,0,0,'Données projet'!$E$11+1,1))-AVERAGE(OFFSET($H$3,0,0,'Données projet'!$E$11+1,1))</f>
        <v>209.0958230411249</v>
      </c>
      <c r="BJ21" s="62">
        <f t="shared" si="38"/>
        <v>250.34919671671565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4.7115384615384617</v>
      </c>
      <c r="BY21" s="13">
        <f>IF('Données projet'!$A$114&gt;35,BY20+BX21-CG20,IF(A21&lt;'Données projet'!$A$114,$BV$205^A21,IF(A21='Données projet'!$A$114,'Données projet'!$B$114,BY20+BX21-CG20)))</f>
        <v>59.80995322316133</v>
      </c>
      <c r="BZ21" s="14">
        <f>BY21*VLOOKUP('Données projet'!$B$12,Paramètres!$A$1:$I$89,3,0)*VLOOKUP('Données projet'!$B$12,Paramètres!$A$1:$I$89,5,0)</f>
        <v>38.254446081533985</v>
      </c>
      <c r="CA21" s="14">
        <f t="shared" si="39"/>
        <v>11.534793059938831</v>
      </c>
      <c r="CB21" s="22">
        <f t="shared" si="10"/>
        <v>86.716258171398479</v>
      </c>
      <c r="CC21" s="62">
        <f t="shared" si="11"/>
        <v>380.04959150473178</v>
      </c>
      <c r="CD21" s="62">
        <f ca="1">AVERAGE(OFFSET($CC$3,0,0,'Données projet'!$E$12+1,1))-AVERAGE(OFFSET($H$3,0,0,'Données projet'!$E$12+1,1))</f>
        <v>152.52712777621315</v>
      </c>
      <c r="CE21" s="62">
        <f t="shared" si="40"/>
        <v>145.25423263217925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</v>
      </c>
      <c r="CT21" s="13">
        <f>IF('Données projet'!$A$140&gt;35,CT20+CS21-DB20,IF(A21&lt;'Données projet'!$A$140,$CQ$205^A21,IF(A21='Données projet'!$A$140,'Données projet'!$B$140,CT20+CS21-DB20)))</f>
        <v>81</v>
      </c>
      <c r="CU21" s="18">
        <f>CT21*VLOOKUP('Données projet'!$B$13,Paramètres!$A$1:$I$89,3,0)*VLOOKUP('Données projet'!$B$13,Paramètres!$A$1:$I$89,5,0)</f>
        <v>53.071199999999997</v>
      </c>
      <c r="CV21" s="14">
        <f t="shared" si="41"/>
        <v>15.404137822648016</v>
      </c>
      <c r="CW21" s="22">
        <f t="shared" si="13"/>
        <v>119.26121337444529</v>
      </c>
      <c r="CX21" s="62">
        <f t="shared" si="14"/>
        <v>412.59454670777859</v>
      </c>
      <c r="CY21" s="62">
        <f ca="1">AVERAGE(OFFSET($CX$3,0,0,'Données projet'!$E$13+1,1))-AVERAGE(OFFSET($H$3,0,0,'Données projet'!$E$13+1,1))</f>
        <v>158.23848664370132</v>
      </c>
      <c r="CZ21" s="62">
        <f t="shared" si="42"/>
        <v>172.92355799729972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2">
        <f t="shared" si="32"/>
        <v>5.5157247105992537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70">
        <f t="shared" si="1"/>
        <v>331.84876720429367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29.349802561239567</v>
      </c>
      <c r="P22" s="14">
        <f t="shared" si="33"/>
        <v>9.1269990536799668</v>
      </c>
      <c r="Q22" s="22">
        <f t="shared" si="2"/>
        <v>67.013762812651535</v>
      </c>
      <c r="R22" s="62">
        <f t="shared" si="0"/>
        <v>360.34709614598484</v>
      </c>
      <c r="S22" s="62">
        <f ca="1">AVERAGE(OFFSET($R$3,0,0,'Données projet'!$E$9+1,1))-AVERAGE(OFFSET($H$3,0,0,'Données projet'!$E$9+1,1))</f>
        <v>223.49015613166239</v>
      </c>
      <c r="T22" s="62">
        <f t="shared" si="34"/>
        <v>136.15898308259307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97.899731390293653</v>
      </c>
      <c r="AO22" s="62">
        <f t="shared" si="36"/>
        <v>310.21833995692549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77.391143589061357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8.1812728131437638</v>
      </c>
      <c r="AX22" s="23">
        <f t="shared" si="6"/>
        <v>85.572416402205121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67.783872000000002</v>
      </c>
      <c r="BF22" s="14">
        <f t="shared" si="37"/>
        <v>19.122088696850646</v>
      </c>
      <c r="BG22" s="22">
        <f t="shared" si="7"/>
        <v>151.3612148803482</v>
      </c>
      <c r="BH22" s="62">
        <f t="shared" si="8"/>
        <v>444.69454821368151</v>
      </c>
      <c r="BI22" s="62">
        <f ca="1">AVERAGE(OFFSET($BH$3,0,0,'Données projet'!$E$11+1,1))-AVERAGE(OFFSET($H$3,0,0,'Données projet'!$E$11+1,1))</f>
        <v>209.0958230411249</v>
      </c>
      <c r="BJ22" s="62">
        <f t="shared" si="38"/>
        <v>250.34919671671565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4.7115384615384617</v>
      </c>
      <c r="BY22" s="13">
        <f>IF('Données projet'!$A$114&gt;35,BY21+BX22-CG21,IF(A22&lt;'Données projet'!$A$114,$BV$205^A22,IF(A22='Données projet'!$A$114,'Données projet'!$B$114,BY21+BX22-CG21)))</f>
        <v>75.072883918728053</v>
      </c>
      <c r="BZ22" s="14">
        <f>BY22*VLOOKUP('Données projet'!$B$12,Paramètres!$A$1:$I$89,3,0)*VLOOKUP('Données projet'!$B$12,Paramètres!$A$1:$I$89,5,0)</f>
        <v>48.016616554418462</v>
      </c>
      <c r="CA22" s="14">
        <f t="shared" si="39"/>
        <v>14.100341872657989</v>
      </c>
      <c r="CB22" s="22">
        <f t="shared" si="10"/>
        <v>108.18703592715815</v>
      </c>
      <c r="CC22" s="62">
        <f t="shared" si="11"/>
        <v>401.52036926049146</v>
      </c>
      <c r="CD22" s="62">
        <f ca="1">AVERAGE(OFFSET($CC$3,0,0,'Données projet'!$E$12+1,1))-AVERAGE(OFFSET($H$3,0,0,'Données projet'!$E$12+1,1))</f>
        <v>152.52712777621315</v>
      </c>
      <c r="CE22" s="62">
        <f t="shared" si="40"/>
        <v>145.25423263217925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</v>
      </c>
      <c r="CT22" s="13">
        <f>IF('Données projet'!$A$140&gt;35,CT21+CS22-DB21,IF(A22&lt;'Données projet'!$A$140,$CQ$205^A22,IF(A22='Données projet'!$A$140,'Données projet'!$B$140,CT21+CS22-DB21)))</f>
        <v>93</v>
      </c>
      <c r="CU22" s="18">
        <f>CT22*VLOOKUP('Données projet'!$B$13,Paramètres!$A$1:$I$89,3,0)*VLOOKUP('Données projet'!$B$13,Paramètres!$A$1:$I$89,5,0)</f>
        <v>60.933599999999991</v>
      </c>
      <c r="CV22" s="14">
        <f t="shared" si="41"/>
        <v>17.404099852856145</v>
      </c>
      <c r="CW22" s="22">
        <f t="shared" si="13"/>
        <v>136.43816057705777</v>
      </c>
      <c r="CX22" s="62">
        <f t="shared" si="14"/>
        <v>429.77149391039109</v>
      </c>
      <c r="CY22" s="62">
        <f ca="1">AVERAGE(OFFSET($CX$3,0,0,'Données projet'!$E$13+1,1))-AVERAGE(OFFSET($H$3,0,0,'Données projet'!$E$13+1,1))</f>
        <v>158.23848664370132</v>
      </c>
      <c r="CZ22" s="62">
        <f t="shared" si="42"/>
        <v>172.92355799729972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2">
        <f t="shared" si="32"/>
        <v>5.7714641827626956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70">
        <f t="shared" si="1"/>
        <v>333.81570011831167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35.380800000000001</v>
      </c>
      <c r="P23" s="14">
        <f t="shared" si="33"/>
        <v>10.765721954933243</v>
      </c>
      <c r="Q23" s="22">
        <f t="shared" si="2"/>
        <v>80.371859071508723</v>
      </c>
      <c r="R23" s="62">
        <f t="shared" si="0"/>
        <v>373.70519240484202</v>
      </c>
      <c r="S23" s="62">
        <f ca="1">AVERAGE(OFFSET($R$3,0,0,'Données projet'!$E$9+1,1))-AVERAGE(OFFSET($H$3,0,0,'Données projet'!$E$9+1,1))</f>
        <v>223.49015613166239</v>
      </c>
      <c r="T23" s="62">
        <f t="shared" si="34"/>
        <v>136.15898308259307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97.899731390293653</v>
      </c>
      <c r="AO23" s="62">
        <f t="shared" si="36"/>
        <v>310.21833995692549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75.873550467216447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5.7850334849110983</v>
      </c>
      <c r="AX23" s="23">
        <f t="shared" si="6"/>
        <v>81.658583952127543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77.145120000000006</v>
      </c>
      <c r="BF23" s="14">
        <f t="shared" si="37"/>
        <v>21.437681740081288</v>
      </c>
      <c r="BG23" s="22">
        <f t="shared" si="7"/>
        <v>171.69837969730824</v>
      </c>
      <c r="BH23" s="62">
        <f t="shared" si="8"/>
        <v>465.03171303064153</v>
      </c>
      <c r="BI23" s="62">
        <f ca="1">AVERAGE(OFFSET($BH$3,0,0,'Données projet'!$E$11+1,1))-AVERAGE(OFFSET($H$3,0,0,'Données projet'!$E$11+1,1))</f>
        <v>209.0958230411249</v>
      </c>
      <c r="BJ23" s="62">
        <f t="shared" si="38"/>
        <v>250.34919671671565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43.1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94.230769230769226</v>
      </c>
      <c r="BW23" s="13">
        <f>VLOOKUP(A23,'Données projet'!$A$113:$I$133,9,0)</f>
        <v>4.7115384615384617</v>
      </c>
      <c r="BX23" s="13">
        <f t="array" ref="BX23">INDEX(BW:BW,MIN(IF(ISNUMBER(BW23:BW219),ROW(BW23:BW219),"")))</f>
        <v>4.7115384615384617</v>
      </c>
      <c r="BY23" s="13">
        <f>IF('Données projet'!$A$114&gt;35,BY22+BX23-CG22,IF(A23&lt;'Données projet'!$A$114,$BV$205^A23,IF(A23='Données projet'!$A$114,'Données projet'!$B$114,BY22+BX23-CG22)))</f>
        <v>94.230769230769226</v>
      </c>
      <c r="BZ23" s="14">
        <f>BY23*VLOOKUP('Données projet'!$B$12,Paramètres!$A$1:$I$89,3,0)*VLOOKUP('Données projet'!$B$12,Paramètres!$A$1:$I$89,5,0)</f>
        <v>60.269999999999996</v>
      </c>
      <c r="CA23" s="14">
        <f t="shared" si="39"/>
        <v>17.236515635147981</v>
      </c>
      <c r="CB23" s="22">
        <f t="shared" si="10"/>
        <v>134.99051473121605</v>
      </c>
      <c r="CC23" s="62">
        <f t="shared" si="11"/>
        <v>428.32384806454934</v>
      </c>
      <c r="CD23" s="62">
        <f ca="1">AVERAGE(OFFSET($CC$3,0,0,'Données projet'!$E$12+1,1))-AVERAGE(OFFSET($H$3,0,0,'Données projet'!$E$12+1,1))</f>
        <v>152.52712777621315</v>
      </c>
      <c r="CE23" s="62">
        <f t="shared" si="40"/>
        <v>145.25423263217925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53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105</v>
      </c>
      <c r="CR23" s="13">
        <f>VLOOKUP(A23,'Données projet'!$A$139:$I$159,9,0)</f>
        <v>12</v>
      </c>
      <c r="CS23" s="13">
        <f t="array" ref="CS23">INDEX(CR:CR,MIN(IF(ISNUMBER(CR23:CR219),ROW(CR23:CR219),"")))</f>
        <v>12</v>
      </c>
      <c r="CT23" s="13">
        <f>IF('Données projet'!$A$140&gt;35,CT22+CS23-DB22,IF(A23&lt;'Données projet'!$A$140,$CQ$205^A23,IF(A23='Données projet'!$A$140,'Données projet'!$B$140,CT22+CS23-DB22)))</f>
        <v>105</v>
      </c>
      <c r="CU23" s="18">
        <f>CT23*VLOOKUP('Données projet'!$B$13,Paramètres!$A$1:$I$89,3,0)*VLOOKUP('Données projet'!$B$13,Paramètres!$A$1:$I$89,5,0)</f>
        <v>68.796000000000006</v>
      </c>
      <c r="CV23" s="14">
        <f t="shared" si="41"/>
        <v>19.374160697102734</v>
      </c>
      <c r="CW23" s="22">
        <f t="shared" si="13"/>
        <v>153.56302988078727</v>
      </c>
      <c r="CX23" s="62">
        <f t="shared" si="14"/>
        <v>446.89636321412058</v>
      </c>
      <c r="CY23" s="62">
        <f ca="1">AVERAGE(OFFSET($CX$3,0,0,'Données projet'!$E$13+1,1))-AVERAGE(OFFSET($H$3,0,0,'Données projet'!$E$13+1,1))</f>
        <v>158.23848664370132</v>
      </c>
      <c r="CZ23" s="62">
        <f t="shared" si="42"/>
        <v>172.92355799729972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2">
        <f t="shared" si="32"/>
        <v>6.0257189209257707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70">
        <f t="shared" si="1"/>
        <v>335.78004712061238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40.098240000000011</v>
      </c>
      <c r="P24" s="14">
        <f t="shared" si="33"/>
        <v>12.024681710991171</v>
      </c>
      <c r="Q24" s="22">
        <f t="shared" si="2"/>
        <v>90.780755313309626</v>
      </c>
      <c r="R24" s="62">
        <f t="shared" si="0"/>
        <v>384.11408864664293</v>
      </c>
      <c r="S24" s="62">
        <f ca="1">AVERAGE(OFFSET($R$3,0,0,'Données projet'!$E$9+1,1))-AVERAGE(OFFSET($H$3,0,0,'Données projet'!$E$9+1,1))</f>
        <v>223.49015613166239</v>
      </c>
      <c r="T24" s="62">
        <f t="shared" si="34"/>
        <v>136.15898308259307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97.899731390293653</v>
      </c>
      <c r="AO24" s="62">
        <f t="shared" si="36"/>
        <v>310.21833995692549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74.385716420850514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4.0906364065718828</v>
      </c>
      <c r="AX24" s="23">
        <f t="shared" si="6"/>
        <v>78.476352827422403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12.500000000000002</v>
      </c>
      <c r="BD24" s="13">
        <f>IF('Données projet'!$A$88&gt;35,BD23+BC24-BL23,IF(A24&lt;'Données projet'!$A$88,$BA$205^A24,IF(A24='Données projet'!$A$88,'Données projet'!$B$88,BD23+BC24-BL23)))</f>
        <v>64.5</v>
      </c>
      <c r="BE24" s="14">
        <f>BD24*VLOOKUP('Données projet'!$B$11,Paramètres!$A$1:$I$89,3,0)*VLOOKUP('Données projet'!$B$11,Paramètres!$A$1:$I$89,5,0)</f>
        <v>52.322400000000002</v>
      </c>
      <c r="BF24" s="14">
        <f t="shared" si="37"/>
        <v>15.211935603956737</v>
      </c>
      <c r="BG24" s="22">
        <f t="shared" si="7"/>
        <v>117.62230117689131</v>
      </c>
      <c r="BH24" s="62">
        <f t="shared" si="8"/>
        <v>410.95563451022463</v>
      </c>
      <c r="BI24" s="62">
        <f ca="1">AVERAGE(OFFSET($BH$3,0,0,'Données projet'!$E$11+1,1))-AVERAGE(OFFSET($H$3,0,0,'Données projet'!$E$11+1,1))</f>
        <v>209.0958230411249</v>
      </c>
      <c r="BJ24" s="62">
        <f t="shared" si="38"/>
        <v>250.34919671671565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10.364102564102563</v>
      </c>
      <c r="BY24" s="13">
        <f>IF('Données projet'!$A$114&gt;35,BY23+BX24-CG23,IF(A24&lt;'Données projet'!$A$114,$BV$205^A24,IF(A24='Données projet'!$A$114,'Données projet'!$B$114,BY23+BX24-CG23)))</f>
        <v>51.594871794871793</v>
      </c>
      <c r="BZ24" s="14">
        <f>BY24*VLOOKUP('Données projet'!$B$12,Paramètres!$A$1:$I$89,3,0)*VLOOKUP('Données projet'!$B$12,Paramètres!$A$1:$I$89,5,0)</f>
        <v>33.000079999999997</v>
      </c>
      <c r="CA24" s="14">
        <f t="shared" si="39"/>
        <v>10.123062365496519</v>
      </c>
      <c r="CB24" s="22">
        <f t="shared" si="10"/>
        <v>75.106139619906443</v>
      </c>
      <c r="CC24" s="62">
        <f t="shared" si="11"/>
        <v>368.43947295323977</v>
      </c>
      <c r="CD24" s="62">
        <f ca="1">AVERAGE(OFFSET($CC$3,0,0,'Données projet'!$E$12+1,1))-AVERAGE(OFFSET($H$3,0,0,'Données projet'!$E$12+1,1))</f>
        <v>152.52712777621315</v>
      </c>
      <c r="CE24" s="62">
        <f t="shared" si="40"/>
        <v>145.25423263217925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9.6</v>
      </c>
      <c r="CT24" s="13">
        <f>IF('Données projet'!$A$140&gt;35,CT23+CS24-DB23,IF(A24&lt;'Données projet'!$A$140,$CQ$205^A24,IF(A24='Données projet'!$A$140,'Données projet'!$B$140,CT23+CS24-DB23)))</f>
        <v>114.6</v>
      </c>
      <c r="CU24" s="18">
        <f>CT24*VLOOKUP('Données projet'!$B$13,Paramètres!$A$1:$I$89,3,0)*VLOOKUP('Données projet'!$B$13,Paramètres!$A$1:$I$89,5,0)</f>
        <v>75.085920000000002</v>
      </c>
      <c r="CV24" s="14">
        <f t="shared" si="41"/>
        <v>20.931269096524034</v>
      </c>
      <c r="CW24" s="22">
        <f t="shared" si="13"/>
        <v>167.22993767644601</v>
      </c>
      <c r="CX24" s="62">
        <f t="shared" si="14"/>
        <v>460.56327100977933</v>
      </c>
      <c r="CY24" s="62">
        <f ca="1">AVERAGE(OFFSET($CX$3,0,0,'Données projet'!$E$13+1,1))-AVERAGE(OFFSET($H$3,0,0,'Données projet'!$E$13+1,1))</f>
        <v>158.23848664370132</v>
      </c>
      <c r="CZ24" s="62">
        <f t="shared" si="42"/>
        <v>172.92355799729972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2">
        <f t="shared" si="32"/>
        <v>6.2785676989293835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70">
        <f t="shared" si="1"/>
        <v>337.74194540896866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44.815680000000008</v>
      </c>
      <c r="P25" s="14">
        <f t="shared" si="33"/>
        <v>13.266476878569183</v>
      </c>
      <c r="Q25" s="22">
        <f t="shared" si="2"/>
        <v>101.159756563508</v>
      </c>
      <c r="R25" s="62">
        <f t="shared" si="0"/>
        <v>394.4930898968413</v>
      </c>
      <c r="S25" s="62">
        <f ca="1">AVERAGE(OFFSET($R$3,0,0,'Données projet'!$E$9+1,1))-AVERAGE(OFFSET($H$3,0,0,'Données projet'!$E$9+1,1))</f>
        <v>223.49015613166239</v>
      </c>
      <c r="T25" s="62">
        <f t="shared" si="34"/>
        <v>136.15898308259307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97.899731390293653</v>
      </c>
      <c r="AO25" s="62">
        <f t="shared" si="36"/>
        <v>310.21833995692549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72.927057892644655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2.8925167424555496</v>
      </c>
      <c r="AX25" s="23">
        <f t="shared" si="6"/>
        <v>75.81957463510021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12.500000000000002</v>
      </c>
      <c r="BD25" s="13">
        <f>IF('Données projet'!$A$88&gt;35,BD24+BC25-BL24,IF(A25&lt;'Données projet'!$A$88,$BA$205^A25,IF(A25='Données projet'!$A$88,'Données projet'!$B$88,BD24+BC25-BL24)))</f>
        <v>77</v>
      </c>
      <c r="BE25" s="14">
        <f>BD25*VLOOKUP('Données projet'!$B$11,Paramètres!$A$1:$I$89,3,0)*VLOOKUP('Données projet'!$B$11,Paramètres!$A$1:$I$89,5,0)</f>
        <v>62.462400000000002</v>
      </c>
      <c r="BF25" s="14">
        <f t="shared" si="37"/>
        <v>17.789376189256878</v>
      </c>
      <c r="BG25" s="22">
        <f t="shared" si="7"/>
        <v>139.7718435296224</v>
      </c>
      <c r="BH25" s="62">
        <f t="shared" si="8"/>
        <v>433.10517686295572</v>
      </c>
      <c r="BI25" s="62">
        <f ca="1">AVERAGE(OFFSET($BH$3,0,0,'Données projet'!$E$11+1,1))-AVERAGE(OFFSET($H$3,0,0,'Données projet'!$E$11+1,1))</f>
        <v>209.0958230411249</v>
      </c>
      <c r="BJ25" s="62">
        <f t="shared" si="38"/>
        <v>250.34919671671565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10.364102564102563</v>
      </c>
      <c r="BY25" s="13">
        <f>IF('Données projet'!$A$114&gt;35,BY24+BX25-CG24,IF(A25&lt;'Données projet'!$A$114,$BV$205^A25,IF(A25='Données projet'!$A$114,'Données projet'!$B$114,BY24+BX25-CG24)))</f>
        <v>61.958974358974359</v>
      </c>
      <c r="BZ25" s="14">
        <f>BY25*VLOOKUP('Données projet'!$B$12,Paramètres!$A$1:$I$89,3,0)*VLOOKUP('Données projet'!$B$12,Paramètres!$A$1:$I$89,5,0)</f>
        <v>39.628959999999999</v>
      </c>
      <c r="CA25" s="14">
        <f t="shared" si="39"/>
        <v>11.900249437233896</v>
      </c>
      <c r="CB25" s="22">
        <f t="shared" si="10"/>
        <v>89.746706436515694</v>
      </c>
      <c r="CC25" s="62">
        <f t="shared" si="11"/>
        <v>383.08003976984901</v>
      </c>
      <c r="CD25" s="62">
        <f ca="1">AVERAGE(OFFSET($CC$3,0,0,'Données projet'!$E$12+1,1))-AVERAGE(OFFSET($H$3,0,0,'Données projet'!$E$12+1,1))</f>
        <v>152.52712777621315</v>
      </c>
      <c r="CE25" s="62">
        <f t="shared" si="40"/>
        <v>145.25423263217925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9.6</v>
      </c>
      <c r="CT25" s="13">
        <f>IF('Données projet'!$A$140&gt;35,CT24+CS25-DB24,IF(A25&lt;'Données projet'!$A$140,$CQ$205^A25,IF(A25='Données projet'!$A$140,'Données projet'!$B$140,CT24+CS25-DB24)))</f>
        <v>124.19999999999999</v>
      </c>
      <c r="CU25" s="18">
        <f>CT25*VLOOKUP('Données projet'!$B$13,Paramètres!$A$1:$I$89,3,0)*VLOOKUP('Données projet'!$B$13,Paramètres!$A$1:$I$89,5,0)</f>
        <v>81.375839999999997</v>
      </c>
      <c r="CV25" s="14">
        <f t="shared" si="41"/>
        <v>22.473249586041113</v>
      </c>
      <c r="CW25" s="22">
        <f t="shared" si="13"/>
        <v>180.87049769568827</v>
      </c>
      <c r="CX25" s="62">
        <f t="shared" si="14"/>
        <v>474.20383102902156</v>
      </c>
      <c r="CY25" s="62">
        <f ca="1">AVERAGE(OFFSET($CX$3,0,0,'Données projet'!$E$13+1,1))-AVERAGE(OFFSET($H$3,0,0,'Données projet'!$E$13+1,1))</f>
        <v>158.23848664370132</v>
      </c>
      <c r="CZ25" s="62">
        <f t="shared" si="42"/>
        <v>172.92355799729972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2">
        <f t="shared" si="32"/>
        <v>6.5300817245569407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70">
        <f t="shared" si="1"/>
        <v>339.70151900360332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49.533120000000011</v>
      </c>
      <c r="P26" s="14">
        <f t="shared" si="33"/>
        <v>14.493120113047395</v>
      </c>
      <c r="Q26" s="22">
        <f t="shared" si="2"/>
        <v>111.5123681968909</v>
      </c>
      <c r="R26" s="62">
        <f t="shared" si="0"/>
        <v>404.84570153022423</v>
      </c>
      <c r="S26" s="62">
        <f ca="1">AVERAGE(OFFSET($R$3,0,0,'Données projet'!$E$9+1,1))-AVERAGE(OFFSET($H$3,0,0,'Données projet'!$E$9+1,1))</f>
        <v>223.49015613166239</v>
      </c>
      <c r="T26" s="62">
        <f t="shared" si="34"/>
        <v>136.15898308259307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97.899731390293653</v>
      </c>
      <c r="AO26" s="62">
        <f t="shared" si="36"/>
        <v>310.21833995692549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71.497002768483057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2.0453182032859418</v>
      </c>
      <c r="AX26" s="23">
        <f t="shared" si="6"/>
        <v>73.542320971769001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12.500000000000002</v>
      </c>
      <c r="BD26" s="13">
        <f>IF('Données projet'!$A$88&gt;35,BD25+BC26-BL25,IF(A26&lt;'Données projet'!$A$88,$BA$205^A26,IF(A26='Données projet'!$A$88,'Données projet'!$B$88,BD25+BC26-BL25)))</f>
        <v>89.5</v>
      </c>
      <c r="BE26" s="14">
        <f>BD26*VLOOKUP('Données projet'!$B$11,Paramètres!$A$1:$I$89,3,0)*VLOOKUP('Données projet'!$B$11,Paramètres!$A$1:$I$89,5,0)</f>
        <v>72.602400000000003</v>
      </c>
      <c r="BF26" s="14">
        <f t="shared" si="37"/>
        <v>20.318345849739529</v>
      </c>
      <c r="BG26" s="22">
        <f t="shared" si="7"/>
        <v>161.83696568829635</v>
      </c>
      <c r="BH26" s="62">
        <f t="shared" si="8"/>
        <v>455.17029902162966</v>
      </c>
      <c r="BI26" s="62">
        <f ca="1">AVERAGE(OFFSET($BH$3,0,0,'Données projet'!$E$11+1,1))-AVERAGE(OFFSET($H$3,0,0,'Données projet'!$E$11+1,1))</f>
        <v>209.0958230411249</v>
      </c>
      <c r="BJ26" s="62">
        <f t="shared" si="38"/>
        <v>250.34919671671565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10.364102564102563</v>
      </c>
      <c r="BY26" s="13">
        <f>IF('Données projet'!$A$114&gt;35,BY25+BX26-CG25,IF(A26&lt;'Données projet'!$A$114,$BV$205^A26,IF(A26='Données projet'!$A$114,'Données projet'!$B$114,BY25+BX26-CG25)))</f>
        <v>72.323076923076925</v>
      </c>
      <c r="BZ26" s="14">
        <f>BY26*VLOOKUP('Données projet'!$B$12,Paramètres!$A$1:$I$89,3,0)*VLOOKUP('Données projet'!$B$12,Paramètres!$A$1:$I$89,5,0)</f>
        <v>46.257840000000002</v>
      </c>
      <c r="CA26" s="14">
        <f t="shared" si="39"/>
        <v>13.642998764215235</v>
      </c>
      <c r="CB26" s="22">
        <f t="shared" si="10"/>
        <v>104.3272941810082</v>
      </c>
      <c r="CC26" s="62">
        <f t="shared" si="11"/>
        <v>397.66062751434151</v>
      </c>
      <c r="CD26" s="62">
        <f ca="1">AVERAGE(OFFSET($CC$3,0,0,'Données projet'!$E$12+1,1))-AVERAGE(OFFSET($H$3,0,0,'Données projet'!$E$12+1,1))</f>
        <v>152.52712777621315</v>
      </c>
      <c r="CE26" s="62">
        <f t="shared" si="40"/>
        <v>145.25423263217925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9.6</v>
      </c>
      <c r="CT26" s="13">
        <f>IF('Données projet'!$A$140&gt;35,CT25+CS26-DB25,IF(A26&lt;'Données projet'!$A$140,$CQ$205^A26,IF(A26='Données projet'!$A$140,'Données projet'!$B$140,CT25+CS26-DB25)))</f>
        <v>133.79999999999998</v>
      </c>
      <c r="CU26" s="18">
        <f>CT26*VLOOKUP('Données projet'!$B$13,Paramètres!$A$1:$I$89,3,0)*VLOOKUP('Données projet'!$B$13,Paramètres!$A$1:$I$89,5,0)</f>
        <v>87.665759999999992</v>
      </c>
      <c r="CV26" s="14">
        <f t="shared" si="41"/>
        <v>24.001404420225327</v>
      </c>
      <c r="CW26" s="22">
        <f t="shared" si="13"/>
        <v>194.48697803189245</v>
      </c>
      <c r="CX26" s="62">
        <f t="shared" si="14"/>
        <v>487.82031136522573</v>
      </c>
      <c r="CY26" s="62">
        <f ca="1">AVERAGE(OFFSET($CX$3,0,0,'Données projet'!$E$13+1,1))-AVERAGE(OFFSET($H$3,0,0,'Données projet'!$E$13+1,1))</f>
        <v>158.23848664370132</v>
      </c>
      <c r="CZ26" s="62">
        <f t="shared" si="42"/>
        <v>172.92355799729972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2">
        <f t="shared" si="32"/>
        <v>6.7803256634538833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70">
        <f t="shared" si="1"/>
        <v>341.65888053051549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54.250560000000007</v>
      </c>
      <c r="P27" s="14">
        <f t="shared" si="33"/>
        <v>15.706218631166928</v>
      </c>
      <c r="Q27" s="22">
        <f t="shared" si="2"/>
        <v>121.84138944928242</v>
      </c>
      <c r="R27" s="62">
        <f t="shared" si="0"/>
        <v>415.17472278261573</v>
      </c>
      <c r="S27" s="62">
        <f ca="1">AVERAGE(OFFSET($R$3,0,0,'Données projet'!$E$9+1,1))-AVERAGE(OFFSET($H$3,0,0,'Données projet'!$E$9+1,1))</f>
        <v>223.49015613166239</v>
      </c>
      <c r="T27" s="62">
        <f t="shared" si="34"/>
        <v>136.15898308259307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97.899731390293653</v>
      </c>
      <c r="AO27" s="62">
        <f t="shared" si="36"/>
        <v>310.21833995692549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70.094990153058774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1.446258371227775</v>
      </c>
      <c r="AX27" s="23">
        <f t="shared" si="6"/>
        <v>71.541248524286544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12.500000000000002</v>
      </c>
      <c r="BD27" s="13">
        <f>IF('Données projet'!$A$88&gt;35,BD26+BC27-BL26,IF(A27&lt;'Données projet'!$A$88,$BA$205^A27,IF(A27='Données projet'!$A$88,'Données projet'!$B$88,BD26+BC27-BL26)))</f>
        <v>102</v>
      </c>
      <c r="BE27" s="14">
        <f>BD27*VLOOKUP('Données projet'!$B$11,Paramètres!$A$1:$I$89,3,0)*VLOOKUP('Données projet'!$B$11,Paramètres!$A$1:$I$89,5,0)</f>
        <v>82.742400000000004</v>
      </c>
      <c r="BF27" s="14">
        <f t="shared" si="37"/>
        <v>22.806394174303204</v>
      </c>
      <c r="BG27" s="22">
        <f t="shared" si="7"/>
        <v>183.83081652024475</v>
      </c>
      <c r="BH27" s="62">
        <f t="shared" si="8"/>
        <v>477.16414985357807</v>
      </c>
      <c r="BI27" s="62">
        <f ca="1">AVERAGE(OFFSET($BH$3,0,0,'Données projet'!$E$11+1,1))-AVERAGE(OFFSET($H$3,0,0,'Données projet'!$E$11+1,1))</f>
        <v>209.0958230411249</v>
      </c>
      <c r="BJ27" s="62">
        <f t="shared" si="38"/>
        <v>250.34919671671565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10.364102564102563</v>
      </c>
      <c r="BY27" s="13">
        <f>IF('Données projet'!$A$114&gt;35,BY26+BX27-CG26,IF(A27&lt;'Données projet'!$A$114,$BV$205^A27,IF(A27='Données projet'!$A$114,'Données projet'!$B$114,BY26+BX27-CG26)))</f>
        <v>82.687179487179492</v>
      </c>
      <c r="BZ27" s="14">
        <f>BY27*VLOOKUP('Données projet'!$B$12,Paramètres!$A$1:$I$89,3,0)*VLOOKUP('Données projet'!$B$12,Paramètres!$A$1:$I$89,5,0)</f>
        <v>52.886719999999997</v>
      </c>
      <c r="CA27" s="14">
        <f t="shared" si="39"/>
        <v>15.356814911684387</v>
      </c>
      <c r="CB27" s="22">
        <f t="shared" si="10"/>
        <v>118.85748997118363</v>
      </c>
      <c r="CC27" s="62">
        <f t="shared" si="11"/>
        <v>412.19082330451693</v>
      </c>
      <c r="CD27" s="62">
        <f ca="1">AVERAGE(OFFSET($CC$3,0,0,'Données projet'!$E$12+1,1))-AVERAGE(OFFSET($H$3,0,0,'Données projet'!$E$12+1,1))</f>
        <v>152.52712777621315</v>
      </c>
      <c r="CE27" s="62">
        <f t="shared" si="40"/>
        <v>145.25423263217925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9.6</v>
      </c>
      <c r="CT27" s="13">
        <f>IF('Données projet'!$A$140&gt;35,CT26+CS27-DB26,IF(A27&lt;'Données projet'!$A$140,$CQ$205^A27,IF(A27='Données projet'!$A$140,'Données projet'!$B$140,CT26+CS27-DB26)))</f>
        <v>143.39999999999998</v>
      </c>
      <c r="CU27" s="18">
        <f>CT27*VLOOKUP('Données projet'!$B$13,Paramètres!$A$1:$I$89,3,0)*VLOOKUP('Données projet'!$B$13,Paramètres!$A$1:$I$89,5,0)</f>
        <v>93.955679999999987</v>
      </c>
      <c r="CV27" s="14">
        <f t="shared" si="41"/>
        <v>25.516838392731955</v>
      </c>
      <c r="CW27" s="22">
        <f t="shared" si="13"/>
        <v>208.08130286734146</v>
      </c>
      <c r="CX27" s="62">
        <f t="shared" si="14"/>
        <v>501.41463620067475</v>
      </c>
      <c r="CY27" s="62">
        <f ca="1">AVERAGE(OFFSET($CX$3,0,0,'Données projet'!$E$13+1,1))-AVERAGE(OFFSET($H$3,0,0,'Données projet'!$E$13+1,1))</f>
        <v>158.23848664370132</v>
      </c>
      <c r="CZ27" s="62">
        <f t="shared" si="42"/>
        <v>172.92355799729972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2">
        <f t="shared" si="32"/>
        <v>7.0293584875852613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70">
        <f t="shared" si="1"/>
        <v>343.61413269921098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58.968000000000011</v>
      </c>
      <c r="P28" s="14">
        <f t="shared" si="33"/>
        <v>16.907084152971134</v>
      </c>
      <c r="Q28" s="22">
        <f t="shared" si="2"/>
        <v>132.14910489975807</v>
      </c>
      <c r="R28" s="62">
        <f t="shared" si="0"/>
        <v>425.48243823309139</v>
      </c>
      <c r="S28" s="62">
        <f ca="1">AVERAGE(OFFSET($R$3,0,0,'Données projet'!$E$9+1,1))-AVERAGE(OFFSET($H$3,0,0,'Données projet'!$E$9+1,1))</f>
        <v>223.49015613166239</v>
      </c>
      <c r="T28" s="62">
        <f t="shared" si="34"/>
        <v>136.15898308259307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97.899731390293653</v>
      </c>
      <c r="AO28" s="62">
        <f t="shared" si="36"/>
        <v>310.21833995692549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68.720470149879702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1.0226591016429709</v>
      </c>
      <c r="AX28" s="23">
        <f t="shared" si="6"/>
        <v>69.743129251522674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114.5</v>
      </c>
      <c r="BB28" s="13">
        <f>VLOOKUP(A28,'Données projet'!$A$87:$I$107,9,0)</f>
        <v>12.500000000000002</v>
      </c>
      <c r="BC28" s="13">
        <f t="array" ref="BC28">INDEX(BB:BB,MIN(IF(ISNUMBER(BB28:BB224),ROW(BB28:BB224),"")))</f>
        <v>12.500000000000002</v>
      </c>
      <c r="BD28" s="13">
        <f>IF('Données projet'!$A$88&gt;35,BD27+BC28-BL27,IF(A28&lt;'Données projet'!$A$88,$BA$205^A28,IF(A28='Données projet'!$A$88,'Données projet'!$B$88,BD27+BC28-BL27)))</f>
        <v>114.5</v>
      </c>
      <c r="BE28" s="14">
        <f>BD28*VLOOKUP('Données projet'!$B$11,Paramètres!$A$1:$I$89,3,0)*VLOOKUP('Données projet'!$B$11,Paramètres!$A$1:$I$89,5,0)</f>
        <v>92.882400000000004</v>
      </c>
      <c r="BF28" s="14">
        <f t="shared" si="37"/>
        <v>25.259109897273174</v>
      </c>
      <c r="BG28" s="22">
        <f t="shared" si="7"/>
        <v>205.76312973775077</v>
      </c>
      <c r="BH28" s="62">
        <f t="shared" si="8"/>
        <v>499.09646307108409</v>
      </c>
      <c r="BI28" s="62">
        <f ca="1">AVERAGE(OFFSET($BH$3,0,0,'Données projet'!$E$11+1,1))-AVERAGE(OFFSET($H$3,0,0,'Données projet'!$E$11+1,1))</f>
        <v>209.0958230411249</v>
      </c>
      <c r="BJ28" s="62">
        <f t="shared" si="38"/>
        <v>250.34919671671565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10.364102564102563</v>
      </c>
      <c r="BY28" s="13">
        <f>IF('Données projet'!$A$114&gt;35,BY27+BX28-CG27,IF(A28&lt;'Données projet'!$A$114,$BV$205^A28,IF(A28='Données projet'!$A$114,'Données projet'!$B$114,BY27+BX28-CG27)))</f>
        <v>93.051282051282058</v>
      </c>
      <c r="BZ28" s="14">
        <f>BY28*VLOOKUP('Données projet'!$B$12,Paramètres!$A$1:$I$89,3,0)*VLOOKUP('Données projet'!$B$12,Paramètres!$A$1:$I$89,5,0)</f>
        <v>59.515599999999999</v>
      </c>
      <c r="CA28" s="14">
        <f t="shared" si="39"/>
        <v>17.045739775375299</v>
      </c>
      <c r="CB28" s="22">
        <f t="shared" si="10"/>
        <v>133.34433344211197</v>
      </c>
      <c r="CC28" s="62">
        <f t="shared" si="11"/>
        <v>426.67766677544529</v>
      </c>
      <c r="CD28" s="62">
        <f ca="1">AVERAGE(OFFSET($CC$3,0,0,'Données projet'!$E$12+1,1))-AVERAGE(OFFSET($H$3,0,0,'Données projet'!$E$12+1,1))</f>
        <v>152.52712777621315</v>
      </c>
      <c r="CE28" s="62">
        <f t="shared" si="40"/>
        <v>145.25423263217925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153</v>
      </c>
      <c r="CR28" s="13">
        <f>VLOOKUP(A28,'Données projet'!$A$139:$I$159,9,0)</f>
        <v>9.6</v>
      </c>
      <c r="CS28" s="13">
        <f t="array" ref="CS28">INDEX(CR:CR,MIN(IF(ISNUMBER(CR28:CR224),ROW(CR28:CR224),"")))</f>
        <v>9.6</v>
      </c>
      <c r="CT28" s="13">
        <f>IF('Données projet'!$A$140&gt;35,CT27+CS28-DB27,IF(A28&lt;'Données projet'!$A$140,$CQ$205^A28,IF(A28='Données projet'!$A$140,'Données projet'!$B$140,CT27+CS28-DB27)))</f>
        <v>152.99999999999997</v>
      </c>
      <c r="CU28" s="18">
        <f>CT28*VLOOKUP('Données projet'!$B$13,Paramètres!$A$1:$I$89,3,0)*VLOOKUP('Données projet'!$B$13,Paramètres!$A$1:$I$89,5,0)</f>
        <v>100.2456</v>
      </c>
      <c r="CV28" s="14">
        <f t="shared" si="41"/>
        <v>27.020500005754936</v>
      </c>
      <c r="CW28" s="22">
        <f t="shared" si="13"/>
        <v>221.65512417668984</v>
      </c>
      <c r="CX28" s="62">
        <f t="shared" si="14"/>
        <v>514.98845751002318</v>
      </c>
      <c r="CY28" s="62">
        <f ca="1">AVERAGE(OFFSET($CX$3,0,0,'Données projet'!$E$13+1,1))-AVERAGE(OFFSET($H$3,0,0,'Données projet'!$E$13+1,1))</f>
        <v>158.23848664370132</v>
      </c>
      <c r="CZ28" s="62">
        <f t="shared" si="42"/>
        <v>172.92355799729972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2">
        <f t="shared" si="32"/>
        <v>7.2772341841187966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70">
        <f t="shared" si="1"/>
        <v>345.5673695373402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64.864800000000017</v>
      </c>
      <c r="P29" s="14">
        <f t="shared" si="33"/>
        <v>18.392606985756636</v>
      </c>
      <c r="Q29" s="22">
        <f t="shared" si="2"/>
        <v>145.00665050019282</v>
      </c>
      <c r="R29" s="62">
        <f t="shared" si="0"/>
        <v>438.33998383352616</v>
      </c>
      <c r="S29" s="62">
        <f ca="1">AVERAGE(OFFSET($R$3,0,0,'Données projet'!$E$9+1,1))-AVERAGE(OFFSET($H$3,0,0,'Données projet'!$E$9+1,1))</f>
        <v>223.49015613166239</v>
      </c>
      <c r="T29" s="62">
        <f t="shared" si="34"/>
        <v>136.15898308259307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97.899731390293653</v>
      </c>
      <c r="AO29" s="62">
        <f t="shared" si="36"/>
        <v>310.21833995692549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67.372903645588551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0.7231291856138875</v>
      </c>
      <c r="AX29" s="23">
        <f t="shared" si="6"/>
        <v>68.096032831202436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126.5</v>
      </c>
      <c r="BE29" s="14">
        <f>BD29*VLOOKUP('Données projet'!$B$11,Paramètres!$A$1:$I$89,3,0)*VLOOKUP('Données projet'!$B$11,Paramètres!$A$1:$I$89,5,0)</f>
        <v>102.61680000000001</v>
      </c>
      <c r="BF29" s="14">
        <f t="shared" si="37"/>
        <v>27.584473733936797</v>
      </c>
      <c r="BG29" s="22">
        <f t="shared" si="7"/>
        <v>226.76721841993992</v>
      </c>
      <c r="BH29" s="62">
        <f t="shared" si="8"/>
        <v>520.10055175327329</v>
      </c>
      <c r="BI29" s="62">
        <f ca="1">AVERAGE(OFFSET($BH$3,0,0,'Données projet'!$E$11+1,1))-AVERAGE(OFFSET($H$3,0,0,'Données projet'!$E$11+1,1))</f>
        <v>209.0958230411249</v>
      </c>
      <c r="BJ29" s="62">
        <f t="shared" si="38"/>
        <v>250.34919671671565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10.364102564102563</v>
      </c>
      <c r="BY29" s="13">
        <f>IF('Données projet'!$A$114&gt;35,BY28+BX29-CG28,IF(A29&lt;'Données projet'!$A$114,$BV$205^A29,IF(A29='Données projet'!$A$114,'Données projet'!$B$114,BY28+BX29-CG28)))</f>
        <v>103.41538461538462</v>
      </c>
      <c r="BZ29" s="14">
        <f>BY29*VLOOKUP('Données projet'!$B$12,Paramètres!$A$1:$I$89,3,0)*VLOOKUP('Données projet'!$B$12,Paramètres!$A$1:$I$89,5,0)</f>
        <v>66.144480000000001</v>
      </c>
      <c r="CA29" s="14">
        <f t="shared" si="39"/>
        <v>18.712862033539796</v>
      </c>
      <c r="CB29" s="22">
        <f t="shared" si="10"/>
        <v>147.79320404174845</v>
      </c>
      <c r="CC29" s="62">
        <f t="shared" si="11"/>
        <v>441.12653737508174</v>
      </c>
      <c r="CD29" s="62">
        <f ca="1">AVERAGE(OFFSET($CC$3,0,0,'Données projet'!$E$12+1,1))-AVERAGE(OFFSET($H$3,0,0,'Données projet'!$E$12+1,1))</f>
        <v>152.52712777621315</v>
      </c>
      <c r="CE29" s="62">
        <f t="shared" si="40"/>
        <v>145.25423263217925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8.8000000000000007</v>
      </c>
      <c r="CT29" s="13">
        <f>IF('Données projet'!$A$140&gt;35,CT28+CS29-DB28,IF(A29&lt;'Données projet'!$A$140,$CQ$205^A29,IF(A29='Données projet'!$A$140,'Données projet'!$B$140,CT28+CS29-DB28)))</f>
        <v>125.79999999999998</v>
      </c>
      <c r="CU29" s="18">
        <f>CT29*VLOOKUP('Données projet'!$B$13,Paramètres!$A$1:$I$89,3,0)*VLOOKUP('Données projet'!$B$13,Paramètres!$A$1:$I$89,5,0)</f>
        <v>82.424159999999986</v>
      </c>
      <c r="CV29" s="14">
        <f t="shared" si="41"/>
        <v>22.728870146421784</v>
      </c>
      <c r="CW29" s="22">
        <f t="shared" si="13"/>
        <v>183.14152750501788</v>
      </c>
      <c r="CX29" s="62">
        <f t="shared" si="14"/>
        <v>476.47486083835122</v>
      </c>
      <c r="CY29" s="62">
        <f ca="1">AVERAGE(OFFSET($CX$3,0,0,'Données projet'!$E$13+1,1))-AVERAGE(OFFSET($H$3,0,0,'Données projet'!$E$13+1,1))</f>
        <v>158.23848664370132</v>
      </c>
      <c r="CZ29" s="62">
        <f t="shared" si="42"/>
        <v>172.92355799729972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2">
        <f t="shared" si="32"/>
        <v>7.5240023521814967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70">
        <f t="shared" si="1"/>
        <v>347.51867743004942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70.761600000000001</v>
      </c>
      <c r="P30" s="14">
        <f t="shared" si="33"/>
        <v>19.862470414169767</v>
      </c>
      <c r="Q30" s="22">
        <f t="shared" si="2"/>
        <v>157.83692263801234</v>
      </c>
      <c r="R30" s="62">
        <f t="shared" si="0"/>
        <v>451.17025597134568</v>
      </c>
      <c r="S30" s="62">
        <f ca="1">AVERAGE(OFFSET($R$3,0,0,'Données projet'!$E$9+1,1))-AVERAGE(OFFSET($H$3,0,0,'Données projet'!$E$9+1,1))</f>
        <v>223.49015613166239</v>
      </c>
      <c r="T30" s="62">
        <f t="shared" si="34"/>
        <v>136.15898308259307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97.899731390293653</v>
      </c>
      <c r="AO30" s="62">
        <f t="shared" si="36"/>
        <v>310.21833995692549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66.051762098512143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0.51132955082148546</v>
      </c>
      <c r="AX30" s="23">
        <f t="shared" si="6"/>
        <v>66.563091649333629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138.5</v>
      </c>
      <c r="BE30" s="14">
        <f>BD30*VLOOKUP('Données projet'!$B$11,Paramètres!$A$1:$I$89,3,0)*VLOOKUP('Données projet'!$B$11,Paramètres!$A$1:$I$89,5,0)</f>
        <v>112.35119999999999</v>
      </c>
      <c r="BF30" s="14">
        <f t="shared" si="37"/>
        <v>29.884261924752163</v>
      </c>
      <c r="BG30" s="22">
        <f t="shared" si="7"/>
        <v>247.72676285227666</v>
      </c>
      <c r="BH30" s="62">
        <f t="shared" si="8"/>
        <v>541.06009618560995</v>
      </c>
      <c r="BI30" s="62">
        <f ca="1">AVERAGE(OFFSET($BH$3,0,0,'Données projet'!$E$11+1,1))-AVERAGE(OFFSET($H$3,0,0,'Données projet'!$E$11+1,1))</f>
        <v>209.0958230411249</v>
      </c>
      <c r="BJ30" s="62">
        <f t="shared" si="38"/>
        <v>250.34919671671565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10.364102564102563</v>
      </c>
      <c r="BY30" s="13">
        <f>IF('Données projet'!$A$114&gt;35,BY29+BX30-CG29,IF(A30&lt;'Données projet'!$A$114,$BV$205^A30,IF(A30='Données projet'!$A$114,'Données projet'!$B$114,BY29+BX30-CG29)))</f>
        <v>113.77948717948719</v>
      </c>
      <c r="BZ30" s="14">
        <f>BY30*VLOOKUP('Données projet'!$B$12,Paramètres!$A$1:$I$89,3,0)*VLOOKUP('Données projet'!$B$12,Paramètres!$A$1:$I$89,5,0)</f>
        <v>72.773359999999997</v>
      </c>
      <c r="CA30" s="14">
        <f t="shared" si="39"/>
        <v>20.360615447700589</v>
      </c>
      <c r="CB30" s="22">
        <f t="shared" si="10"/>
        <v>162.20834057141184</v>
      </c>
      <c r="CC30" s="62">
        <f t="shared" si="11"/>
        <v>455.54167390474515</v>
      </c>
      <c r="CD30" s="62">
        <f ca="1">AVERAGE(OFFSET($CC$3,0,0,'Données projet'!$E$12+1,1))-AVERAGE(OFFSET($H$3,0,0,'Données projet'!$E$12+1,1))</f>
        <v>152.52712777621315</v>
      </c>
      <c r="CE30" s="62">
        <f t="shared" si="40"/>
        <v>145.25423263217925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8.8000000000000007</v>
      </c>
      <c r="CT30" s="13">
        <f>IF('Données projet'!$A$140&gt;35,CT29+CS30-DB29,IF(A30&lt;'Données projet'!$A$140,$CQ$205^A30,IF(A30='Données projet'!$A$140,'Données projet'!$B$140,CT29+CS30-DB29)))</f>
        <v>134.6</v>
      </c>
      <c r="CU30" s="18">
        <f>CT30*VLOOKUP('Données projet'!$B$13,Paramètres!$A$1:$I$89,3,0)*VLOOKUP('Données projet'!$B$13,Paramètres!$A$1:$I$89,5,0)</f>
        <v>88.189920000000001</v>
      </c>
      <c r="CV30" s="14">
        <f t="shared" si="41"/>
        <v>24.128162431798632</v>
      </c>
      <c r="CW30" s="22">
        <f t="shared" si="13"/>
        <v>195.62066023538262</v>
      </c>
      <c r="CX30" s="62">
        <f t="shared" si="14"/>
        <v>488.95399356871593</v>
      </c>
      <c r="CY30" s="62">
        <f ca="1">AVERAGE(OFFSET($CX$3,0,0,'Données projet'!$E$13+1,1))-AVERAGE(OFFSET($H$3,0,0,'Données projet'!$E$13+1,1))</f>
        <v>158.23848664370132</v>
      </c>
      <c r="CZ30" s="62">
        <f t="shared" si="42"/>
        <v>172.92355799729972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2">
        <f t="shared" si="32"/>
        <v>7.7697087087225771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70">
        <f t="shared" si="1"/>
        <v>349.46813600102513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76.6584</v>
      </c>
      <c r="P31" s="14">
        <f t="shared" si="33"/>
        <v>21.318127749842347</v>
      </c>
      <c r="Q31" s="22">
        <f t="shared" si="2"/>
        <v>170.6424524976421</v>
      </c>
      <c r="R31" s="62">
        <f t="shared" si="0"/>
        <v>463.97578583097538</v>
      </c>
      <c r="S31" s="62">
        <f ca="1">AVERAGE(OFFSET($R$3,0,0,'Données projet'!$E$9+1,1))-AVERAGE(OFFSET($H$3,0,0,'Données projet'!$E$9+1,1))</f>
        <v>223.49015613166239</v>
      </c>
      <c r="T31" s="62">
        <f t="shared" si="34"/>
        <v>136.15898308259307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97.899731390293653</v>
      </c>
      <c r="AO31" s="62">
        <f t="shared" si="36"/>
        <v>310.21833995692549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64.756527331357134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0.36156459280694375</v>
      </c>
      <c r="AX31" s="23">
        <f t="shared" si="6"/>
        <v>65.118091924164077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150.5</v>
      </c>
      <c r="BE31" s="14">
        <f>BD31*VLOOKUP('Données projet'!$B$11,Paramètres!$A$1:$I$89,3,0)*VLOOKUP('Données projet'!$B$11,Paramètres!$A$1:$I$89,5,0)</f>
        <v>122.08560000000001</v>
      </c>
      <c r="BF31" s="14">
        <f t="shared" si="37"/>
        <v>32.160942364346717</v>
      </c>
      <c r="BG31" s="22">
        <f t="shared" si="7"/>
        <v>268.64606128457058</v>
      </c>
      <c r="BH31" s="62">
        <f t="shared" si="8"/>
        <v>561.97939461790384</v>
      </c>
      <c r="BI31" s="62">
        <f ca="1">AVERAGE(OFFSET($BH$3,0,0,'Données projet'!$E$11+1,1))-AVERAGE(OFFSET($H$3,0,0,'Données projet'!$E$11+1,1))</f>
        <v>209.0958230411249</v>
      </c>
      <c r="BJ31" s="62">
        <f t="shared" si="38"/>
        <v>250.34919671671565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10.364102564102563</v>
      </c>
      <c r="BY31" s="13">
        <f>IF('Données projet'!$A$114&gt;35,BY30+BX31-CG30,IF(A31&lt;'Données projet'!$A$114,$BV$205^A31,IF(A31='Données projet'!$A$114,'Données projet'!$B$114,BY30+BX31-CG30)))</f>
        <v>124.14358974358976</v>
      </c>
      <c r="BZ31" s="14">
        <f>BY31*VLOOKUP('Données projet'!$B$12,Paramètres!$A$1:$I$89,3,0)*VLOOKUP('Données projet'!$B$12,Paramètres!$A$1:$I$89,5,0)</f>
        <v>79.402240000000006</v>
      </c>
      <c r="CA31" s="14">
        <f t="shared" si="39"/>
        <v>21.990964964984617</v>
      </c>
      <c r="CB31" s="22">
        <f t="shared" si="10"/>
        <v>176.59316531401487</v>
      </c>
      <c r="CC31" s="62">
        <f t="shared" si="11"/>
        <v>469.92649864734818</v>
      </c>
      <c r="CD31" s="62">
        <f ca="1">AVERAGE(OFFSET($CC$3,0,0,'Données projet'!$E$12+1,1))-AVERAGE(OFFSET($H$3,0,0,'Données projet'!$E$12+1,1))</f>
        <v>152.52712777621315</v>
      </c>
      <c r="CE31" s="62">
        <f t="shared" si="40"/>
        <v>145.25423263217925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8.8000000000000007</v>
      </c>
      <c r="CT31" s="13">
        <f>IF('Données projet'!$A$140&gt;35,CT30+CS31-DB30,IF(A31&lt;'Données projet'!$A$140,$CQ$205^A31,IF(A31='Données projet'!$A$140,'Données projet'!$B$140,CT30+CS31-DB30)))</f>
        <v>143.4</v>
      </c>
      <c r="CU31" s="18">
        <f>CT31*VLOOKUP('Données projet'!$B$13,Paramètres!$A$1:$I$89,3,0)*VLOOKUP('Données projet'!$B$13,Paramètres!$A$1:$I$89,5,0)</f>
        <v>93.955680000000001</v>
      </c>
      <c r="CV31" s="14">
        <f t="shared" si="41"/>
        <v>25.516838392731955</v>
      </c>
      <c r="CW31" s="22">
        <f t="shared" si="13"/>
        <v>208.08130286734149</v>
      </c>
      <c r="CX31" s="62">
        <f t="shared" si="14"/>
        <v>501.41463620067481</v>
      </c>
      <c r="CY31" s="62">
        <f ca="1">AVERAGE(OFFSET($CX$3,0,0,'Données projet'!$E$13+1,1))-AVERAGE(OFFSET($H$3,0,0,'Données projet'!$E$13+1,1))</f>
        <v>158.23848664370132</v>
      </c>
      <c r="CZ31" s="62">
        <f t="shared" si="42"/>
        <v>172.92355799729972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2">
        <f t="shared" si="32"/>
        <v>8.0143955200794537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70">
        <f t="shared" si="1"/>
        <v>351.41581886413837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82.555199999999999</v>
      </c>
      <c r="P32" s="14">
        <f t="shared" si="33"/>
        <v>22.760796016854769</v>
      </c>
      <c r="Q32" s="22">
        <f t="shared" si="2"/>
        <v>183.42535972935536</v>
      </c>
      <c r="R32" s="62">
        <f t="shared" si="0"/>
        <v>476.75869306268868</v>
      </c>
      <c r="S32" s="62">
        <f ca="1">AVERAGE(OFFSET($R$3,0,0,'Données projet'!$E$9+1,1))-AVERAGE(OFFSET($H$3,0,0,'Données projet'!$E$9+1,1))</f>
        <v>223.49015613166239</v>
      </c>
      <c r="T32" s="62">
        <f t="shared" si="34"/>
        <v>136.15898308259307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97.899731390293653</v>
      </c>
      <c r="AO32" s="62">
        <f t="shared" si="36"/>
        <v>310.21833995692549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63.486691327970831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0.25566477541074273</v>
      </c>
      <c r="AX32" s="23">
        <f t="shared" si="6"/>
        <v>63.742356103381574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162.5</v>
      </c>
      <c r="BE32" s="14">
        <f>BD32*VLOOKUP('Données projet'!$B$11,Paramètres!$A$1:$I$89,3,0)*VLOOKUP('Données projet'!$B$11,Paramètres!$A$1:$I$89,5,0)</f>
        <v>131.82</v>
      </c>
      <c r="BF32" s="14">
        <f t="shared" si="37"/>
        <v>34.416567004983904</v>
      </c>
      <c r="BG32" s="22">
        <f t="shared" si="7"/>
        <v>289.52868753368028</v>
      </c>
      <c r="BH32" s="62">
        <f t="shared" si="8"/>
        <v>582.8620208670136</v>
      </c>
      <c r="BI32" s="62">
        <f ca="1">AVERAGE(OFFSET($BH$3,0,0,'Données projet'!$E$11+1,1))-AVERAGE(OFFSET($H$3,0,0,'Données projet'!$E$11+1,1))</f>
        <v>209.0958230411249</v>
      </c>
      <c r="BJ32" s="62">
        <f t="shared" si="38"/>
        <v>250.34919671671565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10.364102564102563</v>
      </c>
      <c r="BY32" s="13">
        <f>IF('Données projet'!$A$114&gt;35,BY31+BX32-CG31,IF(A32&lt;'Données projet'!$A$114,$BV$205^A32,IF(A32='Données projet'!$A$114,'Données projet'!$B$114,BY31+BX32-CG31)))</f>
        <v>134.50769230769231</v>
      </c>
      <c r="BZ32" s="14">
        <f>BY32*VLOOKUP('Données projet'!$B$12,Paramètres!$A$1:$I$89,3,0)*VLOOKUP('Données projet'!$B$12,Paramètres!$A$1:$I$89,5,0)</f>
        <v>86.031120000000001</v>
      </c>
      <c r="CA32" s="14">
        <f t="shared" si="39"/>
        <v>23.605528735299998</v>
      </c>
      <c r="CB32" s="22">
        <f t="shared" si="10"/>
        <v>190.95049654731417</v>
      </c>
      <c r="CC32" s="62">
        <f t="shared" si="11"/>
        <v>484.28382988064749</v>
      </c>
      <c r="CD32" s="62">
        <f ca="1">AVERAGE(OFFSET($CC$3,0,0,'Données projet'!$E$12+1,1))-AVERAGE(OFFSET($H$3,0,0,'Données projet'!$E$12+1,1))</f>
        <v>152.52712777621315</v>
      </c>
      <c r="CE32" s="62">
        <f t="shared" si="40"/>
        <v>145.25423263217925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8.8000000000000007</v>
      </c>
      <c r="CT32" s="13">
        <f>IF('Données projet'!$A$140&gt;35,CT31+CS32-DB31,IF(A32&lt;'Données projet'!$A$140,$CQ$205^A32,IF(A32='Données projet'!$A$140,'Données projet'!$B$140,CT31+CS32-DB31)))</f>
        <v>152.20000000000002</v>
      </c>
      <c r="CU32" s="18">
        <f>CT32*VLOOKUP('Données projet'!$B$13,Paramètres!$A$1:$I$89,3,0)*VLOOKUP('Données projet'!$B$13,Paramètres!$A$1:$I$89,5,0)</f>
        <v>99.721440000000015</v>
      </c>
      <c r="CV32" s="14">
        <f t="shared" si="41"/>
        <v>26.895623699520389</v>
      </c>
      <c r="CW32" s="22">
        <f t="shared" si="13"/>
        <v>220.52471927666468</v>
      </c>
      <c r="CX32" s="62">
        <f t="shared" si="14"/>
        <v>513.85805260999803</v>
      </c>
      <c r="CY32" s="62">
        <f ca="1">AVERAGE(OFFSET($CX$3,0,0,'Données projet'!$E$13+1,1))-AVERAGE(OFFSET($H$3,0,0,'Données projet'!$E$13+1,1))</f>
        <v>158.23848664370132</v>
      </c>
      <c r="CZ32" s="62">
        <f t="shared" si="42"/>
        <v>172.92355799729972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2">
        <f t="shared" si="32"/>
        <v>8.258101972345095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70">
        <f t="shared" si="1"/>
        <v>353.361794268501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88.452000000000012</v>
      </c>
      <c r="P33" s="14">
        <f t="shared" si="33"/>
        <v>24.191508526943956</v>
      </c>
      <c r="Q33" s="22">
        <f t="shared" si="2"/>
        <v>196.18744401776075</v>
      </c>
      <c r="R33" s="62">
        <f t="shared" si="0"/>
        <v>489.52077735109407</v>
      </c>
      <c r="S33" s="62">
        <f ca="1">AVERAGE(OFFSET($R$3,0,0,'Données projet'!$E$9+1,1))-AVERAGE(OFFSET($H$3,0,0,'Données projet'!$E$9+1,1))</f>
        <v>223.49015613166239</v>
      </c>
      <c r="T33" s="62">
        <f t="shared" si="34"/>
        <v>136.15898308259307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97.899731390293653</v>
      </c>
      <c r="AO33" s="62">
        <f t="shared" si="36"/>
        <v>310.21833995692549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62.241756034087452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0.18078229640347188</v>
      </c>
      <c r="AX33" s="23">
        <f t="shared" si="6"/>
        <v>62.422538330490923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174.5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174.5</v>
      </c>
      <c r="BE33" s="14">
        <f>BD33*VLOOKUP('Données projet'!$B$11,Paramètres!$A$1:$I$89,3,0)*VLOOKUP('Données projet'!$B$11,Paramètres!$A$1:$I$89,5,0)</f>
        <v>141.55440000000002</v>
      </c>
      <c r="BF33" s="14">
        <f t="shared" si="37"/>
        <v>36.652867551320576</v>
      </c>
      <c r="BG33" s="22">
        <f t="shared" si="7"/>
        <v>310.37765765188334</v>
      </c>
      <c r="BH33" s="62">
        <f t="shared" si="8"/>
        <v>603.71099098521665</v>
      </c>
      <c r="BI33" s="62">
        <f ca="1">AVERAGE(OFFSET($BH$3,0,0,'Données projet'!$E$11+1,1))-AVERAGE(OFFSET($H$3,0,0,'Données projet'!$E$11+1,1))</f>
        <v>209.0958230411249</v>
      </c>
      <c r="BJ33" s="62">
        <f t="shared" si="38"/>
        <v>250.34919671671565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144.87179487179486</v>
      </c>
      <c r="BW33" s="13">
        <f>VLOOKUP(A33,'Données projet'!$A$113:$I$133,9,0)</f>
        <v>10.364102564102563</v>
      </c>
      <c r="BX33" s="13">
        <f t="array" ref="BX33">INDEX(BW:BW,MIN(IF(ISNUMBER(BW33:BW229),ROW(BW33:BW229),"")))</f>
        <v>10.364102564102563</v>
      </c>
      <c r="BY33" s="13">
        <f>IF('Données projet'!$A$114&gt;35,BY32+BX33-CG32,IF(A33&lt;'Données projet'!$A$114,$BV$205^A33,IF(A33='Données projet'!$A$114,'Données projet'!$B$114,BY32+BX33-CG32)))</f>
        <v>144.87179487179486</v>
      </c>
      <c r="BZ33" s="14">
        <f>BY33*VLOOKUP('Données projet'!$B$12,Paramètres!$A$1:$I$89,3,0)*VLOOKUP('Données projet'!$B$12,Paramètres!$A$1:$I$89,5,0)</f>
        <v>92.66</v>
      </c>
      <c r="CA33" s="14">
        <f t="shared" si="39"/>
        <v>25.205661378381041</v>
      </c>
      <c r="CB33" s="22">
        <f t="shared" si="10"/>
        <v>205.28269356734697</v>
      </c>
      <c r="CC33" s="62">
        <f t="shared" si="11"/>
        <v>498.61602690068025</v>
      </c>
      <c r="CD33" s="62">
        <f ca="1">AVERAGE(OFFSET($CC$3,0,0,'Données projet'!$E$12+1,1))-AVERAGE(OFFSET($H$3,0,0,'Données projet'!$E$12+1,1))</f>
        <v>152.52712777621315</v>
      </c>
      <c r="CE33" s="62">
        <f t="shared" si="40"/>
        <v>145.25423263217925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161</v>
      </c>
      <c r="CR33" s="13">
        <f>VLOOKUP(A33,'Données projet'!$A$139:$I$159,9,0)</f>
        <v>8.8000000000000007</v>
      </c>
      <c r="CS33" s="13">
        <f t="array" ref="CS33">INDEX(CR:CR,MIN(IF(ISNUMBER(CR33:CR229),ROW(CR33:CR229),"")))</f>
        <v>8.8000000000000007</v>
      </c>
      <c r="CT33" s="13">
        <f>IF('Données projet'!$A$140&gt;35,CT32+CS33-DB32,IF(A33&lt;'Données projet'!$A$140,$CQ$205^A33,IF(A33='Données projet'!$A$140,'Données projet'!$B$140,CT32+CS33-DB32)))</f>
        <v>161.00000000000003</v>
      </c>
      <c r="CU33" s="18">
        <f>CT33*VLOOKUP('Données projet'!$B$13,Paramètres!$A$1:$I$89,3,0)*VLOOKUP('Données projet'!$B$13,Paramètres!$A$1:$I$89,5,0)</f>
        <v>105.48720000000002</v>
      </c>
      <c r="CV33" s="14">
        <f t="shared" si="41"/>
        <v>28.265155367923839</v>
      </c>
      <c r="CW33" s="22">
        <f t="shared" si="13"/>
        <v>232.95201893246738</v>
      </c>
      <c r="CX33" s="62">
        <f t="shared" si="14"/>
        <v>526.28535226580073</v>
      </c>
      <c r="CY33" s="62">
        <f ca="1">AVERAGE(OFFSET($CX$3,0,0,'Données projet'!$E$13+1,1))-AVERAGE(OFFSET($H$3,0,0,'Données projet'!$E$13+1,1))</f>
        <v>158.23848664370132</v>
      </c>
      <c r="CZ33" s="62">
        <f t="shared" si="42"/>
        <v>172.92355799729972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2">
        <f t="shared" si="32"/>
        <v>8.5008644909657693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70">
        <f t="shared" si="1"/>
        <v>355.3061256550987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70.761600000000001</v>
      </c>
      <c r="P34" s="14">
        <f t="shared" si="33"/>
        <v>19.862470414169767</v>
      </c>
      <c r="Q34" s="22">
        <f t="shared" si="2"/>
        <v>157.83692263801234</v>
      </c>
      <c r="R34" s="62">
        <f t="shared" si="0"/>
        <v>451.17025597134568</v>
      </c>
      <c r="S34" s="62">
        <f ca="1">AVERAGE(OFFSET($R$3,0,0,'Données projet'!$E$9+1,1))-AVERAGE(OFFSET($H$3,0,0,'Données projet'!$E$9+1,1))</f>
        <v>223.49015613166239</v>
      </c>
      <c r="T34" s="62">
        <f t="shared" si="34"/>
        <v>136.15898308259307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97.899731390293653</v>
      </c>
      <c r="AO34" s="62">
        <f t="shared" si="36"/>
        <v>310.21833995692549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61.02123316198157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0.12783238770537136</v>
      </c>
      <c r="AX34" s="23">
        <f t="shared" si="6"/>
        <v>61.149065549686938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129.28</v>
      </c>
      <c r="BE34" s="14">
        <f>BD34*VLOOKUP('Données projet'!$B$11,Paramètres!$A$1:$I$89,3,0)*VLOOKUP('Données projet'!$B$11,Paramètres!$A$1:$I$89,5,0)</f>
        <v>104.87193600000001</v>
      </c>
      <c r="BF34" s="14">
        <f t="shared" si="37"/>
        <v>28.119436246466876</v>
      </c>
      <c r="BG34" s="22">
        <f t="shared" si="7"/>
        <v>231.62663999592982</v>
      </c>
      <c r="BH34" s="62">
        <f t="shared" si="8"/>
        <v>524.95997332926311</v>
      </c>
      <c r="BI34" s="62">
        <f ca="1">AVERAGE(OFFSET($BH$3,0,0,'Données projet'!$E$11+1,1))-AVERAGE(OFFSET($H$3,0,0,'Données projet'!$E$11+1,1))</f>
        <v>209.0958230411249</v>
      </c>
      <c r="BJ34" s="62">
        <f t="shared" si="38"/>
        <v>250.34919671671565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7.9487179487179507</v>
      </c>
      <c r="BY34" s="13">
        <f>IF('Données projet'!$A$114&gt;35,BY33+BX34-CG33,IF(A34&lt;'Données projet'!$A$114,$BV$205^A34,IF(A34='Données projet'!$A$114,'Données projet'!$B$114,BY33+BX34-CG33)))</f>
        <v>152.82051282051282</v>
      </c>
      <c r="BZ34" s="14">
        <f>BY34*VLOOKUP('Données projet'!$B$12,Paramètres!$A$1:$I$89,3,0)*VLOOKUP('Données projet'!$B$12,Paramètres!$A$1:$I$89,5,0)</f>
        <v>97.744</v>
      </c>
      <c r="CA34" s="14">
        <f t="shared" si="39"/>
        <v>26.423824979823074</v>
      </c>
      <c r="CB34" s="22">
        <f t="shared" si="10"/>
        <v>216.25896183985853</v>
      </c>
      <c r="CC34" s="62">
        <f t="shared" si="11"/>
        <v>509.59229517319181</v>
      </c>
      <c r="CD34" s="62">
        <f ca="1">AVERAGE(OFFSET($CC$3,0,0,'Données projet'!$E$12+1,1))-AVERAGE(OFFSET($H$3,0,0,'Données projet'!$E$12+1,1))</f>
        <v>152.52712777621315</v>
      </c>
      <c r="CE34" s="62">
        <f t="shared" si="40"/>
        <v>145.25423263217925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8.6</v>
      </c>
      <c r="CT34" s="13">
        <f>IF('Données projet'!$A$140&gt;35,CT33+CS34-DB33,IF(A34&lt;'Données projet'!$A$140,$CQ$205^A34,IF(A34='Données projet'!$A$140,'Données projet'!$B$140,CT33+CS34-DB33)))</f>
        <v>169.60000000000002</v>
      </c>
      <c r="CU34" s="18">
        <f>CT34*VLOOKUP('Données projet'!$B$13,Paramètres!$A$1:$I$89,3,0)*VLOOKUP('Données projet'!$B$13,Paramètres!$A$1:$I$89,5,0)</f>
        <v>111.12192000000003</v>
      </c>
      <c r="CV34" s="14">
        <f t="shared" si="41"/>
        <v>29.595161360044589</v>
      </c>
      <c r="CW34" s="22">
        <f t="shared" si="13"/>
        <v>245.08225003541108</v>
      </c>
      <c r="CX34" s="62">
        <f t="shared" si="14"/>
        <v>538.41558336874436</v>
      </c>
      <c r="CY34" s="62">
        <f ca="1">AVERAGE(OFFSET($CX$3,0,0,'Données projet'!$E$13+1,1))-AVERAGE(OFFSET($H$3,0,0,'Données projet'!$E$13+1,1))</f>
        <v>158.23848664370132</v>
      </c>
      <c r="CZ34" s="62">
        <f t="shared" si="42"/>
        <v>172.92355799729972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2">
        <f t="shared" si="32"/>
        <v>8.7427170179419935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70">
        <f t="shared" si="1"/>
        <v>357.24887213958226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77.500800000000012</v>
      </c>
      <c r="P35" s="14">
        <f t="shared" si="33"/>
        <v>21.524992579009275</v>
      </c>
      <c r="Q35" s="22">
        <f t="shared" ref="Q35:Q66" si="53">(O35+P35)*0.475*44/12</f>
        <v>172.46992207510786</v>
      </c>
      <c r="R35" s="62">
        <f t="shared" si="0"/>
        <v>465.80325540844115</v>
      </c>
      <c r="S35" s="62">
        <f ca="1">AVERAGE(OFFSET($R$3,0,0,'Données projet'!$E$9+1,1))-AVERAGE(OFFSET($H$3,0,0,'Données projet'!$E$9+1,1))</f>
        <v>223.49015613166239</v>
      </c>
      <c r="T35" s="62">
        <f t="shared" si="34"/>
        <v>136.15898308259307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97.899731390293653</v>
      </c>
      <c r="AO35" s="62">
        <f t="shared" si="36"/>
        <v>310.21833995692549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59.82464399895224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9.0391148201735938E-2</v>
      </c>
      <c r="AX35" s="23">
        <f t="shared" si="6"/>
        <v>59.915035147153979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140.06</v>
      </c>
      <c r="BE35" s="14">
        <f>BD35*VLOOKUP('Données projet'!$B$11,Paramètres!$A$1:$I$89,3,0)*VLOOKUP('Données projet'!$B$11,Paramètres!$A$1:$I$89,5,0)</f>
        <v>113.61667200000002</v>
      </c>
      <c r="BF35" s="14">
        <f t="shared" si="37"/>
        <v>30.181489749770275</v>
      </c>
      <c r="BG35" s="22">
        <f t="shared" si="7"/>
        <v>250.44846504751658</v>
      </c>
      <c r="BH35" s="62">
        <f t="shared" si="8"/>
        <v>543.78179838084986</v>
      </c>
      <c r="BI35" s="62">
        <f ca="1">AVERAGE(OFFSET($BH$3,0,0,'Données projet'!$E$11+1,1))-AVERAGE(OFFSET($H$3,0,0,'Données projet'!$E$11+1,1))</f>
        <v>209.0958230411249</v>
      </c>
      <c r="BJ35" s="62">
        <f t="shared" si="38"/>
        <v>250.34919671671565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7.9487179487179507</v>
      </c>
      <c r="BY35" s="13">
        <f>IF('Données projet'!$A$114&gt;35,BY34+BX35-CG34,IF(A35&lt;'Données projet'!$A$114,$BV$205^A35,IF(A35='Données projet'!$A$114,'Données projet'!$B$114,BY34+BX35-CG34)))</f>
        <v>160.76923076923077</v>
      </c>
      <c r="BZ35" s="14">
        <f>BY35*VLOOKUP('Données projet'!$B$12,Paramètres!$A$1:$I$89,3,0)*VLOOKUP('Données projet'!$B$12,Paramètres!$A$1:$I$89,5,0)</f>
        <v>102.82799999999999</v>
      </c>
      <c r="CA35" s="14">
        <f t="shared" si="39"/>
        <v>27.634632156690234</v>
      </c>
      <c r="CB35" s="22">
        <f t="shared" si="10"/>
        <v>227.22241767290214</v>
      </c>
      <c r="CC35" s="62">
        <f t="shared" si="11"/>
        <v>520.55575100623548</v>
      </c>
      <c r="CD35" s="62">
        <f ca="1">AVERAGE(OFFSET($CC$3,0,0,'Données projet'!$E$12+1,1))-AVERAGE(OFFSET($H$3,0,0,'Données projet'!$E$12+1,1))</f>
        <v>152.52712777621315</v>
      </c>
      <c r="CE35" s="62">
        <f t="shared" si="40"/>
        <v>145.25423263217925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8.6</v>
      </c>
      <c r="CT35" s="13">
        <f>IF('Données projet'!$A$140&gt;35,CT34+CS35-DB34,IF(A35&lt;'Données projet'!$A$140,$CQ$205^A35,IF(A35='Données projet'!$A$140,'Données projet'!$B$140,CT34+CS35-DB34)))</f>
        <v>178.20000000000002</v>
      </c>
      <c r="CU35" s="18">
        <f>CT35*VLOOKUP('Données projet'!$B$13,Paramètres!$A$1:$I$89,3,0)*VLOOKUP('Données projet'!$B$13,Paramètres!$A$1:$I$89,5,0)</f>
        <v>116.75664000000002</v>
      </c>
      <c r="CV35" s="14">
        <f t="shared" si="41"/>
        <v>30.91733675897062</v>
      </c>
      <c r="CW35" s="22">
        <f t="shared" si="13"/>
        <v>257.19884285520715</v>
      </c>
      <c r="CX35" s="62">
        <f t="shared" si="14"/>
        <v>550.53217618854046</v>
      </c>
      <c r="CY35" s="62">
        <f ca="1">AVERAGE(OFFSET($CX$3,0,0,'Données projet'!$E$13+1,1))-AVERAGE(OFFSET($H$3,0,0,'Données projet'!$E$13+1,1))</f>
        <v>158.23848664370132</v>
      </c>
      <c r="CZ35" s="62">
        <f t="shared" si="42"/>
        <v>172.92355799729972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2">
        <f t="shared" si="32"/>
        <v>8.9836912534059454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70">
        <f t="shared" si="1"/>
        <v>359.19008893301532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84.240000000000009</v>
      </c>
      <c r="P36" s="14">
        <f t="shared" si="33"/>
        <v>23.170749718409468</v>
      </c>
      <c r="Q36" s="22">
        <f t="shared" si="53"/>
        <v>187.07372242622981</v>
      </c>
      <c r="R36" s="62">
        <f t="shared" si="0"/>
        <v>480.40705575956315</v>
      </c>
      <c r="S36" s="62">
        <f ca="1">AVERAGE(OFFSET($R$3,0,0,'Données projet'!$E$9+1,1))-AVERAGE(OFFSET($H$3,0,0,'Données projet'!$E$9+1,1))</f>
        <v>223.49015613166239</v>
      </c>
      <c r="T36" s="62">
        <f t="shared" si="34"/>
        <v>136.15898308259307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97.899731390293653</v>
      </c>
      <c r="AO36" s="62">
        <f t="shared" si="36"/>
        <v>310.21833995692549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58.651519219562594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6.3916193852685682E-2</v>
      </c>
      <c r="AX36" s="23">
        <f t="shared" si="6"/>
        <v>58.715435413415278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150.84</v>
      </c>
      <c r="BE36" s="14">
        <f>BD36*VLOOKUP('Données projet'!$B$11,Paramètres!$A$1:$I$89,3,0)*VLOOKUP('Données projet'!$B$11,Paramètres!$A$1:$I$89,5,0)</f>
        <v>122.36140800000001</v>
      </c>
      <c r="BF36" s="14">
        <f t="shared" si="37"/>
        <v>32.225132727468257</v>
      </c>
      <c r="BG36" s="22">
        <f t="shared" si="7"/>
        <v>269.23822510034057</v>
      </c>
      <c r="BH36" s="62">
        <f t="shared" si="8"/>
        <v>562.57155843367389</v>
      </c>
      <c r="BI36" s="62">
        <f ca="1">AVERAGE(OFFSET($BH$3,0,0,'Données projet'!$E$11+1,1))-AVERAGE(OFFSET($H$3,0,0,'Données projet'!$E$11+1,1))</f>
        <v>209.0958230411249</v>
      </c>
      <c r="BJ36" s="62">
        <f t="shared" si="38"/>
        <v>250.34919671671565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7.9487179487179507</v>
      </c>
      <c r="BY36" s="13">
        <f>IF('Données projet'!$A$114&gt;35,BY35+BX36-CG35,IF(A36&lt;'Données projet'!$A$114,$BV$205^A36,IF(A36='Données projet'!$A$114,'Données projet'!$B$114,BY35+BX36-CG35)))</f>
        <v>168.71794871794873</v>
      </c>
      <c r="BZ36" s="14">
        <f>BY36*VLOOKUP('Données projet'!$B$12,Paramètres!$A$1:$I$89,3,0)*VLOOKUP('Données projet'!$B$12,Paramètres!$A$1:$I$89,5,0)</f>
        <v>107.91200000000002</v>
      </c>
      <c r="CA36" s="14">
        <f t="shared" si="39"/>
        <v>28.838488132021631</v>
      </c>
      <c r="CB36" s="22">
        <f t="shared" si="10"/>
        <v>238.17376682993768</v>
      </c>
      <c r="CC36" s="62">
        <f t="shared" si="11"/>
        <v>531.50710016327093</v>
      </c>
      <c r="CD36" s="62">
        <f ca="1">AVERAGE(OFFSET($CC$3,0,0,'Données projet'!$E$12+1,1))-AVERAGE(OFFSET($H$3,0,0,'Données projet'!$E$12+1,1))</f>
        <v>152.52712777621315</v>
      </c>
      <c r="CE36" s="62">
        <f t="shared" si="40"/>
        <v>145.25423263217925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8.6</v>
      </c>
      <c r="CT36" s="13">
        <f>IF('Données projet'!$A$140&gt;35,CT35+CS36-DB35,IF(A36&lt;'Données projet'!$A$140,$CQ$205^A36,IF(A36='Données projet'!$A$140,'Données projet'!$B$140,CT35+CS36-DB35)))</f>
        <v>186.8</v>
      </c>
      <c r="CU36" s="18">
        <f>CT36*VLOOKUP('Données projet'!$B$13,Paramètres!$A$1:$I$89,3,0)*VLOOKUP('Données projet'!$B$13,Paramètres!$A$1:$I$89,5,0)</f>
        <v>122.39136000000001</v>
      </c>
      <c r="CV36" s="14">
        <f t="shared" si="41"/>
        <v>32.232102612215037</v>
      </c>
      <c r="CW36" s="22">
        <f t="shared" si="13"/>
        <v>269.30253071627453</v>
      </c>
      <c r="CX36" s="62">
        <f t="shared" si="14"/>
        <v>562.63586404960779</v>
      </c>
      <c r="CY36" s="62">
        <f ca="1">AVERAGE(OFFSET($CX$3,0,0,'Données projet'!$E$13+1,1))-AVERAGE(OFFSET($H$3,0,0,'Données projet'!$E$13+1,1))</f>
        <v>158.23848664370132</v>
      </c>
      <c r="CZ36" s="62">
        <f t="shared" si="42"/>
        <v>172.92355799729972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2">
        <f t="shared" si="32"/>
        <v>9.223816867094067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70">
        <f t="shared" si="1"/>
        <v>361.12982771018881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90.97920000000002</v>
      </c>
      <c r="P37" s="14">
        <f t="shared" si="33"/>
        <v>24.801235516871511</v>
      </c>
      <c r="Q37" s="22">
        <f t="shared" si="53"/>
        <v>201.65092519188457</v>
      </c>
      <c r="R37" s="62">
        <f t="shared" si="0"/>
        <v>494.98425852521791</v>
      </c>
      <c r="S37" s="62">
        <f ca="1">AVERAGE(OFFSET($R$3,0,0,'Données projet'!$E$9+1,1))-AVERAGE(OFFSET($H$3,0,0,'Données projet'!$E$9+1,1))</f>
        <v>223.49015613166239</v>
      </c>
      <c r="T37" s="62">
        <f t="shared" si="34"/>
        <v>136.15898308259307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97.899731390293653</v>
      </c>
      <c r="AO37" s="62">
        <f t="shared" si="36"/>
        <v>310.21833995692549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57.501398701561314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4.5195574100867969E-2</v>
      </c>
      <c r="AX37" s="23">
        <f t="shared" si="6"/>
        <v>57.54659427566218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161.62</v>
      </c>
      <c r="BE37" s="14">
        <f>BD37*VLOOKUP('Données projet'!$B$11,Paramètres!$A$1:$I$89,3,0)*VLOOKUP('Données projet'!$B$11,Paramètres!$A$1:$I$89,5,0)</f>
        <v>131.106144</v>
      </c>
      <c r="BF37" s="14">
        <f t="shared" si="37"/>
        <v>34.251830557614582</v>
      </c>
      <c r="BG37" s="22">
        <f t="shared" si="7"/>
        <v>287.99847235451199</v>
      </c>
      <c r="BH37" s="62">
        <f t="shared" si="8"/>
        <v>581.3318056878453</v>
      </c>
      <c r="BI37" s="62">
        <f ca="1">AVERAGE(OFFSET($BH$3,0,0,'Données projet'!$E$11+1,1))-AVERAGE(OFFSET($H$3,0,0,'Données projet'!$E$11+1,1))</f>
        <v>209.0958230411249</v>
      </c>
      <c r="BJ37" s="62">
        <f t="shared" si="38"/>
        <v>250.34919671671565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7.9487179487179507</v>
      </c>
      <c r="BY37" s="13">
        <f>IF('Données projet'!$A$114&gt;35,BY36+BX37-CG36,IF(A37&lt;'Données projet'!$A$114,$BV$205^A37,IF(A37='Données projet'!$A$114,'Données projet'!$B$114,BY36+BX37-CG36)))</f>
        <v>176.66666666666669</v>
      </c>
      <c r="BZ37" s="14">
        <f>BY37*VLOOKUP('Données projet'!$B$12,Paramètres!$A$1:$I$89,3,0)*VLOOKUP('Données projet'!$B$12,Paramètres!$A$1:$I$89,5,0)</f>
        <v>112.99600000000001</v>
      </c>
      <c r="CA37" s="14">
        <f t="shared" si="39"/>
        <v>30.035757789076975</v>
      </c>
      <c r="CB37" s="22">
        <f t="shared" si="10"/>
        <v>249.11364481597573</v>
      </c>
      <c r="CC37" s="62">
        <f t="shared" si="11"/>
        <v>542.44697814930907</v>
      </c>
      <c r="CD37" s="62">
        <f ca="1">AVERAGE(OFFSET($CC$3,0,0,'Données projet'!$E$12+1,1))-AVERAGE(OFFSET($H$3,0,0,'Données projet'!$E$12+1,1))</f>
        <v>152.52712777621315</v>
      </c>
      <c r="CE37" s="62">
        <f t="shared" si="40"/>
        <v>145.25423263217925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8.6</v>
      </c>
      <c r="CT37" s="13">
        <f>IF('Données projet'!$A$140&gt;35,CT36+CS37-DB36,IF(A37&lt;'Données projet'!$A$140,$CQ$205^A37,IF(A37='Données projet'!$A$140,'Données projet'!$B$140,CT36+CS37-DB36)))</f>
        <v>195.4</v>
      </c>
      <c r="CU37" s="18">
        <f>CT37*VLOOKUP('Données projet'!$B$13,Paramètres!$A$1:$I$89,3,0)*VLOOKUP('Données projet'!$B$13,Paramètres!$A$1:$I$89,5,0)</f>
        <v>128.02608000000001</v>
      </c>
      <c r="CV37" s="14">
        <f t="shared" si="41"/>
        <v>33.539839007242314</v>
      </c>
      <c r="CW37" s="22">
        <f t="shared" si="13"/>
        <v>281.39397560428034</v>
      </c>
      <c r="CX37" s="62">
        <f t="shared" si="14"/>
        <v>574.72730893761366</v>
      </c>
      <c r="CY37" s="62">
        <f ca="1">AVERAGE(OFFSET($CX$3,0,0,'Données projet'!$E$13+1,1))-AVERAGE(OFFSET($H$3,0,0,'Données projet'!$E$13+1,1))</f>
        <v>158.23848664370132</v>
      </c>
      <c r="CZ37" s="62">
        <f t="shared" si="42"/>
        <v>172.92355799729972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2">
        <f t="shared" si="32"/>
        <v>9.4631216842413828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70">
        <f t="shared" si="1"/>
        <v>363.06813693338705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97.718400000000003</v>
      </c>
      <c r="P38" s="14">
        <f t="shared" si="33"/>
        <v>26.417709819192194</v>
      </c>
      <c r="Q38" s="22">
        <f t="shared" si="53"/>
        <v>216.20372460175975</v>
      </c>
      <c r="R38" s="62">
        <f t="shared" si="0"/>
        <v>509.53705793509306</v>
      </c>
      <c r="S38" s="62">
        <f ca="1">AVERAGE(OFFSET($R$3,0,0,'Données projet'!$E$9+1,1))-AVERAGE(OFFSET($H$3,0,0,'Données projet'!$E$9+1,1))</f>
        <v>223.49015613166239</v>
      </c>
      <c r="T38" s="62">
        <f t="shared" si="34"/>
        <v>136.15898308259307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97.899731390293653</v>
      </c>
      <c r="AO38" s="62">
        <f t="shared" si="36"/>
        <v>310.21833995692549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56.373831345413791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3.1958096926342841E-2</v>
      </c>
      <c r="AX38" s="23">
        <f t="shared" si="6"/>
        <v>56.405789442340136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172.4</v>
      </c>
      <c r="BE38" s="14">
        <f>BD38*VLOOKUP('Données projet'!$B$11,Paramètres!$A$1:$I$89,3,0)*VLOOKUP('Données projet'!$B$11,Paramètres!$A$1:$I$89,5,0)</f>
        <v>139.85088000000002</v>
      </c>
      <c r="BF38" s="14">
        <f t="shared" si="37"/>
        <v>36.262842078476233</v>
      </c>
      <c r="BG38" s="22">
        <f t="shared" si="7"/>
        <v>306.7313992866795</v>
      </c>
      <c r="BH38" s="62">
        <f t="shared" si="8"/>
        <v>600.06473262001282</v>
      </c>
      <c r="BI38" s="62">
        <f ca="1">AVERAGE(OFFSET($BH$3,0,0,'Données projet'!$E$11+1,1))-AVERAGE(OFFSET($H$3,0,0,'Données projet'!$E$11+1,1))</f>
        <v>209.0958230411249</v>
      </c>
      <c r="BJ38" s="62">
        <f t="shared" si="38"/>
        <v>250.34919671671565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7.9487179487179507</v>
      </c>
      <c r="BY38" s="13">
        <f>IF('Données projet'!$A$114&gt;35,BY37+BX38-CG37,IF(A38&lt;'Données projet'!$A$114,$BV$205^A38,IF(A38='Données projet'!$A$114,'Données projet'!$B$114,BY37+BX38-CG37)))</f>
        <v>184.61538461538464</v>
      </c>
      <c r="BZ38" s="14">
        <f>BY38*VLOOKUP('Données projet'!$B$12,Paramètres!$A$1:$I$89,3,0)*VLOOKUP('Données projet'!$B$12,Paramètres!$A$1:$I$89,5,0)</f>
        <v>118.08000000000001</v>
      </c>
      <c r="CA38" s="14">
        <f t="shared" si="39"/>
        <v>31.226771320755134</v>
      </c>
      <c r="CB38" s="22">
        <f t="shared" si="10"/>
        <v>260.04262671698189</v>
      </c>
      <c r="CC38" s="62">
        <f t="shared" si="11"/>
        <v>553.37596005031514</v>
      </c>
      <c r="CD38" s="62">
        <f ca="1">AVERAGE(OFFSET($CC$3,0,0,'Données projet'!$E$12+1,1))-AVERAGE(OFFSET($H$3,0,0,'Données projet'!$E$12+1,1))</f>
        <v>152.52712777621315</v>
      </c>
      <c r="CE38" s="62">
        <f t="shared" si="40"/>
        <v>145.25423263217925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204</v>
      </c>
      <c r="CR38" s="13">
        <f>VLOOKUP(A38,'Données projet'!$A$139:$I$159,9,0)</f>
        <v>8.6</v>
      </c>
      <c r="CS38" s="13">
        <f t="array" ref="CS38">INDEX(CR:CR,MIN(IF(ISNUMBER(CR38:CR234),ROW(CR38:CR234),"")))</f>
        <v>8.6</v>
      </c>
      <c r="CT38" s="13">
        <f>IF('Données projet'!$A$140&gt;35,CT37+CS38-DB37,IF(A38&lt;'Données projet'!$A$140,$CQ$205^A38,IF(A38='Données projet'!$A$140,'Données projet'!$B$140,CT37+CS38-DB37)))</f>
        <v>204</v>
      </c>
      <c r="CU38" s="18">
        <f>CT38*VLOOKUP('Données projet'!$B$13,Paramètres!$A$1:$I$89,3,0)*VLOOKUP('Données projet'!$B$13,Paramètres!$A$1:$I$89,5,0)</f>
        <v>133.66079999999999</v>
      </c>
      <c r="CV38" s="14">
        <f t="shared" si="41"/>
        <v>34.840890682716747</v>
      </c>
      <c r="CW38" s="22">
        <f t="shared" si="13"/>
        <v>293.47377793906497</v>
      </c>
      <c r="CX38" s="62">
        <f t="shared" si="14"/>
        <v>586.80711127239829</v>
      </c>
      <c r="CY38" s="62">
        <f ca="1">AVERAGE(OFFSET($CX$3,0,0,'Données projet'!$E$13+1,1))-AVERAGE(OFFSET($H$3,0,0,'Données projet'!$E$13+1,1))</f>
        <v>158.23848664370132</v>
      </c>
      <c r="CZ38" s="62">
        <f t="shared" si="42"/>
        <v>172.92355799729972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2">
        <f t="shared" si="32"/>
        <v>9.7016318496336797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70">
        <f t="shared" si="1"/>
        <v>365.00506213811195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104.79456</v>
      </c>
      <c r="P39" s="14">
        <f t="shared" si="33"/>
        <v>28.101103481959861</v>
      </c>
      <c r="Q39" s="22">
        <f t="shared" si="53"/>
        <v>231.45994723108012</v>
      </c>
      <c r="R39" s="62">
        <f t="shared" si="0"/>
        <v>524.79328056441341</v>
      </c>
      <c r="S39" s="62">
        <f ca="1">AVERAGE(OFFSET($R$3,0,0,'Données projet'!$E$9+1,1))-AVERAGE(OFFSET($H$3,0,0,'Données projet'!$E$9+1,1))</f>
        <v>223.49015613166239</v>
      </c>
      <c r="T39" s="62">
        <f t="shared" si="34"/>
        <v>136.15898308259307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97.899731390293653</v>
      </c>
      <c r="AO39" s="62">
        <f t="shared" si="36"/>
        <v>310.21833995692549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55.268374897372148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2.2597787050433985E-2</v>
      </c>
      <c r="AX39" s="23">
        <f t="shared" si="6"/>
        <v>55.290972684422584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181.84</v>
      </c>
      <c r="BE39" s="14">
        <f>BD39*VLOOKUP('Données projet'!$B$11,Paramètres!$A$1:$I$89,3,0)*VLOOKUP('Données projet'!$B$11,Paramètres!$A$1:$I$89,5,0)</f>
        <v>147.50860800000001</v>
      </c>
      <c r="BF39" s="14">
        <f t="shared" si="37"/>
        <v>38.011857134536505</v>
      </c>
      <c r="BG39" s="22">
        <f t="shared" si="7"/>
        <v>323.11481010931777</v>
      </c>
      <c r="BH39" s="62">
        <f t="shared" si="8"/>
        <v>616.44814344265114</v>
      </c>
      <c r="BI39" s="62">
        <f ca="1">AVERAGE(OFFSET($BH$3,0,0,'Données projet'!$E$11+1,1))-AVERAGE(OFFSET($H$3,0,0,'Données projet'!$E$11+1,1))</f>
        <v>209.0958230411249</v>
      </c>
      <c r="BJ39" s="62">
        <f t="shared" si="38"/>
        <v>250.34919671671565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7.9487179487179507</v>
      </c>
      <c r="BY39" s="13">
        <f>IF('Données projet'!$A$114&gt;35,BY38+BX39-CG38,IF(A39&lt;'Données projet'!$A$114,$BV$205^A39,IF(A39='Données projet'!$A$114,'Données projet'!$B$114,BY38+BX39-CG38)))</f>
        <v>192.5641025641026</v>
      </c>
      <c r="BZ39" s="14">
        <f>BY39*VLOOKUP('Données projet'!$B$12,Paramètres!$A$1:$I$89,3,0)*VLOOKUP('Données projet'!$B$12,Paramètres!$A$1:$I$89,5,0)</f>
        <v>123.16400000000003</v>
      </c>
      <c r="CA39" s="14">
        <f t="shared" si="39"/>
        <v>32.411828878612589</v>
      </c>
      <c r="CB39" s="22">
        <f t="shared" si="10"/>
        <v>270.96123529691698</v>
      </c>
      <c r="CC39" s="62">
        <f t="shared" si="11"/>
        <v>564.2945686302503</v>
      </c>
      <c r="CD39" s="62">
        <f ca="1">AVERAGE(OFFSET($CC$3,0,0,'Données projet'!$E$12+1,1))-AVERAGE(OFFSET($H$3,0,0,'Données projet'!$E$12+1,1))</f>
        <v>152.52712777621315</v>
      </c>
      <c r="CE39" s="62">
        <f t="shared" si="40"/>
        <v>145.25423263217925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7.8</v>
      </c>
      <c r="CT39" s="13">
        <f>IF('Données projet'!$A$140&gt;35,CT38+CS39-DB38,IF(A39&lt;'Données projet'!$A$140,$CQ$205^A39,IF(A39='Données projet'!$A$140,'Données projet'!$B$140,CT38+CS39-DB38)))</f>
        <v>163.80000000000001</v>
      </c>
      <c r="CU39" s="18">
        <f>CT39*VLOOKUP('Données projet'!$B$13,Paramètres!$A$1:$I$89,3,0)*VLOOKUP('Données projet'!$B$13,Paramètres!$A$1:$I$89,5,0)</f>
        <v>107.32176000000001</v>
      </c>
      <c r="CV39" s="14">
        <f t="shared" si="41"/>
        <v>28.699067963776873</v>
      </c>
      <c r="CW39" s="22">
        <f t="shared" si="13"/>
        <v>236.90294203691141</v>
      </c>
      <c r="CX39" s="62">
        <f t="shared" si="14"/>
        <v>530.2362753702447</v>
      </c>
      <c r="CY39" s="62">
        <f ca="1">AVERAGE(OFFSET($CX$3,0,0,'Données projet'!$E$13+1,1))-AVERAGE(OFFSET($H$3,0,0,'Données projet'!$E$13+1,1))</f>
        <v>158.23848664370132</v>
      </c>
      <c r="CZ39" s="62">
        <f t="shared" si="42"/>
        <v>172.92355799729972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2">
        <f t="shared" si="32"/>
        <v>9.9393719729191492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70">
        <f t="shared" si="1"/>
        <v>366.9406461861675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111.87072000000003</v>
      </c>
      <c r="P40" s="14">
        <f t="shared" si="33"/>
        <v>29.771307279851975</v>
      </c>
      <c r="Q40" s="22">
        <f t="shared" si="53"/>
        <v>246.69319751240889</v>
      </c>
      <c r="R40" s="62">
        <f t="shared" si="0"/>
        <v>540.02653084574217</v>
      </c>
      <c r="S40" s="62">
        <f ca="1">AVERAGE(OFFSET($R$3,0,0,'Données projet'!$E$9+1,1))-AVERAGE(OFFSET($H$3,0,0,'Données projet'!$E$9+1,1))</f>
        <v>223.49015613166239</v>
      </c>
      <c r="T40" s="62">
        <f t="shared" si="34"/>
        <v>136.15898308259307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97.899731390293653</v>
      </c>
      <c r="AO40" s="62">
        <f t="shared" si="36"/>
        <v>310.21833995692549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54.184595776014746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1.5979048463171421E-2</v>
      </c>
      <c r="AX40" s="23">
        <f t="shared" si="6"/>
        <v>54.200574824477918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191.28</v>
      </c>
      <c r="BE40" s="14">
        <f>BD40*VLOOKUP('Données projet'!$B$11,Paramètres!$A$1:$I$89,3,0)*VLOOKUP('Données projet'!$B$11,Paramètres!$A$1:$I$89,5,0)</f>
        <v>155.16633600000003</v>
      </c>
      <c r="BF40" s="14">
        <f t="shared" si="37"/>
        <v>39.7503301768418</v>
      </c>
      <c r="BG40" s="22">
        <f t="shared" si="7"/>
        <v>339.47986025799952</v>
      </c>
      <c r="BH40" s="62">
        <f t="shared" si="8"/>
        <v>632.81319359133283</v>
      </c>
      <c r="BI40" s="62">
        <f ca="1">AVERAGE(OFFSET($BH$3,0,0,'Données projet'!$E$11+1,1))-AVERAGE(OFFSET($H$3,0,0,'Données projet'!$E$11+1,1))</f>
        <v>209.0958230411249</v>
      </c>
      <c r="BJ40" s="62">
        <f t="shared" si="38"/>
        <v>250.34919671671565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7.9487179487179507</v>
      </c>
      <c r="BY40" s="13">
        <f>IF('Données projet'!$A$114&gt;35,BY39+BX40-CG39,IF(A40&lt;'Données projet'!$A$114,$BV$205^A40,IF(A40='Données projet'!$A$114,'Données projet'!$B$114,BY39+BX40-CG39)))</f>
        <v>200.51282051282055</v>
      </c>
      <c r="BZ40" s="14">
        <f>BY40*VLOOKUP('Données projet'!$B$12,Paramètres!$A$1:$I$89,3,0)*VLOOKUP('Données projet'!$B$12,Paramètres!$A$1:$I$89,5,0)</f>
        <v>128.24800000000002</v>
      </c>
      <c r="CA40" s="14">
        <f t="shared" si="39"/>
        <v>33.591204432643657</v>
      </c>
      <c r="CB40" s="22">
        <f t="shared" si="10"/>
        <v>281.86994772018772</v>
      </c>
      <c r="CC40" s="62">
        <f t="shared" si="11"/>
        <v>575.2032810535211</v>
      </c>
      <c r="CD40" s="62">
        <f ca="1">AVERAGE(OFFSET($CC$3,0,0,'Données projet'!$E$12+1,1))-AVERAGE(OFFSET($H$3,0,0,'Données projet'!$E$12+1,1))</f>
        <v>152.52712777621315</v>
      </c>
      <c r="CE40" s="62">
        <f t="shared" si="40"/>
        <v>145.25423263217925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7.8</v>
      </c>
      <c r="CT40" s="13">
        <f>IF('Données projet'!$A$140&gt;35,CT39+CS40-DB39,IF(A40&lt;'Données projet'!$A$140,$CQ$205^A40,IF(A40='Données projet'!$A$140,'Données projet'!$B$140,CT39+CS40-DB39)))</f>
        <v>171.60000000000002</v>
      </c>
      <c r="CU40" s="18">
        <f>CT40*VLOOKUP('Données projet'!$B$13,Paramètres!$A$1:$I$89,3,0)*VLOOKUP('Données projet'!$B$13,Paramètres!$A$1:$I$89,5,0)</f>
        <v>112.43232</v>
      </c>
      <c r="CV40" s="14">
        <f t="shared" si="41"/>
        <v>29.903326635598326</v>
      </c>
      <c r="CW40" s="22">
        <f t="shared" si="13"/>
        <v>247.90125122366706</v>
      </c>
      <c r="CX40" s="62">
        <f t="shared" si="14"/>
        <v>541.2345845570004</v>
      </c>
      <c r="CY40" s="62">
        <f ca="1">AVERAGE(OFFSET($CX$3,0,0,'Données projet'!$E$13+1,1))-AVERAGE(OFFSET($H$3,0,0,'Données projet'!$E$13+1,1))</f>
        <v>158.23848664370132</v>
      </c>
      <c r="CZ40" s="62">
        <f t="shared" si="42"/>
        <v>172.92355799729972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2">
        <f t="shared" si="32"/>
        <v>10.176365257768927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70">
        <f t="shared" si="1"/>
        <v>368.87492949061419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118.94688000000004</v>
      </c>
      <c r="P41" s="14">
        <f t="shared" si="33"/>
        <v>31.429250481525276</v>
      </c>
      <c r="Q41" s="22">
        <f t="shared" si="53"/>
        <v>261.90509392198993</v>
      </c>
      <c r="R41" s="62">
        <f t="shared" si="0"/>
        <v>555.23842725532324</v>
      </c>
      <c r="S41" s="62">
        <f ca="1">AVERAGE(OFFSET($R$3,0,0,'Données projet'!$E$9+1,1))-AVERAGE(OFFSET($H$3,0,0,'Données projet'!$E$9+1,1))</f>
        <v>223.49015613166239</v>
      </c>
      <c r="T41" s="62">
        <f t="shared" si="34"/>
        <v>136.15898308259307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97.899731390293653</v>
      </c>
      <c r="AO41" s="62">
        <f t="shared" si="36"/>
        <v>310.21833995692549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53.122068902187166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1.1298893525216992E-2</v>
      </c>
      <c r="AX41" s="23">
        <f t="shared" si="6"/>
        <v>53.133367795712381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200.72</v>
      </c>
      <c r="BE41" s="14">
        <f>BD41*VLOOKUP('Données projet'!$B$11,Paramètres!$A$1:$I$89,3,0)*VLOOKUP('Données projet'!$B$11,Paramètres!$A$1:$I$89,5,0)</f>
        <v>162.82406400000002</v>
      </c>
      <c r="BF41" s="14">
        <f t="shared" si="37"/>
        <v>41.47884084778044</v>
      </c>
      <c r="BG41" s="22">
        <f t="shared" si="7"/>
        <v>355.82755927655097</v>
      </c>
      <c r="BH41" s="62">
        <f t="shared" si="8"/>
        <v>649.16089260988429</v>
      </c>
      <c r="BI41" s="62">
        <f ca="1">AVERAGE(OFFSET($BH$3,0,0,'Données projet'!$E$11+1,1))-AVERAGE(OFFSET($H$3,0,0,'Données projet'!$E$11+1,1))</f>
        <v>209.0958230411249</v>
      </c>
      <c r="BJ41" s="62">
        <f t="shared" si="38"/>
        <v>250.34919671671565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7.9487179487179507</v>
      </c>
      <c r="BY41" s="13">
        <f>IF('Données projet'!$A$114&gt;35,BY40+BX41-CG40,IF(A41&lt;'Données projet'!$A$114,$BV$205^A41,IF(A41='Données projet'!$A$114,'Données projet'!$B$114,BY40+BX41-CG40)))</f>
        <v>208.46153846153851</v>
      </c>
      <c r="BZ41" s="14">
        <f>BY41*VLOOKUP('Données projet'!$B$12,Paramètres!$A$1:$I$89,3,0)*VLOOKUP('Données projet'!$B$12,Paramètres!$A$1:$I$89,5,0)</f>
        <v>133.33200000000005</v>
      </c>
      <c r="CA41" s="14">
        <f t="shared" si="39"/>
        <v>34.765149001798996</v>
      </c>
      <c r="CB41" s="22">
        <f t="shared" si="10"/>
        <v>292.7692011781333</v>
      </c>
      <c r="CC41" s="62">
        <f t="shared" si="11"/>
        <v>586.10253451146662</v>
      </c>
      <c r="CD41" s="62">
        <f ca="1">AVERAGE(OFFSET($CC$3,0,0,'Données projet'!$E$12+1,1))-AVERAGE(OFFSET($H$3,0,0,'Données projet'!$E$12+1,1))</f>
        <v>152.52712777621315</v>
      </c>
      <c r="CE41" s="62">
        <f t="shared" si="40"/>
        <v>145.25423263217925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7.8</v>
      </c>
      <c r="CT41" s="13">
        <f>IF('Données projet'!$A$140&gt;35,CT40+CS41-DB40,IF(A41&lt;'Données projet'!$A$140,$CQ$205^A41,IF(A41='Données projet'!$A$140,'Données projet'!$B$140,CT40+CS41-DB40)))</f>
        <v>179.40000000000003</v>
      </c>
      <c r="CU41" s="18">
        <f>CT41*VLOOKUP('Données projet'!$B$13,Paramètres!$A$1:$I$89,3,0)*VLOOKUP('Données projet'!$B$13,Paramètres!$A$1:$I$89,5,0)</f>
        <v>117.54288000000003</v>
      </c>
      <c r="CV41" s="14">
        <f t="shared" si="41"/>
        <v>31.101228198889224</v>
      </c>
      <c r="CW41" s="22">
        <f t="shared" si="13"/>
        <v>258.88848844639881</v>
      </c>
      <c r="CX41" s="62">
        <f t="shared" si="14"/>
        <v>552.22182177973218</v>
      </c>
      <c r="CY41" s="62">
        <f ca="1">AVERAGE(OFFSET($CX$3,0,0,'Données projet'!$E$13+1,1))-AVERAGE(OFFSET($H$3,0,0,'Données projet'!$E$13+1,1))</f>
        <v>158.23848664370132</v>
      </c>
      <c r="CZ41" s="62">
        <f t="shared" si="42"/>
        <v>172.92355799729972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2">
        <f t="shared" si="32"/>
        <v>10.412633617059315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70">
        <f t="shared" si="1"/>
        <v>370.80795021637829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126.02304000000004</v>
      </c>
      <c r="P42" s="14">
        <f t="shared" si="33"/>
        <v>33.075745544773369</v>
      </c>
      <c r="Q42" s="22">
        <f t="shared" si="53"/>
        <v>277.0970514904804</v>
      </c>
      <c r="R42" s="62">
        <f t="shared" si="0"/>
        <v>570.43038482381371</v>
      </c>
      <c r="S42" s="62">
        <f ca="1">AVERAGE(OFFSET($R$3,0,0,'Données projet'!$E$9+1,1))-AVERAGE(OFFSET($H$3,0,0,'Données projet'!$E$9+1,1))</f>
        <v>223.49015613166239</v>
      </c>
      <c r="T42" s="62">
        <f t="shared" si="34"/>
        <v>136.15898308259307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97.899731390293653</v>
      </c>
      <c r="AO42" s="62">
        <f t="shared" si="36"/>
        <v>310.21833995692549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52.08037753227795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7.9895242315857103E-3</v>
      </c>
      <c r="AX42" s="23">
        <f t="shared" si="6"/>
        <v>52.088367056509533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210.16</v>
      </c>
      <c r="BE42" s="14">
        <f>BD42*VLOOKUP('Données projet'!$B$11,Paramètres!$A$1:$I$89,3,0)*VLOOKUP('Données projet'!$B$11,Paramètres!$A$1:$I$89,5,0)</f>
        <v>170.48179200000001</v>
      </c>
      <c r="BF42" s="14">
        <f t="shared" si="37"/>
        <v>43.197911186704943</v>
      </c>
      <c r="BG42" s="22">
        <f t="shared" si="7"/>
        <v>372.15881638351107</v>
      </c>
      <c r="BH42" s="62">
        <f t="shared" si="8"/>
        <v>665.49214971684432</v>
      </c>
      <c r="BI42" s="62">
        <f ca="1">AVERAGE(OFFSET($BH$3,0,0,'Données projet'!$E$11+1,1))-AVERAGE(OFFSET($H$3,0,0,'Données projet'!$E$11+1,1))</f>
        <v>209.0958230411249</v>
      </c>
      <c r="BJ42" s="62">
        <f t="shared" si="38"/>
        <v>250.34919671671565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7.9487179487179507</v>
      </c>
      <c r="BY42" s="13">
        <f>IF('Données projet'!$A$114&gt;35,BY41+BX42-CG41,IF(A42&lt;'Données projet'!$A$114,$BV$205^A42,IF(A42='Données projet'!$A$114,'Données projet'!$B$114,BY41+BX42-CG41)))</f>
        <v>216.41025641025647</v>
      </c>
      <c r="BZ42" s="14">
        <f>BY42*VLOOKUP('Données projet'!$B$12,Paramètres!$A$1:$I$89,3,0)*VLOOKUP('Données projet'!$B$12,Paramètres!$A$1:$I$89,5,0)</f>
        <v>138.41600000000003</v>
      </c>
      <c r="CA42" s="14">
        <f t="shared" si="39"/>
        <v>35.933893377923624</v>
      </c>
      <c r="CB42" s="22">
        <f t="shared" si="10"/>
        <v>303.659397633217</v>
      </c>
      <c r="CC42" s="62">
        <f t="shared" si="11"/>
        <v>596.99273096655031</v>
      </c>
      <c r="CD42" s="62">
        <f ca="1">AVERAGE(OFFSET($CC$3,0,0,'Données projet'!$E$12+1,1))-AVERAGE(OFFSET($H$3,0,0,'Données projet'!$E$12+1,1))</f>
        <v>152.52712777621315</v>
      </c>
      <c r="CE42" s="62">
        <f t="shared" si="40"/>
        <v>145.25423263217925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7.8</v>
      </c>
      <c r="CT42" s="13">
        <f>IF('Données projet'!$A$140&gt;35,CT41+CS42-DB41,IF(A42&lt;'Données projet'!$A$140,$CQ$205^A42,IF(A42='Données projet'!$A$140,'Données projet'!$B$140,CT41+CS42-DB41)))</f>
        <v>187.20000000000005</v>
      </c>
      <c r="CU42" s="18">
        <f>CT42*VLOOKUP('Données projet'!$B$13,Paramètres!$A$1:$I$89,3,0)*VLOOKUP('Données projet'!$B$13,Paramètres!$A$1:$I$89,5,0)</f>
        <v>122.65344000000002</v>
      </c>
      <c r="CV42" s="14">
        <f t="shared" si="41"/>
        <v>32.293080640759037</v>
      </c>
      <c r="CW42" s="22">
        <f t="shared" si="13"/>
        <v>269.8651901159887</v>
      </c>
      <c r="CX42" s="62">
        <f t="shared" si="14"/>
        <v>563.19852344932201</v>
      </c>
      <c r="CY42" s="62">
        <f ca="1">AVERAGE(OFFSET($CX$3,0,0,'Données projet'!$E$13+1,1))-AVERAGE(OFFSET($H$3,0,0,'Données projet'!$E$13+1,1))</f>
        <v>158.23848664370132</v>
      </c>
      <c r="CZ42" s="62">
        <f t="shared" si="42"/>
        <v>172.92355799729972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2">
        <f t="shared" si="32"/>
        <v>10.648197775908045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70">
        <f t="shared" si="1"/>
        <v>372.73974445970651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133.09920000000002</v>
      </c>
      <c r="P43" s="14">
        <f t="shared" si="33"/>
        <v>34.71150853565117</v>
      </c>
      <c r="Q43" s="22">
        <f t="shared" si="53"/>
        <v>292.27031736625912</v>
      </c>
      <c r="R43" s="62">
        <f t="shared" si="0"/>
        <v>585.60365069959244</v>
      </c>
      <c r="S43" s="62">
        <f ca="1">AVERAGE(OFFSET($R$3,0,0,'Données projet'!$E$9+1,1))-AVERAGE(OFFSET($H$3,0,0,'Données projet'!$E$9+1,1))</f>
        <v>223.49015613166239</v>
      </c>
      <c r="T43" s="62">
        <f t="shared" si="34"/>
        <v>136.15898308259307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97.899731390293653</v>
      </c>
      <c r="AO43" s="62">
        <f t="shared" si="36"/>
        <v>310.21833995692549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51.059113094763653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5.6494467626084961E-3</v>
      </c>
      <c r="AX43" s="23">
        <f t="shared" si="6"/>
        <v>51.064762541526264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219.6</v>
      </c>
      <c r="BE43" s="14">
        <f>BD43*VLOOKUP('Données projet'!$B$11,Paramètres!$A$1:$I$89,3,0)*VLOOKUP('Données projet'!$B$11,Paramètres!$A$1:$I$89,5,0)</f>
        <v>178.13952</v>
      </c>
      <c r="BF43" s="14">
        <f t="shared" si="37"/>
        <v>44.908013683621</v>
      </c>
      <c r="BG43" s="22">
        <f t="shared" si="7"/>
        <v>388.47445449897322</v>
      </c>
      <c r="BH43" s="62">
        <f t="shared" si="8"/>
        <v>681.80778783230653</v>
      </c>
      <c r="BI43" s="62">
        <f ca="1">AVERAGE(OFFSET($BH$3,0,0,'Données projet'!$E$11+1,1))-AVERAGE(OFFSET($H$3,0,0,'Données projet'!$E$11+1,1))</f>
        <v>209.0958230411249</v>
      </c>
      <c r="BJ43" s="62">
        <f t="shared" si="38"/>
        <v>250.34919671671565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224.35897435897436</v>
      </c>
      <c r="BW43" s="13">
        <f>VLOOKUP(A43,'Données projet'!$A$113:$I$133,9,0)</f>
        <v>7.9487179487179507</v>
      </c>
      <c r="BX43" s="13">
        <f t="array" ref="BX43">INDEX(BW:BW,MIN(IF(ISNUMBER(BW43:BW239),ROW(BW43:BW239),"")))</f>
        <v>7.9487179487179507</v>
      </c>
      <c r="BY43" s="13">
        <f>IF('Données projet'!$A$114&gt;35,BY42+BX43-CG42,IF(A43&lt;'Données projet'!$A$114,$BV$205^A43,IF(A43='Données projet'!$A$114,'Données projet'!$B$114,BY42+BX43-CG42)))</f>
        <v>224.35897435897442</v>
      </c>
      <c r="BZ43" s="14">
        <f>BY43*VLOOKUP('Données projet'!$B$12,Paramètres!$A$1:$I$89,3,0)*VLOOKUP('Données projet'!$B$12,Paramètres!$A$1:$I$89,5,0)</f>
        <v>143.50000000000003</v>
      </c>
      <c r="CA43" s="14">
        <f t="shared" si="39"/>
        <v>37.097650438246141</v>
      </c>
      <c r="CB43" s="22">
        <f t="shared" si="10"/>
        <v>314.54090784661207</v>
      </c>
      <c r="CC43" s="62">
        <f t="shared" si="11"/>
        <v>607.87424117994533</v>
      </c>
      <c r="CD43" s="62">
        <f ca="1">AVERAGE(OFFSET($CC$3,0,0,'Données projet'!$E$12+1,1))-AVERAGE(OFFSET($H$3,0,0,'Données projet'!$E$12+1,1))</f>
        <v>152.52712777621315</v>
      </c>
      <c r="CE43" s="62">
        <f t="shared" si="40"/>
        <v>145.25423263217925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135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195</v>
      </c>
      <c r="CR43" s="13">
        <f>VLOOKUP(A43,'Données projet'!$A$139:$I$159,9,0)</f>
        <v>7.8</v>
      </c>
      <c r="CS43" s="13">
        <f t="array" ref="CS43">INDEX(CR:CR,MIN(IF(ISNUMBER(CR43:CR239),ROW(CR43:CR239),"")))</f>
        <v>7.8</v>
      </c>
      <c r="CT43" s="13">
        <f>IF('Données projet'!$A$140&gt;35,CT42+CS43-DB42,IF(A43&lt;'Données projet'!$A$140,$CQ$205^A43,IF(A43='Données projet'!$A$140,'Données projet'!$B$140,CT42+CS43-DB42)))</f>
        <v>195.00000000000006</v>
      </c>
      <c r="CU43" s="18">
        <f>CT43*VLOOKUP('Données projet'!$B$13,Paramètres!$A$1:$I$89,3,0)*VLOOKUP('Données projet'!$B$13,Paramètres!$A$1:$I$89,5,0)</f>
        <v>127.76400000000004</v>
      </c>
      <c r="CV43" s="14">
        <f t="shared" si="41"/>
        <v>33.479164830670079</v>
      </c>
      <c r="CW43" s="22">
        <f t="shared" si="13"/>
        <v>280.83184541341706</v>
      </c>
      <c r="CX43" s="62">
        <f t="shared" si="14"/>
        <v>574.16517874675037</v>
      </c>
      <c r="CY43" s="62">
        <f ca="1">AVERAGE(OFFSET($CX$3,0,0,'Données projet'!$E$13+1,1))-AVERAGE(OFFSET($H$3,0,0,'Données projet'!$E$13+1,1))</f>
        <v>158.23848664370132</v>
      </c>
      <c r="CZ43" s="62">
        <f t="shared" si="42"/>
        <v>172.92355799729972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2">
        <f t="shared" si="32"/>
        <v>10.883077364116859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70">
        <f t="shared" si="1"/>
        <v>374.67034640917018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104.79456000000003</v>
      </c>
      <c r="P44" s="14">
        <f t="shared" si="33"/>
        <v>28.101103481959861</v>
      </c>
      <c r="Q44" s="22">
        <f t="shared" si="53"/>
        <v>231.45994723108015</v>
      </c>
      <c r="R44" s="62">
        <f t="shared" si="0"/>
        <v>524.79328056441341</v>
      </c>
      <c r="S44" s="62">
        <f ca="1">AVERAGE(OFFSET($R$3,0,0,'Données projet'!$E$9+1,1))-AVERAGE(OFFSET($H$3,0,0,'Données projet'!$E$9+1,1))</f>
        <v>223.49015613166239</v>
      </c>
      <c r="T44" s="62">
        <f t="shared" si="34"/>
        <v>136.15898308259307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97.899731390293653</v>
      </c>
      <c r="AO44" s="62">
        <f t="shared" si="36"/>
        <v>310.21833995692549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50.057875029959213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3.9947621157928551E-3</v>
      </c>
      <c r="AX44" s="23">
        <f t="shared" si="6"/>
        <v>50.061869792075008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171.8</v>
      </c>
      <c r="BE44" s="14">
        <f>BD44*VLOOKUP('Données projet'!$B$11,Paramètres!$A$1:$I$89,3,0)*VLOOKUP('Données projet'!$B$11,Paramètres!$A$1:$I$89,5,0)</f>
        <v>139.36416000000003</v>
      </c>
      <c r="BF44" s="14">
        <f t="shared" si="37"/>
        <v>36.151304912020052</v>
      </c>
      <c r="BG44" s="22">
        <f t="shared" si="7"/>
        <v>305.68943472176829</v>
      </c>
      <c r="BH44" s="62">
        <f t="shared" si="8"/>
        <v>599.02276805510155</v>
      </c>
      <c r="BI44" s="62">
        <f ca="1">AVERAGE(OFFSET($BH$3,0,0,'Données projet'!$E$11+1,1))-AVERAGE(OFFSET($H$3,0,0,'Données projet'!$E$11+1,1))</f>
        <v>209.0958230411249</v>
      </c>
      <c r="BJ44" s="62">
        <f t="shared" si="38"/>
        <v>250.34919671671565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12.602564102564102</v>
      </c>
      <c r="BY44" s="13">
        <f>IF('Données projet'!$A$114&gt;35,BY43+BX44-CG43,IF(A44&lt;'Données projet'!$A$114,$BV$205^A44,IF(A44='Données projet'!$A$114,'Données projet'!$B$114,BY43+BX44-CG43)))</f>
        <v>101.96153846153851</v>
      </c>
      <c r="BZ44" s="14">
        <f>BY44*VLOOKUP('Données projet'!$B$12,Paramètres!$A$1:$I$89,3,0)*VLOOKUP('Données projet'!$B$12,Paramètres!$A$1:$I$89,5,0)</f>
        <v>65.214600000000033</v>
      </c>
      <c r="CA44" s="14">
        <f t="shared" si="39"/>
        <v>18.480221017226782</v>
      </c>
      <c r="CB44" s="22">
        <f t="shared" si="10"/>
        <v>145.7684799383367</v>
      </c>
      <c r="CC44" s="62">
        <f t="shared" si="11"/>
        <v>439.10181327167004</v>
      </c>
      <c r="CD44" s="62">
        <f ca="1">AVERAGE(OFFSET($CC$3,0,0,'Données projet'!$E$12+1,1))-AVERAGE(OFFSET($H$3,0,0,'Données projet'!$E$12+1,1))</f>
        <v>152.52712777621315</v>
      </c>
      <c r="CE44" s="62">
        <f t="shared" si="40"/>
        <v>145.25423263217925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7.4</v>
      </c>
      <c r="CT44" s="13">
        <f>IF('Données projet'!$A$140&gt;35,CT43+CS44-DB43,IF(A44&lt;'Données projet'!$A$140,$CQ$205^A44,IF(A44='Données projet'!$A$140,'Données projet'!$B$140,CT43+CS44-DB43)))</f>
        <v>202.40000000000006</v>
      </c>
      <c r="CU44" s="18">
        <f>CT44*VLOOKUP('Données projet'!$B$13,Paramètres!$A$1:$I$89,3,0)*VLOOKUP('Données projet'!$B$13,Paramètres!$A$1:$I$89,5,0)</f>
        <v>132.61248000000003</v>
      </c>
      <c r="CV44" s="14">
        <f t="shared" si="41"/>
        <v>34.599325938965464</v>
      </c>
      <c r="CW44" s="22">
        <f t="shared" si="13"/>
        <v>291.22722867703152</v>
      </c>
      <c r="CX44" s="62">
        <f t="shared" si="14"/>
        <v>584.56056201036483</v>
      </c>
      <c r="CY44" s="62">
        <f ca="1">AVERAGE(OFFSET($CX$3,0,0,'Données projet'!$E$13+1,1))-AVERAGE(OFFSET($H$3,0,0,'Données projet'!$E$13+1,1))</f>
        <v>158.23848664370132</v>
      </c>
      <c r="CZ44" s="62">
        <f t="shared" si="42"/>
        <v>172.92355799729972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2">
        <f t="shared" si="32"/>
        <v>11.117290999341371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70">
        <f t="shared" si="1"/>
        <v>376.59978849051953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111.87072000000005</v>
      </c>
      <c r="P45" s="14">
        <f t="shared" si="33"/>
        <v>29.771307279851975</v>
      </c>
      <c r="Q45" s="22">
        <f t="shared" si="53"/>
        <v>246.69319751240889</v>
      </c>
      <c r="R45" s="62">
        <f t="shared" si="0"/>
        <v>540.02653084574217</v>
      </c>
      <c r="S45" s="62">
        <f ca="1">AVERAGE(OFFSET($R$3,0,0,'Données projet'!$E$9+1,1))-AVERAGE(OFFSET($H$3,0,0,'Données projet'!$E$9+1,1))</f>
        <v>223.49015613166239</v>
      </c>
      <c r="T45" s="62">
        <f t="shared" si="34"/>
        <v>136.15898308259307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97.899731390293653</v>
      </c>
      <c r="AO45" s="62">
        <f t="shared" si="36"/>
        <v>310.21833995692549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49.076270632910671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2.8247233813042481E-3</v>
      </c>
      <c r="AX45" s="23">
        <f t="shared" si="6"/>
        <v>49.079095356291973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180.00000000000003</v>
      </c>
      <c r="BE45" s="14">
        <f>BD45*VLOOKUP('Données projet'!$B$11,Paramètres!$A$1:$I$89,3,0)*VLOOKUP('Données projet'!$B$11,Paramètres!$A$1:$I$89,5,0)</f>
        <v>146.01600000000005</v>
      </c>
      <c r="BF45" s="14">
        <f t="shared" si="37"/>
        <v>37.671793767891131</v>
      </c>
      <c r="BG45" s="22">
        <f t="shared" si="7"/>
        <v>319.92290747907714</v>
      </c>
      <c r="BH45" s="62">
        <f t="shared" si="8"/>
        <v>613.2562408124104</v>
      </c>
      <c r="BI45" s="62">
        <f ca="1">AVERAGE(OFFSET($BH$3,0,0,'Données projet'!$E$11+1,1))-AVERAGE(OFFSET($H$3,0,0,'Données projet'!$E$11+1,1))</f>
        <v>209.0958230411249</v>
      </c>
      <c r="BJ45" s="62">
        <f t="shared" si="38"/>
        <v>250.34919671671565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12.602564102564102</v>
      </c>
      <c r="BY45" s="13">
        <f>IF('Données projet'!$A$114&gt;35,BY44+BX45-CG44,IF(A45&lt;'Données projet'!$A$114,$BV$205^A45,IF(A45='Données projet'!$A$114,'Données projet'!$B$114,BY44+BX45-CG44)))</f>
        <v>114.56410256410261</v>
      </c>
      <c r="BZ45" s="14">
        <f>BY45*VLOOKUP('Données projet'!$B$12,Paramètres!$A$1:$I$89,3,0)*VLOOKUP('Données projet'!$B$12,Paramètres!$A$1:$I$89,5,0)</f>
        <v>73.275200000000027</v>
      </c>
      <c r="CA45" s="14">
        <f t="shared" si="39"/>
        <v>20.484627977168635</v>
      </c>
      <c r="CB45" s="22">
        <f t="shared" si="10"/>
        <v>163.29836706023542</v>
      </c>
      <c r="CC45" s="62">
        <f t="shared" si="11"/>
        <v>456.63170039356874</v>
      </c>
      <c r="CD45" s="62">
        <f ca="1">AVERAGE(OFFSET($CC$3,0,0,'Données projet'!$E$12+1,1))-AVERAGE(OFFSET($H$3,0,0,'Données projet'!$E$12+1,1))</f>
        <v>152.52712777621315</v>
      </c>
      <c r="CE45" s="62">
        <f t="shared" si="40"/>
        <v>145.25423263217925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7.4</v>
      </c>
      <c r="CT45" s="13">
        <f>IF('Données projet'!$A$140&gt;35,CT44+CS45-DB44,IF(A45&lt;'Données projet'!$A$140,$CQ$205^A45,IF(A45='Données projet'!$A$140,'Données projet'!$B$140,CT44+CS45-DB44)))</f>
        <v>209.80000000000007</v>
      </c>
      <c r="CU45" s="18">
        <f>CT45*VLOOKUP('Données projet'!$B$13,Paramètres!$A$1:$I$89,3,0)*VLOOKUP('Données projet'!$B$13,Paramètres!$A$1:$I$89,5,0)</f>
        <v>137.46096000000006</v>
      </c>
      <c r="CV45" s="14">
        <f t="shared" si="41"/>
        <v>35.714728952321281</v>
      </c>
      <c r="CW45" s="22">
        <f t="shared" si="13"/>
        <v>301.61432492529298</v>
      </c>
      <c r="CX45" s="62">
        <f t="shared" si="14"/>
        <v>594.94765825862623</v>
      </c>
      <c r="CY45" s="62">
        <f ca="1">AVERAGE(OFFSET($CX$3,0,0,'Données projet'!$E$13+1,1))-AVERAGE(OFFSET($H$3,0,0,'Données projet'!$E$13+1,1))</f>
        <v>158.23848664370132</v>
      </c>
      <c r="CZ45" s="62">
        <f t="shared" si="42"/>
        <v>172.92355799729972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2">
        <f t="shared" si="32"/>
        <v>11.350856362116874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70">
        <f t="shared" si="1"/>
        <v>378.52810149735353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118.94688000000005</v>
      </c>
      <c r="P46" s="14">
        <f t="shared" si="33"/>
        <v>31.429250481525276</v>
      </c>
      <c r="Q46" s="22">
        <f t="shared" si="53"/>
        <v>261.90509392198993</v>
      </c>
      <c r="R46" s="62">
        <f t="shared" si="0"/>
        <v>555.23842725532324</v>
      </c>
      <c r="S46" s="62">
        <f ca="1">AVERAGE(OFFSET($R$3,0,0,'Données projet'!$E$9+1,1))-AVERAGE(OFFSET($H$3,0,0,'Données projet'!$E$9+1,1))</f>
        <v>223.49015613166239</v>
      </c>
      <c r="T46" s="62">
        <f t="shared" si="34"/>
        <v>136.15898308259307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97.899731390293653</v>
      </c>
      <c r="AO46" s="62">
        <f t="shared" si="36"/>
        <v>310.21833995692549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48.113914899368687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1.9973810578964276E-3</v>
      </c>
      <c r="AX46" s="23">
        <f t="shared" si="6"/>
        <v>48.115912280426585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188.20000000000005</v>
      </c>
      <c r="BE46" s="14">
        <f>BD46*VLOOKUP('Données projet'!$B$11,Paramètres!$A$1:$I$89,3,0)*VLOOKUP('Données projet'!$B$11,Paramètres!$A$1:$I$89,5,0)</f>
        <v>152.66784000000007</v>
      </c>
      <c r="BF46" s="14">
        <f t="shared" si="37"/>
        <v>39.184238379220069</v>
      </c>
      <c r="BG46" s="22">
        <f t="shared" si="7"/>
        <v>334.14236984380841</v>
      </c>
      <c r="BH46" s="62">
        <f t="shared" si="8"/>
        <v>627.47570317714167</v>
      </c>
      <c r="BI46" s="62">
        <f ca="1">AVERAGE(OFFSET($BH$3,0,0,'Données projet'!$E$11+1,1))-AVERAGE(OFFSET($H$3,0,0,'Données projet'!$E$11+1,1))</f>
        <v>209.0958230411249</v>
      </c>
      <c r="BJ46" s="62">
        <f t="shared" si="38"/>
        <v>250.34919671671565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12.602564102564102</v>
      </c>
      <c r="BY46" s="13">
        <f>IF('Données projet'!$A$114&gt;35,BY45+BX46-CG45,IF(A46&lt;'Données projet'!$A$114,$BV$205^A46,IF(A46='Données projet'!$A$114,'Données projet'!$B$114,BY45+BX46-CG45)))</f>
        <v>127.16666666666671</v>
      </c>
      <c r="BZ46" s="14">
        <f>BY46*VLOOKUP('Données projet'!$B$12,Paramètres!$A$1:$I$89,3,0)*VLOOKUP('Données projet'!$B$12,Paramètres!$A$1:$I$89,5,0)</f>
        <v>81.335800000000035</v>
      </c>
      <c r="CA46" s="14">
        <f t="shared" si="39"/>
        <v>22.463478730210714</v>
      </c>
      <c r="CB46" s="22">
        <f t="shared" si="10"/>
        <v>180.78374378845038</v>
      </c>
      <c r="CC46" s="62">
        <f t="shared" si="11"/>
        <v>474.11707712178372</v>
      </c>
      <c r="CD46" s="62">
        <f ca="1">AVERAGE(OFFSET($CC$3,0,0,'Données projet'!$E$12+1,1))-AVERAGE(OFFSET($H$3,0,0,'Données projet'!$E$12+1,1))</f>
        <v>152.52712777621315</v>
      </c>
      <c r="CE46" s="62">
        <f t="shared" si="40"/>
        <v>145.25423263217925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7.4</v>
      </c>
      <c r="CT46" s="13">
        <f>IF('Données projet'!$A$140&gt;35,CT45+CS46-DB45,IF(A46&lt;'Données projet'!$A$140,$CQ$205^A46,IF(A46='Données projet'!$A$140,'Données projet'!$B$140,CT45+CS46-DB45)))</f>
        <v>217.20000000000007</v>
      </c>
      <c r="CU46" s="18">
        <f>CT46*VLOOKUP('Données projet'!$B$13,Paramètres!$A$1:$I$89,3,0)*VLOOKUP('Données projet'!$B$13,Paramètres!$A$1:$I$89,5,0)</f>
        <v>142.30944000000005</v>
      </c>
      <c r="CV46" s="14">
        <f t="shared" si="41"/>
        <v>36.825560926488883</v>
      </c>
      <c r="CW46" s="22">
        <f t="shared" si="13"/>
        <v>311.99345994696824</v>
      </c>
      <c r="CX46" s="62">
        <f t="shared" si="14"/>
        <v>605.32679328030156</v>
      </c>
      <c r="CY46" s="62">
        <f ca="1">AVERAGE(OFFSET($CX$3,0,0,'Données projet'!$E$13+1,1))-AVERAGE(OFFSET($H$3,0,0,'Données projet'!$E$13+1,1))</f>
        <v>158.23848664370132</v>
      </c>
      <c r="CZ46" s="62">
        <f t="shared" si="42"/>
        <v>172.92355799729972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2">
        <f t="shared" si="32"/>
        <v>11.583790263708345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70">
        <f t="shared" si="1"/>
        <v>380.45531470929205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126.02304000000005</v>
      </c>
      <c r="P47" s="14">
        <f t="shared" si="33"/>
        <v>33.075745544773369</v>
      </c>
      <c r="Q47" s="22">
        <f t="shared" si="53"/>
        <v>277.0970514904804</v>
      </c>
      <c r="R47" s="62">
        <f t="shared" si="0"/>
        <v>570.43038482381371</v>
      </c>
      <c r="S47" s="62">
        <f ca="1">AVERAGE(OFFSET($R$3,0,0,'Données projet'!$E$9+1,1))-AVERAGE(OFFSET($H$3,0,0,'Données projet'!$E$9+1,1))</f>
        <v>223.49015613166239</v>
      </c>
      <c r="T47" s="62">
        <f t="shared" si="34"/>
        <v>136.15898308259307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97.899731390293653</v>
      </c>
      <c r="AO47" s="62">
        <f t="shared" si="36"/>
        <v>310.21833995692549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47.17043037478242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1.412361690652124E-3</v>
      </c>
      <c r="AX47" s="23">
        <f t="shared" si="6"/>
        <v>47.171842736473074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196.40000000000006</v>
      </c>
      <c r="BE47" s="14">
        <f>BD47*VLOOKUP('Données projet'!$B$11,Paramètres!$A$1:$I$89,3,0)*VLOOKUP('Données projet'!$B$11,Paramètres!$A$1:$I$89,5,0)</f>
        <v>159.31968000000006</v>
      </c>
      <c r="BF47" s="14">
        <f t="shared" si="37"/>
        <v>40.689029298232143</v>
      </c>
      <c r="BG47" s="22">
        <f t="shared" si="7"/>
        <v>348.34850202775442</v>
      </c>
      <c r="BH47" s="62">
        <f t="shared" si="8"/>
        <v>641.68183536108768</v>
      </c>
      <c r="BI47" s="62">
        <f ca="1">AVERAGE(OFFSET($BH$3,0,0,'Données projet'!$E$11+1,1))-AVERAGE(OFFSET($H$3,0,0,'Données projet'!$E$11+1,1))</f>
        <v>209.0958230411249</v>
      </c>
      <c r="BJ47" s="62">
        <f t="shared" si="38"/>
        <v>250.34919671671565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12.602564102564102</v>
      </c>
      <c r="BY47" s="13">
        <f>IF('Données projet'!$A$114&gt;35,BY46+BX47-CG46,IF(A47&lt;'Données projet'!$A$114,$BV$205^A47,IF(A47='Données projet'!$A$114,'Données projet'!$B$114,BY46+BX47-CG46)))</f>
        <v>139.76923076923083</v>
      </c>
      <c r="BZ47" s="14">
        <f>BY47*VLOOKUP('Données projet'!$B$12,Paramètres!$A$1:$I$89,3,0)*VLOOKUP('Données projet'!$B$12,Paramètres!$A$1:$I$89,5,0)</f>
        <v>89.396400000000042</v>
      </c>
      <c r="CA47" s="14">
        <f t="shared" si="39"/>
        <v>24.419594244722955</v>
      </c>
      <c r="CB47" s="22">
        <f t="shared" si="10"/>
        <v>198.22952330955923</v>
      </c>
      <c r="CC47" s="62">
        <f t="shared" si="11"/>
        <v>491.56285664289254</v>
      </c>
      <c r="CD47" s="62">
        <f ca="1">AVERAGE(OFFSET($CC$3,0,0,'Données projet'!$E$12+1,1))-AVERAGE(OFFSET($H$3,0,0,'Données projet'!$E$12+1,1))</f>
        <v>152.52712777621315</v>
      </c>
      <c r="CE47" s="62">
        <f t="shared" si="40"/>
        <v>145.25423263217925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7.4</v>
      </c>
      <c r="CT47" s="13">
        <f>IF('Données projet'!$A$140&gt;35,CT46+CS47-DB46,IF(A47&lt;'Données projet'!$A$140,$CQ$205^A47,IF(A47='Données projet'!$A$140,'Données projet'!$B$140,CT46+CS47-DB46)))</f>
        <v>224.60000000000008</v>
      </c>
      <c r="CU47" s="18">
        <f>CT47*VLOOKUP('Données projet'!$B$13,Paramètres!$A$1:$I$89,3,0)*VLOOKUP('Données projet'!$B$13,Paramètres!$A$1:$I$89,5,0)</f>
        <v>147.15792000000008</v>
      </c>
      <c r="CV47" s="14">
        <f t="shared" si="41"/>
        <v>37.931995448211751</v>
      </c>
      <c r="CW47" s="22">
        <f t="shared" si="13"/>
        <v>322.36493607230227</v>
      </c>
      <c r="CX47" s="62">
        <f t="shared" si="14"/>
        <v>615.69826940563553</v>
      </c>
      <c r="CY47" s="62">
        <f ca="1">AVERAGE(OFFSET($CX$3,0,0,'Données projet'!$E$13+1,1))-AVERAGE(OFFSET($H$3,0,0,'Données projet'!$E$13+1,1))</f>
        <v>158.23848664370132</v>
      </c>
      <c r="CZ47" s="62">
        <f t="shared" si="42"/>
        <v>172.92355799729972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2">
        <f t="shared" si="32"/>
        <v>11.816108707618405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70">
        <f t="shared" si="1"/>
        <v>382.38145599910206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133.09920000000005</v>
      </c>
      <c r="P48" s="14">
        <f t="shared" si="33"/>
        <v>34.71150853565117</v>
      </c>
      <c r="Q48" s="22">
        <f t="shared" si="53"/>
        <v>292.27031736625918</v>
      </c>
      <c r="R48" s="62">
        <f t="shared" si="0"/>
        <v>585.60365069959244</v>
      </c>
      <c r="S48" s="62">
        <f ca="1">AVERAGE(OFFSET($R$3,0,0,'Données projet'!$E$9+1,1))-AVERAGE(OFFSET($H$3,0,0,'Données projet'!$E$9+1,1))</f>
        <v>223.49015613166239</v>
      </c>
      <c r="T48" s="62">
        <f t="shared" si="34"/>
        <v>136.15898308259307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97.899731390293653</v>
      </c>
      <c r="AO48" s="62">
        <f t="shared" si="36"/>
        <v>310.21833995692549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46.245447006254551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9.9869052894821378E-4</v>
      </c>
      <c r="AX48" s="23">
        <f t="shared" si="6"/>
        <v>46.246445696783496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204.60000000000008</v>
      </c>
      <c r="BE48" s="14">
        <f>BD48*VLOOKUP('Données projet'!$B$11,Paramètres!$A$1:$I$89,3,0)*VLOOKUP('Données projet'!$B$11,Paramètres!$A$1:$I$89,5,0)</f>
        <v>165.97152000000006</v>
      </c>
      <c r="BF48" s="14">
        <f t="shared" si="37"/>
        <v>42.186522619819435</v>
      </c>
      <c r="BG48" s="22">
        <f t="shared" si="7"/>
        <v>362.541924229519</v>
      </c>
      <c r="BH48" s="62">
        <f t="shared" si="8"/>
        <v>655.87525756285231</v>
      </c>
      <c r="BI48" s="62">
        <f ca="1">AVERAGE(OFFSET($BH$3,0,0,'Données projet'!$E$11+1,1))-AVERAGE(OFFSET($H$3,0,0,'Données projet'!$E$11+1,1))</f>
        <v>209.0958230411249</v>
      </c>
      <c r="BJ48" s="62">
        <f t="shared" si="38"/>
        <v>250.34919671671565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12.602564102564102</v>
      </c>
      <c r="BY48" s="13">
        <f>IF('Données projet'!$A$114&gt;35,BY47+BX48-CG47,IF(A48&lt;'Données projet'!$A$114,$BV$205^A48,IF(A48='Données projet'!$A$114,'Données projet'!$B$114,BY47+BX48-CG47)))</f>
        <v>152.37179487179492</v>
      </c>
      <c r="BZ48" s="14">
        <f>BY48*VLOOKUP('Données projet'!$B$12,Paramètres!$A$1:$I$89,3,0)*VLOOKUP('Données projet'!$B$12,Paramètres!$A$1:$I$89,5,0)</f>
        <v>97.457000000000036</v>
      </c>
      <c r="CA48" s="14">
        <f t="shared" si="39"/>
        <v>26.355257613045527</v>
      </c>
      <c r="CB48" s="22">
        <f t="shared" si="10"/>
        <v>215.63968200938768</v>
      </c>
      <c r="CC48" s="62">
        <f t="shared" si="11"/>
        <v>508.973015342721</v>
      </c>
      <c r="CD48" s="62">
        <f ca="1">AVERAGE(OFFSET($CC$3,0,0,'Données projet'!$E$12+1,1))-AVERAGE(OFFSET($H$3,0,0,'Données projet'!$E$12+1,1))</f>
        <v>152.52712777621315</v>
      </c>
      <c r="CE48" s="62">
        <f t="shared" si="40"/>
        <v>145.25423263217925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232</v>
      </c>
      <c r="CR48" s="13">
        <f>VLOOKUP(A48,'Données projet'!$A$139:$I$159,9,0)</f>
        <v>7.4</v>
      </c>
      <c r="CS48" s="13">
        <f t="array" ref="CS48">INDEX(CR:CR,MIN(IF(ISNUMBER(CR48:CR244),ROW(CR48:CR244),"")))</f>
        <v>7.4</v>
      </c>
      <c r="CT48" s="13">
        <f>IF('Données projet'!$A$140&gt;35,CT47+CS48-DB47,IF(A48&lt;'Données projet'!$A$140,$CQ$205^A48,IF(A48='Données projet'!$A$140,'Données projet'!$B$140,CT47+CS48-DB47)))</f>
        <v>232.00000000000009</v>
      </c>
      <c r="CU48" s="18">
        <f>CT48*VLOOKUP('Données projet'!$B$13,Paramètres!$A$1:$I$89,3,0)*VLOOKUP('Données projet'!$B$13,Paramètres!$A$1:$I$89,5,0)</f>
        <v>152.00640000000004</v>
      </c>
      <c r="CV48" s="14">
        <f t="shared" si="41"/>
        <v>39.034194016561486</v>
      </c>
      <c r="CW48" s="22">
        <f t="shared" si="13"/>
        <v>332.72903457884462</v>
      </c>
      <c r="CX48" s="62">
        <f t="shared" si="14"/>
        <v>626.06236791217793</v>
      </c>
      <c r="CY48" s="62">
        <f ca="1">AVERAGE(OFFSET($CX$3,0,0,'Données projet'!$E$13+1,1))-AVERAGE(OFFSET($H$3,0,0,'Données projet'!$E$13+1,1))</f>
        <v>158.23848664370132</v>
      </c>
      <c r="CZ48" s="62">
        <f t="shared" si="42"/>
        <v>172.92355799729972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2">
        <f t="shared" si="32"/>
        <v>12.047826945473741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70">
        <f t="shared" si="1"/>
        <v>384.30655193003344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140.00688000000005</v>
      </c>
      <c r="P49" s="14">
        <f t="shared" si="33"/>
        <v>36.29858160188811</v>
      </c>
      <c r="Q49" s="22">
        <f t="shared" si="53"/>
        <v>307.06534562328858</v>
      </c>
      <c r="R49" s="62">
        <f t="shared" si="0"/>
        <v>600.39867895662189</v>
      </c>
      <c r="S49" s="62">
        <f ca="1">AVERAGE(OFFSET($R$3,0,0,'Données projet'!$E$9+1,1))-AVERAGE(OFFSET($H$3,0,0,'Données projet'!$E$9+1,1))</f>
        <v>223.49015613166239</v>
      </c>
      <c r="T49" s="62">
        <f t="shared" si="34"/>
        <v>136.15898308259307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97.899731390293653</v>
      </c>
      <c r="AO49" s="62">
        <f t="shared" si="36"/>
        <v>310.21833995692549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45.338601997399373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7.0618084532606202E-4</v>
      </c>
      <c r="AX49" s="23">
        <f t="shared" si="6"/>
        <v>45.3393081782447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211.72000000000008</v>
      </c>
      <c r="BE49" s="14">
        <f>BD49*VLOOKUP('Données projet'!$B$11,Paramètres!$A$1:$I$89,3,0)*VLOOKUP('Données projet'!$B$11,Paramètres!$A$1:$I$89,5,0)</f>
        <v>171.74726400000009</v>
      </c>
      <c r="BF49" s="14">
        <f t="shared" si="37"/>
        <v>43.481119402367973</v>
      </c>
      <c r="BG49" s="22">
        <f t="shared" si="7"/>
        <v>374.85610109245766</v>
      </c>
      <c r="BH49" s="62">
        <f t="shared" si="8"/>
        <v>668.18943442579098</v>
      </c>
      <c r="BI49" s="62">
        <f ca="1">AVERAGE(OFFSET($BH$3,0,0,'Données projet'!$E$11+1,1))-AVERAGE(OFFSET($H$3,0,0,'Données projet'!$E$11+1,1))</f>
        <v>209.0958230411249</v>
      </c>
      <c r="BJ49" s="62">
        <f t="shared" si="38"/>
        <v>250.34919671671565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12.602564102564102</v>
      </c>
      <c r="BY49" s="13">
        <f>IF('Données projet'!$A$114&gt;35,BY48+BX49-CG48,IF(A49&lt;'Données projet'!$A$114,$BV$205^A49,IF(A49='Données projet'!$A$114,'Données projet'!$B$114,BY48+BX49-CG48)))</f>
        <v>164.97435897435901</v>
      </c>
      <c r="BZ49" s="14">
        <f>BY49*VLOOKUP('Données projet'!$B$12,Paramètres!$A$1:$I$89,3,0)*VLOOKUP('Données projet'!$B$12,Paramètres!$A$1:$I$89,5,0)</f>
        <v>105.51760000000002</v>
      </c>
      <c r="CA49" s="14">
        <f t="shared" si="39"/>
        <v>28.272352734447949</v>
      </c>
      <c r="CB49" s="22">
        <f t="shared" si="10"/>
        <v>233.01750101249687</v>
      </c>
      <c r="CC49" s="62">
        <f t="shared" si="11"/>
        <v>526.35083434583021</v>
      </c>
      <c r="CD49" s="62">
        <f ca="1">AVERAGE(OFFSET($CC$3,0,0,'Données projet'!$E$12+1,1))-AVERAGE(OFFSET($H$3,0,0,'Données projet'!$E$12+1,1))</f>
        <v>152.52712777621315</v>
      </c>
      <c r="CE49" s="62">
        <f t="shared" si="40"/>
        <v>145.25423263217925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6.6</v>
      </c>
      <c r="CT49" s="13">
        <f>IF('Données projet'!$A$140&gt;35,CT48+CS49-DB48,IF(A49&lt;'Données projet'!$A$140,$CQ$205^A49,IF(A49='Données projet'!$A$140,'Données projet'!$B$140,CT48+CS49-DB48)))</f>
        <v>188.60000000000008</v>
      </c>
      <c r="CU49" s="18">
        <f>CT49*VLOOKUP('Données projet'!$B$13,Paramètres!$A$1:$I$89,3,0)*VLOOKUP('Données projet'!$B$13,Paramètres!$A$1:$I$89,5,0)</f>
        <v>123.57072000000005</v>
      </c>
      <c r="CV49" s="14">
        <f t="shared" si="41"/>
        <v>32.506384557027701</v>
      </c>
      <c r="CW49" s="22">
        <f t="shared" si="13"/>
        <v>271.83429043682332</v>
      </c>
      <c r="CX49" s="62">
        <f t="shared" si="14"/>
        <v>565.16762377015664</v>
      </c>
      <c r="CY49" s="62">
        <f ca="1">AVERAGE(OFFSET($CX$3,0,0,'Données projet'!$E$13+1,1))-AVERAGE(OFFSET($H$3,0,0,'Données projet'!$E$13+1,1))</f>
        <v>158.23848664370132</v>
      </c>
      <c r="CZ49" s="62">
        <f t="shared" si="42"/>
        <v>172.92355799729972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2">
        <f t="shared" si="32"/>
        <v>12.278959527914754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70">
        <f t="shared" si="1"/>
        <v>386.23062784445153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146.91456000000005</v>
      </c>
      <c r="P50" s="14">
        <f t="shared" si="33"/>
        <v>37.87656239799518</v>
      </c>
      <c r="Q50" s="22">
        <f t="shared" si="53"/>
        <v>321.84453817650837</v>
      </c>
      <c r="R50" s="62">
        <f t="shared" si="0"/>
        <v>615.17787150984168</v>
      </c>
      <c r="S50" s="62">
        <f ca="1">AVERAGE(OFFSET($R$3,0,0,'Données projet'!$E$9+1,1))-AVERAGE(OFFSET($H$3,0,0,'Données projet'!$E$9+1,1))</f>
        <v>223.49015613166239</v>
      </c>
      <c r="T50" s="62">
        <f t="shared" si="34"/>
        <v>136.15898308259307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97.899731390293653</v>
      </c>
      <c r="AO50" s="62">
        <f t="shared" si="36"/>
        <v>310.21833995692549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44.449539666047002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4.9934526447410689E-4</v>
      </c>
      <c r="AX50" s="23">
        <f t="shared" si="6"/>
        <v>44.450039011311475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218.84000000000009</v>
      </c>
      <c r="BE50" s="14">
        <f>BD50*VLOOKUP('Données projet'!$B$11,Paramètres!$A$1:$I$89,3,0)*VLOOKUP('Données projet'!$B$11,Paramètres!$A$1:$I$89,5,0)</f>
        <v>177.52300800000009</v>
      </c>
      <c r="BF50" s="14">
        <f t="shared" si="37"/>
        <v>44.770657444866259</v>
      </c>
      <c r="BG50" s="22">
        <f t="shared" si="7"/>
        <v>387.16146731647558</v>
      </c>
      <c r="BH50" s="62">
        <f t="shared" si="8"/>
        <v>680.49480064980889</v>
      </c>
      <c r="BI50" s="62">
        <f ca="1">AVERAGE(OFFSET($BH$3,0,0,'Données projet'!$E$11+1,1))-AVERAGE(OFFSET($H$3,0,0,'Données projet'!$E$11+1,1))</f>
        <v>209.0958230411249</v>
      </c>
      <c r="BJ50" s="62">
        <f t="shared" si="38"/>
        <v>250.34919671671565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12.602564102564102</v>
      </c>
      <c r="BY50" s="13">
        <f>IF('Données projet'!$A$114&gt;35,BY49+BX50-CG49,IF(A50&lt;'Données projet'!$A$114,$BV$205^A50,IF(A50='Données projet'!$A$114,'Données projet'!$B$114,BY49+BX50-CG49)))</f>
        <v>177.57692307692309</v>
      </c>
      <c r="BZ50" s="14">
        <f>BY50*VLOOKUP('Données projet'!$B$12,Paramètres!$A$1:$I$89,3,0)*VLOOKUP('Données projet'!$B$12,Paramètres!$A$1:$I$89,5,0)</f>
        <v>113.57820000000001</v>
      </c>
      <c r="CA50" s="14">
        <f t="shared" si="39"/>
        <v>30.172459336215461</v>
      </c>
      <c r="CB50" s="22">
        <f t="shared" si="10"/>
        <v>250.36573167724194</v>
      </c>
      <c r="CC50" s="62">
        <f t="shared" si="11"/>
        <v>543.69906501057528</v>
      </c>
      <c r="CD50" s="62">
        <f ca="1">AVERAGE(OFFSET($CC$3,0,0,'Données projet'!$E$12+1,1))-AVERAGE(OFFSET($H$3,0,0,'Données projet'!$E$12+1,1))</f>
        <v>152.52712777621315</v>
      </c>
      <c r="CE50" s="62">
        <f t="shared" si="40"/>
        <v>145.25423263217925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6.6</v>
      </c>
      <c r="CT50" s="13">
        <f>IF('Données projet'!$A$140&gt;35,CT49+CS50-DB49,IF(A50&lt;'Données projet'!$A$140,$CQ$205^A50,IF(A50='Données projet'!$A$140,'Données projet'!$B$140,CT49+CS50-DB49)))</f>
        <v>195.20000000000007</v>
      </c>
      <c r="CU50" s="18">
        <f>CT50*VLOOKUP('Données projet'!$B$13,Paramètres!$A$1:$I$89,3,0)*VLOOKUP('Données projet'!$B$13,Paramètres!$A$1:$I$89,5,0)</f>
        <v>127.89504000000004</v>
      </c>
      <c r="CV50" s="14">
        <f t="shared" si="41"/>
        <v>33.509503727991913</v>
      </c>
      <c r="CW50" s="22">
        <f t="shared" si="13"/>
        <v>281.11291365958601</v>
      </c>
      <c r="CX50" s="62">
        <f t="shared" si="14"/>
        <v>574.44624699291933</v>
      </c>
      <c r="CY50" s="62">
        <f ca="1">AVERAGE(OFFSET($CX$3,0,0,'Données projet'!$E$13+1,1))-AVERAGE(OFFSET($H$3,0,0,'Données projet'!$E$13+1,1))</f>
        <v>158.23848664370132</v>
      </c>
      <c r="CZ50" s="62">
        <f t="shared" si="42"/>
        <v>172.92355799729972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2">
        <f t="shared" si="32"/>
        <v>12.50952035103195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70">
        <f t="shared" si="1"/>
        <v>388.15370794471403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153.82224000000002</v>
      </c>
      <c r="P51" s="14">
        <f t="shared" si="33"/>
        <v>39.445927244182762</v>
      </c>
      <c r="Q51" s="22">
        <f t="shared" si="53"/>
        <v>336.60872461695169</v>
      </c>
      <c r="R51" s="62">
        <f t="shared" si="0"/>
        <v>629.94205795028506</v>
      </c>
      <c r="S51" s="62">
        <f ca="1">AVERAGE(OFFSET($R$3,0,0,'Données projet'!$E$9+1,1))-AVERAGE(OFFSET($H$3,0,0,'Données projet'!$E$9+1,1))</f>
        <v>223.49015613166239</v>
      </c>
      <c r="T51" s="62">
        <f t="shared" si="34"/>
        <v>136.15898308259307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97.899731390293653</v>
      </c>
      <c r="AO51" s="62">
        <f t="shared" si="36"/>
        <v>310.21833995692549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43.577911304737974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3.5309042266303101E-4</v>
      </c>
      <c r="AX51" s="23">
        <f t="shared" si="6"/>
        <v>43.578264395160637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225.96000000000009</v>
      </c>
      <c r="BE51" s="14">
        <f>BD51*VLOOKUP('Données projet'!$B$11,Paramètres!$A$1:$I$89,3,0)*VLOOKUP('Données projet'!$B$11,Paramètres!$A$1:$I$89,5,0)</f>
        <v>183.29875200000009</v>
      </c>
      <c r="BF51" s="14">
        <f t="shared" si="37"/>
        <v>46.055320210518545</v>
      </c>
      <c r="BG51" s="22">
        <f t="shared" si="7"/>
        <v>399.45834243331996</v>
      </c>
      <c r="BH51" s="62">
        <f t="shared" si="8"/>
        <v>692.79167576665327</v>
      </c>
      <c r="BI51" s="62">
        <f ca="1">AVERAGE(OFFSET($BH$3,0,0,'Données projet'!$E$11+1,1))-AVERAGE(OFFSET($H$3,0,0,'Données projet'!$E$11+1,1))</f>
        <v>209.0958230411249</v>
      </c>
      <c r="BJ51" s="62">
        <f t="shared" si="38"/>
        <v>250.34919671671565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12.602564102564102</v>
      </c>
      <c r="BY51" s="13">
        <f>IF('Données projet'!$A$114&gt;35,BY50+BX51-CG50,IF(A51&lt;'Données projet'!$A$114,$BV$205^A51,IF(A51='Données projet'!$A$114,'Données projet'!$B$114,BY50+BX51-CG50)))</f>
        <v>190.17948717948718</v>
      </c>
      <c r="BZ51" s="14">
        <f>BY51*VLOOKUP('Données projet'!$B$12,Paramètres!$A$1:$I$89,3,0)*VLOOKUP('Données projet'!$B$12,Paramètres!$A$1:$I$89,5,0)</f>
        <v>121.6388</v>
      </c>
      <c r="CA51" s="14">
        <f t="shared" si="39"/>
        <v>32.056920216971605</v>
      </c>
      <c r="CB51" s="22">
        <f t="shared" si="10"/>
        <v>267.68671271122554</v>
      </c>
      <c r="CC51" s="62">
        <f t="shared" si="11"/>
        <v>561.02004604455885</v>
      </c>
      <c r="CD51" s="62">
        <f ca="1">AVERAGE(OFFSET($CC$3,0,0,'Données projet'!$E$12+1,1))-AVERAGE(OFFSET($H$3,0,0,'Données projet'!$E$12+1,1))</f>
        <v>152.52712777621315</v>
      </c>
      <c r="CE51" s="62">
        <f t="shared" si="40"/>
        <v>145.25423263217925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6.6</v>
      </c>
      <c r="CT51" s="13">
        <f>IF('Données projet'!$A$140&gt;35,CT50+CS51-DB50,IF(A51&lt;'Données projet'!$A$140,$CQ$205^A51,IF(A51='Données projet'!$A$140,'Données projet'!$B$140,CT50+CS51-DB50)))</f>
        <v>201.80000000000007</v>
      </c>
      <c r="CU51" s="18">
        <f>CT51*VLOOKUP('Données projet'!$B$13,Paramètres!$A$1:$I$89,3,0)*VLOOKUP('Données projet'!$B$13,Paramètres!$A$1:$I$89,5,0)</f>
        <v>132.21936000000005</v>
      </c>
      <c r="CV51" s="14">
        <f t="shared" si="41"/>
        <v>34.508681932648301</v>
      </c>
      <c r="CW51" s="22">
        <f t="shared" si="13"/>
        <v>290.3846730326959</v>
      </c>
      <c r="CX51" s="62">
        <f t="shared" si="14"/>
        <v>583.71800636602916</v>
      </c>
      <c r="CY51" s="62">
        <f ca="1">AVERAGE(OFFSET($CX$3,0,0,'Données projet'!$E$13+1,1))-AVERAGE(OFFSET($H$3,0,0,'Données projet'!$E$13+1,1))</f>
        <v>158.23848664370132</v>
      </c>
      <c r="CZ51" s="62">
        <f t="shared" si="42"/>
        <v>172.92355799729972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2">
        <f t="shared" si="32"/>
        <v>12.739522698823436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70">
        <f t="shared" si="1"/>
        <v>390.07581536711751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160.72992000000002</v>
      </c>
      <c r="P52" s="14">
        <f t="shared" si="33"/>
        <v>41.007107262069759</v>
      </c>
      <c r="Q52" s="22">
        <f t="shared" si="53"/>
        <v>351.35865581477151</v>
      </c>
      <c r="R52" s="62">
        <f t="shared" si="0"/>
        <v>644.69198914810477</v>
      </c>
      <c r="S52" s="62">
        <f ca="1">AVERAGE(OFFSET($R$3,0,0,'Données projet'!$E$9+1,1))-AVERAGE(OFFSET($H$3,0,0,'Données projet'!$E$9+1,1))</f>
        <v>223.49015613166239</v>
      </c>
      <c r="T52" s="62">
        <f t="shared" si="34"/>
        <v>136.15898308259307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97.899731390293653</v>
      </c>
      <c r="AO52" s="62">
        <f t="shared" si="36"/>
        <v>310.21833995692549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42.723375043953411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2.4967263223705345E-4</v>
      </c>
      <c r="AX52" s="23">
        <f t="shared" si="6"/>
        <v>42.723624716585647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233.0800000000001</v>
      </c>
      <c r="BE52" s="14">
        <f>BD52*VLOOKUP('Données projet'!$B$11,Paramètres!$A$1:$I$89,3,0)*VLOOKUP('Données projet'!$B$11,Paramètres!$A$1:$I$89,5,0)</f>
        <v>189.0744960000001</v>
      </c>
      <c r="BF52" s="14">
        <f t="shared" si="37"/>
        <v>47.335278944050813</v>
      </c>
      <c r="BG52" s="22">
        <f t="shared" si="7"/>
        <v>411.74702469422203</v>
      </c>
      <c r="BH52" s="62">
        <f t="shared" si="8"/>
        <v>705.08035802755535</v>
      </c>
      <c r="BI52" s="62">
        <f ca="1">AVERAGE(OFFSET($BH$3,0,0,'Données projet'!$E$11+1,1))-AVERAGE(OFFSET($H$3,0,0,'Données projet'!$E$11+1,1))</f>
        <v>209.0958230411249</v>
      </c>
      <c r="BJ52" s="62">
        <f t="shared" si="38"/>
        <v>250.34919671671565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12.602564102564102</v>
      </c>
      <c r="BY52" s="13">
        <f>IF('Données projet'!$A$114&gt;35,BY51+BX52-CG51,IF(A52&lt;'Données projet'!$A$114,$BV$205^A52,IF(A52='Données projet'!$A$114,'Données projet'!$B$114,BY51+BX52-CG51)))</f>
        <v>202.78205128205127</v>
      </c>
      <c r="BZ52" s="14">
        <f>BY52*VLOOKUP('Données projet'!$B$12,Paramètres!$A$1:$I$89,3,0)*VLOOKUP('Données projet'!$B$12,Paramètres!$A$1:$I$89,5,0)</f>
        <v>129.6994</v>
      </c>
      <c r="CA52" s="14">
        <f t="shared" si="39"/>
        <v>33.926890142481575</v>
      </c>
      <c r="CB52" s="22">
        <f t="shared" si="10"/>
        <v>284.98245533148872</v>
      </c>
      <c r="CC52" s="62">
        <f t="shared" si="11"/>
        <v>578.31578866482209</v>
      </c>
      <c r="CD52" s="62">
        <f ca="1">AVERAGE(OFFSET($CC$3,0,0,'Données projet'!$E$12+1,1))-AVERAGE(OFFSET($H$3,0,0,'Données projet'!$E$12+1,1))</f>
        <v>152.52712777621315</v>
      </c>
      <c r="CE52" s="62">
        <f t="shared" si="40"/>
        <v>145.25423263217925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6.6</v>
      </c>
      <c r="CT52" s="13">
        <f>IF('Données projet'!$A$140&gt;35,CT51+CS52-DB51,IF(A52&lt;'Données projet'!$A$140,$CQ$205^A52,IF(A52='Données projet'!$A$140,'Données projet'!$B$140,CT51+CS52-DB51)))</f>
        <v>208.40000000000006</v>
      </c>
      <c r="CU52" s="18">
        <f>CT52*VLOOKUP('Données projet'!$B$13,Paramètres!$A$1:$I$89,3,0)*VLOOKUP('Données projet'!$B$13,Paramètres!$A$1:$I$89,5,0)</f>
        <v>136.54368000000002</v>
      </c>
      <c r="CV52" s="14">
        <f t="shared" si="41"/>
        <v>35.504062844328153</v>
      </c>
      <c r="CW52" s="22">
        <f t="shared" si="13"/>
        <v>299.64981878720488</v>
      </c>
      <c r="CX52" s="62">
        <f t="shared" si="14"/>
        <v>592.98315212053819</v>
      </c>
      <c r="CY52" s="62">
        <f ca="1">AVERAGE(OFFSET($CX$3,0,0,'Données projet'!$E$13+1,1))-AVERAGE(OFFSET($H$3,0,0,'Données projet'!$E$13+1,1))</f>
        <v>158.23848664370132</v>
      </c>
      <c r="CZ52" s="62">
        <f t="shared" si="42"/>
        <v>172.92355799729972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2">
        <f t="shared" si="32"/>
        <v>12.96897928208859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70">
        <f t="shared" si="1"/>
        <v>391.99697224963768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167.63760000000002</v>
      </c>
      <c r="P53" s="14">
        <f t="shared" si="33"/>
        <v>42.560494420898017</v>
      </c>
      <c r="Q53" s="22">
        <f t="shared" si="53"/>
        <v>366.09501444973074</v>
      </c>
      <c r="R53" s="62">
        <f t="shared" si="0"/>
        <v>659.42834778306405</v>
      </c>
      <c r="S53" s="62">
        <f ca="1">AVERAGE(OFFSET($R$3,0,0,'Données projet'!$E$9+1,1))-AVERAGE(OFFSET($H$3,0,0,'Données projet'!$E$9+1,1))</f>
        <v>223.49015613166239</v>
      </c>
      <c r="T53" s="62">
        <f t="shared" si="34"/>
        <v>136.15898308259307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97.899731390293653</v>
      </c>
      <c r="AO53" s="62">
        <f t="shared" si="36"/>
        <v>310.21833995692549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41.885595718027183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1.765452113315155E-4</v>
      </c>
      <c r="AX53" s="23">
        <f t="shared" si="6"/>
        <v>41.885772263238515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240.20000000000002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240.2000000000001</v>
      </c>
      <c r="BE53" s="14">
        <f>BD53*VLOOKUP('Données projet'!$B$11,Paramètres!$A$1:$I$89,3,0)*VLOOKUP('Données projet'!$B$11,Paramètres!$A$1:$I$89,5,0)</f>
        <v>194.8502400000001</v>
      </c>
      <c r="BF53" s="14">
        <f t="shared" si="37"/>
        <v>48.610693833556006</v>
      </c>
      <c r="BG53" s="22">
        <f t="shared" si="7"/>
        <v>424.02779309344351</v>
      </c>
      <c r="BH53" s="62">
        <f t="shared" si="8"/>
        <v>717.36112642677676</v>
      </c>
      <c r="BI53" s="62">
        <f ca="1">AVERAGE(OFFSET($BH$3,0,0,'Données projet'!$E$11+1,1))-AVERAGE(OFFSET($H$3,0,0,'Données projet'!$E$11+1,1))</f>
        <v>209.0958230411249</v>
      </c>
      <c r="BJ53" s="62">
        <f t="shared" si="38"/>
        <v>250.34919671671565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38.299999999999997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215.38461538461539</v>
      </c>
      <c r="BW53" s="13">
        <f>VLOOKUP(A53,'Données projet'!$A$113:$I$133,9,0)</f>
        <v>12.602564102564102</v>
      </c>
      <c r="BX53" s="13">
        <f t="array" ref="BX53">INDEX(BW:BW,MIN(IF(ISNUMBER(BW53:BW249),ROW(BW53:BW249),"")))</f>
        <v>12.602564102564102</v>
      </c>
      <c r="BY53" s="13">
        <f>IF('Données projet'!$A$114&gt;35,BY52+BX53-CG52,IF(A53&lt;'Données projet'!$A$114,$BV$205^A53,IF(A53='Données projet'!$A$114,'Données projet'!$B$114,BY52+BX53-CG52)))</f>
        <v>215.38461538461536</v>
      </c>
      <c r="BZ53" s="14">
        <f>BY53*VLOOKUP('Données projet'!$B$12,Paramètres!$A$1:$I$89,3,0)*VLOOKUP('Données projet'!$B$12,Paramètres!$A$1:$I$89,5,0)</f>
        <v>137.76</v>
      </c>
      <c r="CA53" s="14">
        <f t="shared" si="39"/>
        <v>35.783372232974429</v>
      </c>
      <c r="CB53" s="22">
        <f t="shared" si="10"/>
        <v>302.25470663909709</v>
      </c>
      <c r="CC53" s="62">
        <f t="shared" si="11"/>
        <v>595.58803997243035</v>
      </c>
      <c r="CD53" s="62">
        <f ca="1">AVERAGE(OFFSET($CC$3,0,0,'Données projet'!$E$12+1,1))-AVERAGE(OFFSET($H$3,0,0,'Données projet'!$E$12+1,1))</f>
        <v>152.52712777621315</v>
      </c>
      <c r="CE53" s="62">
        <f t="shared" si="40"/>
        <v>145.25423263217925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57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215</v>
      </c>
      <c r="CR53" s="13">
        <f>VLOOKUP(A53,'Données projet'!$A$139:$I$159,9,0)</f>
        <v>6.6</v>
      </c>
      <c r="CS53" s="13">
        <f t="array" ref="CS53">INDEX(CR:CR,MIN(IF(ISNUMBER(CR53:CR249),ROW(CR53:CR249),"")))</f>
        <v>6.6</v>
      </c>
      <c r="CT53" s="13">
        <f>IF('Données projet'!$A$140&gt;35,CT52+CS53-DB52,IF(A53&lt;'Données projet'!$A$140,$CQ$205^A53,IF(A53='Données projet'!$A$140,'Données projet'!$B$140,CT52+CS53-DB52)))</f>
        <v>215.00000000000006</v>
      </c>
      <c r="CU53" s="18">
        <f>CT53*VLOOKUP('Données projet'!$B$13,Paramètres!$A$1:$I$89,3,0)*VLOOKUP('Données projet'!$B$13,Paramètres!$A$1:$I$89,5,0)</f>
        <v>140.86800000000005</v>
      </c>
      <c r="CV53" s="14">
        <f t="shared" si="41"/>
        <v>36.495780519346958</v>
      </c>
      <c r="CW53" s="22">
        <f t="shared" si="13"/>
        <v>308.90858440452939</v>
      </c>
      <c r="CX53" s="62">
        <f t="shared" si="14"/>
        <v>602.24191773786265</v>
      </c>
      <c r="CY53" s="62">
        <f ca="1">AVERAGE(OFFSET($CX$3,0,0,'Données projet'!$E$13+1,1))-AVERAGE(OFFSET($H$3,0,0,'Données projet'!$E$13+1,1))</f>
        <v>158.23848664370132</v>
      </c>
      <c r="CZ53" s="62">
        <f t="shared" si="42"/>
        <v>172.92355799729972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2">
        <f t="shared" si="32"/>
        <v>13.19790227412237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70">
        <f t="shared" si="1"/>
        <v>393.91719979409652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138.99600000000001</v>
      </c>
      <c r="P54" s="14">
        <f t="shared" si="33"/>
        <v>36.066906938767758</v>
      </c>
      <c r="Q54" s="22">
        <f t="shared" si="53"/>
        <v>304.90122958502047</v>
      </c>
      <c r="R54" s="62">
        <f t="shared" si="0"/>
        <v>598.23456291835373</v>
      </c>
      <c r="S54" s="62">
        <f ca="1">AVERAGE(OFFSET($R$3,0,0,'Données projet'!$E$9+1,1))-AVERAGE(OFFSET($H$3,0,0,'Données projet'!$E$9+1,1))</f>
        <v>223.49015613166239</v>
      </c>
      <c r="T54" s="62">
        <f t="shared" si="34"/>
        <v>136.15898308259307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97.899731390293653</v>
      </c>
      <c r="AO54" s="62">
        <f t="shared" si="36"/>
        <v>310.21833995692549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41.064244733687431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1.2483631611852672E-4</v>
      </c>
      <c r="AX54" s="23">
        <f t="shared" si="6"/>
        <v>41.064369570003549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6.119999999999993</v>
      </c>
      <c r="BD54" s="13">
        <f>IF('Données projet'!$A$88&gt;35,BD53+BC54-BL53,IF(A54&lt;'Données projet'!$A$88,$BA$205^A54,IF(A54='Données projet'!$A$88,'Données projet'!$B$88,BD53+BC54-BL53)))</f>
        <v>208.0200000000001</v>
      </c>
      <c r="BE54" s="14">
        <f>BD54*VLOOKUP('Données projet'!$B$11,Paramètres!$A$1:$I$89,3,0)*VLOOKUP('Données projet'!$B$11,Paramètres!$A$1:$I$89,5,0)</f>
        <v>168.74582400000008</v>
      </c>
      <c r="BF54" s="14">
        <f t="shared" si="37"/>
        <v>42.809008942306193</v>
      </c>
      <c r="BG54" s="22">
        <f t="shared" si="7"/>
        <v>368.45800070785009</v>
      </c>
      <c r="BH54" s="62">
        <f t="shared" si="8"/>
        <v>661.7913340411834</v>
      </c>
      <c r="BI54" s="62">
        <f ca="1">AVERAGE(OFFSET($BH$3,0,0,'Données projet'!$E$11+1,1))-AVERAGE(OFFSET($H$3,0,0,'Données projet'!$E$11+1,1))</f>
        <v>209.0958230411249</v>
      </c>
      <c r="BJ54" s="62">
        <f t="shared" si="38"/>
        <v>250.34919671671565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9.0333333333333314</v>
      </c>
      <c r="BY54" s="13">
        <f>IF('Données projet'!$A$114&gt;35,BY53+BX54-CG53,IF(A54&lt;'Données projet'!$A$114,$BV$205^A54,IF(A54='Données projet'!$A$114,'Données projet'!$B$114,BY53+BX54-CG53)))</f>
        <v>167.41794871794869</v>
      </c>
      <c r="BZ54" s="14">
        <f>BY54*VLOOKUP('Données projet'!$B$12,Paramètres!$A$1:$I$89,3,0)*VLOOKUP('Données projet'!$B$12,Paramètres!$A$1:$I$89,5,0)</f>
        <v>107.08051999999999</v>
      </c>
      <c r="CA54" s="14">
        <f t="shared" si="39"/>
        <v>28.642059164602777</v>
      </c>
      <c r="CB54" s="22">
        <f t="shared" si="10"/>
        <v>236.38349204501648</v>
      </c>
      <c r="CC54" s="62">
        <f t="shared" si="11"/>
        <v>529.71682537834977</v>
      </c>
      <c r="CD54" s="62">
        <f ca="1">AVERAGE(OFFSET($CC$3,0,0,'Données projet'!$E$12+1,1))-AVERAGE(OFFSET($H$3,0,0,'Données projet'!$E$12+1,1))</f>
        <v>152.52712777621315</v>
      </c>
      <c r="CE54" s="62">
        <f t="shared" si="40"/>
        <v>145.25423263217925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6.4</v>
      </c>
      <c r="CT54" s="13">
        <f>IF('Données projet'!$A$140&gt;35,CT53+CS54-DB53,IF(A54&lt;'Données projet'!$A$140,$CQ$205^A54,IF(A54='Données projet'!$A$140,'Données projet'!$B$140,CT53+CS54-DB53)))</f>
        <v>221.40000000000006</v>
      </c>
      <c r="CU54" s="18">
        <f>CT54*VLOOKUP('Données projet'!$B$13,Paramètres!$A$1:$I$89,3,0)*VLOOKUP('Données projet'!$B$13,Paramètres!$A$1:$I$89,5,0)</f>
        <v>145.06128000000004</v>
      </c>
      <c r="CV54" s="14">
        <f t="shared" si="41"/>
        <v>37.454066301840541</v>
      </c>
      <c r="CW54" s="22">
        <f t="shared" si="13"/>
        <v>317.88089480903892</v>
      </c>
      <c r="CX54" s="62">
        <f t="shared" si="14"/>
        <v>611.21422814237224</v>
      </c>
      <c r="CY54" s="62">
        <f ca="1">AVERAGE(OFFSET($CX$3,0,0,'Données projet'!$E$13+1,1))-AVERAGE(OFFSET($H$3,0,0,'Données projet'!$E$13+1,1))</f>
        <v>158.23848664370132</v>
      </c>
      <c r="CZ54" s="62">
        <f t="shared" si="42"/>
        <v>172.92355799729972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2">
        <f t="shared" si="32"/>
        <v>13.42630334353094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70">
        <f t="shared" si="1"/>
        <v>395.83651832331645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145.73520000000002</v>
      </c>
      <c r="P55" s="14">
        <f t="shared" si="33"/>
        <v>37.607773527116258</v>
      </c>
      <c r="Q55" s="22">
        <f t="shared" si="53"/>
        <v>319.32234555972747</v>
      </c>
      <c r="R55" s="62">
        <f t="shared" si="0"/>
        <v>612.65567889306078</v>
      </c>
      <c r="S55" s="62">
        <f ca="1">AVERAGE(OFFSET($R$3,0,0,'Données projet'!$E$9+1,1))-AVERAGE(OFFSET($H$3,0,0,'Données projet'!$E$9+1,1))</f>
        <v>223.49015613166239</v>
      </c>
      <c r="T55" s="62">
        <f t="shared" si="34"/>
        <v>136.15898308259307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97.899731390293653</v>
      </c>
      <c r="AO55" s="62">
        <f t="shared" si="36"/>
        <v>310.21833995692549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40.258999941175951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8.8272605665757752E-5</v>
      </c>
      <c r="AX55" s="23">
        <f t="shared" si="6"/>
        <v>40.259088213781617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6.119999999999993</v>
      </c>
      <c r="BD55" s="13">
        <f>IF('Données projet'!$A$88&gt;35,BD54+BC55-BL54,IF(A55&lt;'Données projet'!$A$88,$BA$205^A55,IF(A55='Données projet'!$A$88,'Données projet'!$B$88,BD54+BC55-BL54)))</f>
        <v>214.1400000000001</v>
      </c>
      <c r="BE55" s="14">
        <f>BD55*VLOOKUP('Données projet'!$B$11,Paramètres!$A$1:$I$89,3,0)*VLOOKUP('Données projet'!$B$11,Paramètres!$A$1:$I$89,5,0)</f>
        <v>173.7103680000001</v>
      </c>
      <c r="BF55" s="14">
        <f t="shared" si="37"/>
        <v>43.919975484370021</v>
      </c>
      <c r="BG55" s="22">
        <f t="shared" si="7"/>
        <v>379.03951490194459</v>
      </c>
      <c r="BH55" s="62">
        <f t="shared" si="8"/>
        <v>672.37284823527784</v>
      </c>
      <c r="BI55" s="62">
        <f ca="1">AVERAGE(OFFSET($BH$3,0,0,'Données projet'!$E$11+1,1))-AVERAGE(OFFSET($H$3,0,0,'Données projet'!$E$11+1,1))</f>
        <v>209.0958230411249</v>
      </c>
      <c r="BJ55" s="62">
        <f t="shared" si="38"/>
        <v>250.34919671671565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9.0333333333333314</v>
      </c>
      <c r="BY55" s="13">
        <f>IF('Données projet'!$A$114&gt;35,BY54+BX55-CG54,IF(A55&lt;'Données projet'!$A$114,$BV$205^A55,IF(A55='Données projet'!$A$114,'Données projet'!$B$114,BY54+BX55-CG54)))</f>
        <v>176.45128205128202</v>
      </c>
      <c r="BZ55" s="14">
        <f>BY55*VLOOKUP('Données projet'!$B$12,Paramètres!$A$1:$I$89,3,0)*VLOOKUP('Données projet'!$B$12,Paramètres!$A$1:$I$89,5,0)</f>
        <v>112.85823999999998</v>
      </c>
      <c r="CA55" s="14">
        <f t="shared" si="39"/>
        <v>30.003399526630243</v>
      </c>
      <c r="CB55" s="22">
        <f t="shared" si="10"/>
        <v>248.81735550888095</v>
      </c>
      <c r="CC55" s="62">
        <f t="shared" si="11"/>
        <v>542.15068884221432</v>
      </c>
      <c r="CD55" s="62">
        <f ca="1">AVERAGE(OFFSET($CC$3,0,0,'Données projet'!$E$12+1,1))-AVERAGE(OFFSET($H$3,0,0,'Données projet'!$E$12+1,1))</f>
        <v>152.52712777621315</v>
      </c>
      <c r="CE55" s="62">
        <f t="shared" si="40"/>
        <v>145.25423263217925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6.4</v>
      </c>
      <c r="CT55" s="13">
        <f>IF('Données projet'!$A$140&gt;35,CT54+CS55-DB54,IF(A55&lt;'Données projet'!$A$140,$CQ$205^A55,IF(A55='Données projet'!$A$140,'Données projet'!$B$140,CT54+CS55-DB54)))</f>
        <v>227.80000000000007</v>
      </c>
      <c r="CU55" s="18">
        <f>CT55*VLOOKUP('Données projet'!$B$13,Paramètres!$A$1:$I$89,3,0)*VLOOKUP('Données projet'!$B$13,Paramètres!$A$1:$I$89,5,0)</f>
        <v>149.25456000000005</v>
      </c>
      <c r="CV55" s="14">
        <f t="shared" si="41"/>
        <v>38.409132618275962</v>
      </c>
      <c r="CW55" s="22">
        <f t="shared" si="13"/>
        <v>326.84759797683068</v>
      </c>
      <c r="CX55" s="62">
        <f t="shared" si="14"/>
        <v>620.18093131016394</v>
      </c>
      <c r="CY55" s="62">
        <f ca="1">AVERAGE(OFFSET($CX$3,0,0,'Données projet'!$E$13+1,1))-AVERAGE(OFFSET($H$3,0,0,'Données projet'!$E$13+1,1))</f>
        <v>158.23848664370132</v>
      </c>
      <c r="CZ55" s="62">
        <f t="shared" si="42"/>
        <v>172.92355799729972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2">
        <f t="shared" si="32"/>
        <v>13.654193684451673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70">
        <f t="shared" si="1"/>
        <v>397.75494733375336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152.47440000000003</v>
      </c>
      <c r="P56" s="14">
        <f t="shared" si="33"/>
        <v>39.140365323908171</v>
      </c>
      <c r="Q56" s="22">
        <f t="shared" si="53"/>
        <v>333.72904960580678</v>
      </c>
      <c r="R56" s="62">
        <f t="shared" si="0"/>
        <v>627.06238293914009</v>
      </c>
      <c r="S56" s="62">
        <f ca="1">AVERAGE(OFFSET($R$3,0,0,'Données projet'!$E$9+1,1))-AVERAGE(OFFSET($H$3,0,0,'Données projet'!$E$9+1,1))</f>
        <v>223.49015613166239</v>
      </c>
      <c r="T56" s="62">
        <f t="shared" si="34"/>
        <v>136.15898308259307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97.899731390293653</v>
      </c>
      <c r="AO56" s="62">
        <f t="shared" si="36"/>
        <v>310.21833995692549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39.469545507894793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6.2418158059263361E-5</v>
      </c>
      <c r="AX56" s="23">
        <f t="shared" si="6"/>
        <v>39.469607926052852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6.119999999999993</v>
      </c>
      <c r="BD56" s="13">
        <f>IF('Données projet'!$A$88&gt;35,BD55+BC56-BL55,IF(A56&lt;'Données projet'!$A$88,$BA$205^A56,IF(A56='Données projet'!$A$88,'Données projet'!$B$88,BD55+BC56-BL55)))</f>
        <v>220.2600000000001</v>
      </c>
      <c r="BE56" s="14">
        <f>BD56*VLOOKUP('Données projet'!$B$11,Paramètres!$A$1:$I$89,3,0)*VLOOKUP('Données projet'!$B$11,Paramètres!$A$1:$I$89,5,0)</f>
        <v>178.67491200000009</v>
      </c>
      <c r="BF56" s="14">
        <f t="shared" si="37"/>
        <v>45.027251843578895</v>
      </c>
      <c r="BG56" s="22">
        <f t="shared" si="7"/>
        <v>389.61460202756672</v>
      </c>
      <c r="BH56" s="62">
        <f t="shared" si="8"/>
        <v>682.94793536090003</v>
      </c>
      <c r="BI56" s="62">
        <f ca="1">AVERAGE(OFFSET($BH$3,0,0,'Données projet'!$E$11+1,1))-AVERAGE(OFFSET($H$3,0,0,'Données projet'!$E$11+1,1))</f>
        <v>209.0958230411249</v>
      </c>
      <c r="BJ56" s="62">
        <f t="shared" si="38"/>
        <v>250.34919671671565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9.0333333333333314</v>
      </c>
      <c r="BY56" s="13">
        <f>IF('Données projet'!$A$114&gt;35,BY55+BX56-CG55,IF(A56&lt;'Données projet'!$A$114,$BV$205^A56,IF(A56='Données projet'!$A$114,'Données projet'!$B$114,BY55+BX56-CG55)))</f>
        <v>185.48461538461535</v>
      </c>
      <c r="BZ56" s="14">
        <f>BY56*VLOOKUP('Données projet'!$B$12,Paramètres!$A$1:$I$89,3,0)*VLOOKUP('Données projet'!$B$12,Paramètres!$A$1:$I$89,5,0)</f>
        <v>118.63595999999998</v>
      </c>
      <c r="CA56" s="14">
        <f t="shared" si="39"/>
        <v>31.356648000059032</v>
      </c>
      <c r="CB56" s="22">
        <f t="shared" si="10"/>
        <v>261.23712560010279</v>
      </c>
      <c r="CC56" s="62">
        <f t="shared" si="11"/>
        <v>554.57045893343616</v>
      </c>
      <c r="CD56" s="62">
        <f ca="1">AVERAGE(OFFSET($CC$3,0,0,'Données projet'!$E$12+1,1))-AVERAGE(OFFSET($H$3,0,0,'Données projet'!$E$12+1,1))</f>
        <v>152.52712777621315</v>
      </c>
      <c r="CE56" s="62">
        <f t="shared" si="40"/>
        <v>145.25423263217925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6.4</v>
      </c>
      <c r="CT56" s="13">
        <f>IF('Données projet'!$A$140&gt;35,CT55+CS56-DB55,IF(A56&lt;'Données projet'!$A$140,$CQ$205^A56,IF(A56='Données projet'!$A$140,'Données projet'!$B$140,CT55+CS56-DB55)))</f>
        <v>234.20000000000007</v>
      </c>
      <c r="CU56" s="18">
        <f>CT56*VLOOKUP('Données projet'!$B$13,Paramètres!$A$1:$I$89,3,0)*VLOOKUP('Données projet'!$B$13,Paramètres!$A$1:$I$89,5,0)</f>
        <v>153.44784000000007</v>
      </c>
      <c r="CV56" s="14">
        <f t="shared" si="41"/>
        <v>39.361080309334518</v>
      </c>
      <c r="CW56" s="22">
        <f t="shared" si="13"/>
        <v>335.80886953875768</v>
      </c>
      <c r="CX56" s="62">
        <f t="shared" si="14"/>
        <v>629.14220287209105</v>
      </c>
      <c r="CY56" s="62">
        <f ca="1">AVERAGE(OFFSET($CX$3,0,0,'Données projet'!$E$13+1,1))-AVERAGE(OFFSET($H$3,0,0,'Données projet'!$E$13+1,1))</f>
        <v>158.23848664370132</v>
      </c>
      <c r="CZ56" s="62">
        <f t="shared" si="42"/>
        <v>172.92355799729972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2">
        <f t="shared" si="32"/>
        <v>13.881584044427944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70">
        <f t="shared" si="1"/>
        <v>399.67250554404541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159.21360000000001</v>
      </c>
      <c r="P57" s="14">
        <f t="shared" si="33"/>
        <v>40.665089859977108</v>
      </c>
      <c r="Q57" s="22">
        <f t="shared" si="53"/>
        <v>348.12205150612681</v>
      </c>
      <c r="R57" s="62">
        <f t="shared" si="0"/>
        <v>641.45538483946007</v>
      </c>
      <c r="S57" s="62">
        <f ca="1">AVERAGE(OFFSET($R$3,0,0,'Données projet'!$E$9+1,1))-AVERAGE(OFFSET($H$3,0,0,'Données projet'!$E$9+1,1))</f>
        <v>223.49015613166239</v>
      </c>
      <c r="T57" s="62">
        <f t="shared" si="34"/>
        <v>136.15898308259307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97.899731390293653</v>
      </c>
      <c r="AO57" s="62">
        <f t="shared" si="36"/>
        <v>310.21833995692549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38.695571794530622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4.4136302832878876E-5</v>
      </c>
      <c r="AX57" s="23">
        <f t="shared" si="6"/>
        <v>38.695615930833455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6.119999999999993</v>
      </c>
      <c r="BD57" s="13">
        <f>IF('Données projet'!$A$88&gt;35,BD56+BC57-BL56,IF(A57&lt;'Données projet'!$A$88,$BA$205^A57,IF(A57='Données projet'!$A$88,'Données projet'!$B$88,BD56+BC57-BL56)))</f>
        <v>226.38000000000011</v>
      </c>
      <c r="BE57" s="14">
        <f>BD57*VLOOKUP('Données projet'!$B$11,Paramètres!$A$1:$I$89,3,0)*VLOOKUP('Données projet'!$B$11,Paramètres!$A$1:$I$89,5,0)</f>
        <v>183.63945600000011</v>
      </c>
      <c r="BF57" s="14">
        <f t="shared" si="37"/>
        <v>46.130952332664741</v>
      </c>
      <c r="BG57" s="22">
        <f t="shared" si="7"/>
        <v>400.18346117939126</v>
      </c>
      <c r="BH57" s="62">
        <f t="shared" si="8"/>
        <v>693.51679451272457</v>
      </c>
      <c r="BI57" s="62">
        <f ca="1">AVERAGE(OFFSET($BH$3,0,0,'Données projet'!$E$11+1,1))-AVERAGE(OFFSET($H$3,0,0,'Données projet'!$E$11+1,1))</f>
        <v>209.0958230411249</v>
      </c>
      <c r="BJ57" s="62">
        <f t="shared" si="38"/>
        <v>250.34919671671565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9.0333333333333314</v>
      </c>
      <c r="BY57" s="13">
        <f>IF('Données projet'!$A$114&gt;35,BY56+BX57-CG56,IF(A57&lt;'Données projet'!$A$114,$BV$205^A57,IF(A57='Données projet'!$A$114,'Données projet'!$B$114,BY56+BX57-CG56)))</f>
        <v>194.51794871794868</v>
      </c>
      <c r="BZ57" s="14">
        <f>BY57*VLOOKUP('Données projet'!$B$12,Paramètres!$A$1:$I$89,3,0)*VLOOKUP('Données projet'!$B$12,Paramètres!$A$1:$I$89,5,0)</f>
        <v>124.41367999999997</v>
      </c>
      <c r="CA57" s="14">
        <f t="shared" si="39"/>
        <v>32.702243652107605</v>
      </c>
      <c r="CB57" s="22">
        <f t="shared" si="10"/>
        <v>273.64356702742066</v>
      </c>
      <c r="CC57" s="62">
        <f t="shared" si="11"/>
        <v>566.97690036075392</v>
      </c>
      <c r="CD57" s="62">
        <f ca="1">AVERAGE(OFFSET($CC$3,0,0,'Données projet'!$E$12+1,1))-AVERAGE(OFFSET($H$3,0,0,'Données projet'!$E$12+1,1))</f>
        <v>152.52712777621315</v>
      </c>
      <c r="CE57" s="62">
        <f t="shared" si="40"/>
        <v>145.25423263217925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6.4</v>
      </c>
      <c r="CT57" s="13">
        <f>IF('Données projet'!$A$140&gt;35,CT56+CS57-DB56,IF(A57&lt;'Données projet'!$A$140,$CQ$205^A57,IF(A57='Données projet'!$A$140,'Données projet'!$B$140,CT56+CS57-DB56)))</f>
        <v>240.60000000000008</v>
      </c>
      <c r="CU57" s="18">
        <f>CT57*VLOOKUP('Données projet'!$B$13,Paramètres!$A$1:$I$89,3,0)*VLOOKUP('Données projet'!$B$13,Paramètres!$A$1:$I$89,5,0)</f>
        <v>157.64112000000006</v>
      </c>
      <c r="CV57" s="14">
        <f t="shared" si="41"/>
        <v>40.31000439065015</v>
      </c>
      <c r="CW57" s="22">
        <f t="shared" si="13"/>
        <v>344.76487498038233</v>
      </c>
      <c r="CX57" s="62">
        <f t="shared" si="14"/>
        <v>638.09820831371565</v>
      </c>
      <c r="CY57" s="62">
        <f ca="1">AVERAGE(OFFSET($CX$3,0,0,'Données projet'!$E$13+1,1))-AVERAGE(OFFSET($H$3,0,0,'Données projet'!$E$13+1,1))</f>
        <v>158.23848664370132</v>
      </c>
      <c r="CZ57" s="62">
        <f t="shared" si="42"/>
        <v>172.92355799729972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2">
        <f t="shared" si="32"/>
        <v>14.108484750160635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70">
        <f t="shared" si="1"/>
        <v>401.58921093986316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165.95280000000002</v>
      </c>
      <c r="P58" s="14">
        <f t="shared" si="33"/>
        <v>42.182318214665827</v>
      </c>
      <c r="Q58" s="22">
        <f t="shared" si="53"/>
        <v>362.50199755720968</v>
      </c>
      <c r="R58" s="62">
        <f t="shared" si="0"/>
        <v>655.83533089054299</v>
      </c>
      <c r="S58" s="62">
        <f ca="1">AVERAGE(OFFSET($R$3,0,0,'Données projet'!$E$9+1,1))-AVERAGE(OFFSET($H$3,0,0,'Données projet'!$E$9+1,1))</f>
        <v>223.49015613166239</v>
      </c>
      <c r="T58" s="62">
        <f t="shared" si="34"/>
        <v>136.15898308259307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97.899731390293653</v>
      </c>
      <c r="AO58" s="62">
        <f t="shared" si="36"/>
        <v>310.21833995692549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37.936775233608174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3.1209079029631681E-5</v>
      </c>
      <c r="AX58" s="23">
        <f t="shared" si="6"/>
        <v>37.936806442687207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232.5</v>
      </c>
      <c r="BB58" s="13">
        <f>VLOOKUP(A58,'Données projet'!$A$87:$I$107,9,0)</f>
        <v>6.119999999999993</v>
      </c>
      <c r="BC58" s="13">
        <f t="array" ref="BC58">INDEX(BB:BB,MIN(IF(ISNUMBER(BB58:BB254),ROW(BB58:BB254),"")))</f>
        <v>6.119999999999993</v>
      </c>
      <c r="BD58" s="13">
        <f>IF('Données projet'!$A$88&gt;35,BD57+BC58-BL57,IF(A58&lt;'Données projet'!$A$88,$BA$205^A58,IF(A58='Données projet'!$A$88,'Données projet'!$B$88,BD57+BC58-BL57)))</f>
        <v>232.50000000000011</v>
      </c>
      <c r="BE58" s="14">
        <f>BD58*VLOOKUP('Données projet'!$B$11,Paramètres!$A$1:$I$89,3,0)*VLOOKUP('Données projet'!$B$11,Paramètres!$A$1:$I$89,5,0)</f>
        <v>188.6040000000001</v>
      </c>
      <c r="BF58" s="14">
        <f t="shared" si="37"/>
        <v>47.231184731814224</v>
      </c>
      <c r="BG58" s="22">
        <f t="shared" si="7"/>
        <v>410.74628007457659</v>
      </c>
      <c r="BH58" s="62">
        <f t="shared" si="8"/>
        <v>704.07961340790985</v>
      </c>
      <c r="BI58" s="62">
        <f ca="1">AVERAGE(OFFSET($BH$3,0,0,'Données projet'!$E$11+1,1))-AVERAGE(OFFSET($H$3,0,0,'Données projet'!$E$11+1,1))</f>
        <v>209.0958230411249</v>
      </c>
      <c r="BJ58" s="62">
        <f t="shared" si="38"/>
        <v>250.34919671671565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9.0333333333333314</v>
      </c>
      <c r="BY58" s="13">
        <f>IF('Données projet'!$A$114&gt;35,BY57+BX58-CG57,IF(A58&lt;'Données projet'!$A$114,$BV$205^A58,IF(A58='Données projet'!$A$114,'Données projet'!$B$114,BY57+BX58-CG57)))</f>
        <v>203.55128205128202</v>
      </c>
      <c r="BZ58" s="14">
        <f>BY58*VLOOKUP('Données projet'!$B$12,Paramètres!$A$1:$I$89,3,0)*VLOOKUP('Données projet'!$B$12,Paramètres!$A$1:$I$89,5,0)</f>
        <v>130.19139999999996</v>
      </c>
      <c r="CA58" s="14">
        <f t="shared" si="39"/>
        <v>34.040582465052267</v>
      </c>
      <c r="CB58" s="22">
        <f t="shared" si="10"/>
        <v>286.03736945996593</v>
      </c>
      <c r="CC58" s="62">
        <f t="shared" si="11"/>
        <v>579.37070279329919</v>
      </c>
      <c r="CD58" s="62">
        <f ca="1">AVERAGE(OFFSET($CC$3,0,0,'Données projet'!$E$12+1,1))-AVERAGE(OFFSET($H$3,0,0,'Données projet'!$E$12+1,1))</f>
        <v>152.52712777621315</v>
      </c>
      <c r="CE58" s="62">
        <f t="shared" si="40"/>
        <v>145.25423263217925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247</v>
      </c>
      <c r="CR58" s="13">
        <f>VLOOKUP(A58,'Données projet'!$A$139:$I$159,9,0)</f>
        <v>6.4</v>
      </c>
      <c r="CS58" s="13">
        <f t="array" ref="CS58">INDEX(CR:CR,MIN(IF(ISNUMBER(CR58:CR254),ROW(CR58:CR254),"")))</f>
        <v>6.4</v>
      </c>
      <c r="CT58" s="13">
        <f>IF('Données projet'!$A$140&gt;35,CT57+CS58-DB57,IF(A58&lt;'Données projet'!$A$140,$CQ$205^A58,IF(A58='Données projet'!$A$140,'Données projet'!$B$140,CT57+CS58-DB57)))</f>
        <v>247.00000000000009</v>
      </c>
      <c r="CU58" s="18">
        <f>CT58*VLOOKUP('Données projet'!$B$13,Paramètres!$A$1:$I$89,3,0)*VLOOKUP('Données projet'!$B$13,Paramètres!$A$1:$I$89,5,0)</f>
        <v>161.83440000000007</v>
      </c>
      <c r="CV58" s="14">
        <f t="shared" si="41"/>
        <v>41.255994535170515</v>
      </c>
      <c r="CW58" s="22">
        <f t="shared" si="13"/>
        <v>353.71577048208877</v>
      </c>
      <c r="CX58" s="62">
        <f t="shared" si="14"/>
        <v>647.04910381542209</v>
      </c>
      <c r="CY58" s="62">
        <f ca="1">AVERAGE(OFFSET($CX$3,0,0,'Données projet'!$E$13+1,1))-AVERAGE(OFFSET($H$3,0,0,'Données projet'!$E$13+1,1))</f>
        <v>158.23848664370132</v>
      </c>
      <c r="CZ58" s="62">
        <f t="shared" si="42"/>
        <v>172.92355799729972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47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2">
        <f t="shared" si="32"/>
        <v>14.334905731333885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70">
        <f t="shared" si="1"/>
        <v>403.50508081540659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172.35504000000003</v>
      </c>
      <c r="P59" s="14">
        <f t="shared" si="33"/>
        <v>43.617051120131734</v>
      </c>
      <c r="Q59" s="22">
        <f t="shared" si="53"/>
        <v>376.1513920342295</v>
      </c>
      <c r="R59" s="62">
        <f t="shared" si="0"/>
        <v>669.48472536756276</v>
      </c>
      <c r="S59" s="62">
        <f ca="1">AVERAGE(OFFSET($R$3,0,0,'Données projet'!$E$9+1,1))-AVERAGE(OFFSET($H$3,0,0,'Données projet'!$E$9+1,1))</f>
        <v>223.49015613166239</v>
      </c>
      <c r="T59" s="62">
        <f t="shared" si="34"/>
        <v>136.15898308259307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97.899731390293653</v>
      </c>
      <c r="AO59" s="62">
        <f t="shared" si="36"/>
        <v>310.21833995692549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37.192858210425207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2.2068151416439438E-5</v>
      </c>
      <c r="AX59" s="23">
        <f t="shared" si="6"/>
        <v>37.192880278576624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237.66000000000011</v>
      </c>
      <c r="BE59" s="14">
        <f>BD59*VLOOKUP('Données projet'!$B$11,Paramètres!$A$1:$I$89,3,0)*VLOOKUP('Données projet'!$B$11,Paramètres!$A$1:$I$89,5,0)</f>
        <v>192.78979200000009</v>
      </c>
      <c r="BF59" s="14">
        <f t="shared" si="37"/>
        <v>48.15621203339888</v>
      </c>
      <c r="BG59" s="22">
        <f t="shared" si="7"/>
        <v>419.64762369150316</v>
      </c>
      <c r="BH59" s="62">
        <f t="shared" si="8"/>
        <v>712.98095702483647</v>
      </c>
      <c r="BI59" s="62">
        <f ca="1">AVERAGE(OFFSET($BH$3,0,0,'Données projet'!$E$11+1,1))-AVERAGE(OFFSET($H$3,0,0,'Données projet'!$E$11+1,1))</f>
        <v>209.0958230411249</v>
      </c>
      <c r="BJ59" s="62">
        <f t="shared" si="38"/>
        <v>250.34919671671565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9.0333333333333314</v>
      </c>
      <c r="BY59" s="13">
        <f>IF('Données projet'!$A$114&gt;35,BY58+BX59-CG58,IF(A59&lt;'Données projet'!$A$114,$BV$205^A59,IF(A59='Données projet'!$A$114,'Données projet'!$B$114,BY58+BX59-CG58)))</f>
        <v>212.58461538461535</v>
      </c>
      <c r="BZ59" s="14">
        <f>BY59*VLOOKUP('Données projet'!$B$12,Paramètres!$A$1:$I$89,3,0)*VLOOKUP('Données projet'!$B$12,Paramètres!$A$1:$I$89,5,0)</f>
        <v>135.96911999999998</v>
      </c>
      <c r="CA59" s="14">
        <f t="shared" si="39"/>
        <v>35.372023287717631</v>
      </c>
      <c r="CB59" s="22">
        <f t="shared" si="10"/>
        <v>298.41915789277482</v>
      </c>
      <c r="CC59" s="62">
        <f t="shared" si="11"/>
        <v>591.75249122610808</v>
      </c>
      <c r="CD59" s="62">
        <f ca="1">AVERAGE(OFFSET($CC$3,0,0,'Données projet'!$E$12+1,1))-AVERAGE(OFFSET($H$3,0,0,'Données projet'!$E$12+1,1))</f>
        <v>152.52712777621315</v>
      </c>
      <c r="CE59" s="62">
        <f t="shared" si="40"/>
        <v>145.25423263217925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5.8</v>
      </c>
      <c r="CT59" s="13">
        <f>IF('Données projet'!$A$140&gt;35,CT58+CS59-DB58,IF(A59&lt;'Données projet'!$A$140,$CQ$205^A59,IF(A59='Données projet'!$A$140,'Données projet'!$B$140,CT58+CS59-DB58)))</f>
        <v>205.8000000000001</v>
      </c>
      <c r="CU59" s="18">
        <f>CT59*VLOOKUP('Données projet'!$B$13,Paramètres!$A$1:$I$89,3,0)*VLOOKUP('Données projet'!$B$13,Paramètres!$A$1:$I$89,5,0)</f>
        <v>134.84016000000005</v>
      </c>
      <c r="CV59" s="14">
        <f t="shared" si="41"/>
        <v>35.112387625030664</v>
      </c>
      <c r="CW59" s="22">
        <f t="shared" si="13"/>
        <v>296.00068711359518</v>
      </c>
      <c r="CX59" s="62">
        <f t="shared" si="14"/>
        <v>589.33402044692843</v>
      </c>
      <c r="CY59" s="62">
        <f ca="1">AVERAGE(OFFSET($CX$3,0,0,'Données projet'!$E$13+1,1))-AVERAGE(OFFSET($H$3,0,0,'Données projet'!$E$13+1,1))</f>
        <v>158.23848664370132</v>
      </c>
      <c r="CZ59" s="62">
        <f t="shared" si="42"/>
        <v>172.92355799729972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2">
        <f t="shared" si="32"/>
        <v>14.560856542690793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70">
        <f t="shared" si="1"/>
        <v>405.4201318118532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178.75728000000001</v>
      </c>
      <c r="P60" s="14">
        <f t="shared" si="33"/>
        <v>45.045592481721528</v>
      </c>
      <c r="Q60" s="22">
        <f t="shared" si="53"/>
        <v>389.79000290566495</v>
      </c>
      <c r="R60" s="62">
        <f t="shared" si="0"/>
        <v>683.12333623899826</v>
      </c>
      <c r="S60" s="62">
        <f ca="1">AVERAGE(OFFSET($R$3,0,0,'Données projet'!$E$9+1,1))-AVERAGE(OFFSET($H$3,0,0,'Données projet'!$E$9+1,1))</f>
        <v>223.49015613166239</v>
      </c>
      <c r="T60" s="62">
        <f t="shared" si="34"/>
        <v>136.15898308259307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97.899731390293653</v>
      </c>
      <c r="AO60" s="62">
        <f t="shared" si="36"/>
        <v>310.21833995692549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36.463528946322278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1.560453951481584E-5</v>
      </c>
      <c r="AX60" s="23">
        <f t="shared" si="6"/>
        <v>36.463544550861791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242.82000000000011</v>
      </c>
      <c r="BE60" s="14">
        <f>BD60*VLOOKUP('Données projet'!$B$11,Paramètres!$A$1:$I$89,3,0)*VLOOKUP('Données projet'!$B$11,Paramètres!$A$1:$I$89,5,0)</f>
        <v>196.97558400000011</v>
      </c>
      <c r="BF60" s="14">
        <f t="shared" si="37"/>
        <v>49.078904326090317</v>
      </c>
      <c r="BG60" s="22">
        <f t="shared" si="7"/>
        <v>428.54490050127418</v>
      </c>
      <c r="BH60" s="62">
        <f t="shared" si="8"/>
        <v>721.8782338346075</v>
      </c>
      <c r="BI60" s="62">
        <f ca="1">AVERAGE(OFFSET($BH$3,0,0,'Données projet'!$E$11+1,1))-AVERAGE(OFFSET($H$3,0,0,'Données projet'!$E$11+1,1))</f>
        <v>209.0958230411249</v>
      </c>
      <c r="BJ60" s="62">
        <f t="shared" si="38"/>
        <v>250.34919671671565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9.0333333333333314</v>
      </c>
      <c r="BY60" s="13">
        <f>IF('Données projet'!$A$114&gt;35,BY59+BX60-CG59,IF(A60&lt;'Données projet'!$A$114,$BV$205^A60,IF(A60='Données projet'!$A$114,'Données projet'!$B$114,BY59+BX60-CG59)))</f>
        <v>221.61794871794868</v>
      </c>
      <c r="BZ60" s="14">
        <f>BY60*VLOOKUP('Données projet'!$B$12,Paramètres!$A$1:$I$89,3,0)*VLOOKUP('Données projet'!$B$12,Paramètres!$A$1:$I$89,5,0)</f>
        <v>141.74683999999999</v>
      </c>
      <c r="CA60" s="14">
        <f t="shared" si="39"/>
        <v>36.696892746861906</v>
      </c>
      <c r="CB60" s="22">
        <f t="shared" si="10"/>
        <v>310.78950120078446</v>
      </c>
      <c r="CC60" s="62">
        <f t="shared" si="11"/>
        <v>604.12283453411783</v>
      </c>
      <c r="CD60" s="62">
        <f ca="1">AVERAGE(OFFSET($CC$3,0,0,'Données projet'!$E$12+1,1))-AVERAGE(OFFSET($H$3,0,0,'Données projet'!$E$12+1,1))</f>
        <v>152.52712777621315</v>
      </c>
      <c r="CE60" s="62">
        <f t="shared" si="40"/>
        <v>145.25423263217925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5.8</v>
      </c>
      <c r="CT60" s="13">
        <f>IF('Données projet'!$A$140&gt;35,CT59+CS60-DB59,IF(A60&lt;'Données projet'!$A$140,$CQ$205^A60,IF(A60='Données projet'!$A$140,'Données projet'!$B$140,CT59+CS60-DB59)))</f>
        <v>211.60000000000011</v>
      </c>
      <c r="CU60" s="18">
        <f>CT60*VLOOKUP('Données projet'!$B$13,Paramètres!$A$1:$I$89,3,0)*VLOOKUP('Données projet'!$B$13,Paramètres!$A$1:$I$89,5,0)</f>
        <v>138.64032000000006</v>
      </c>
      <c r="CV60" s="14">
        <f t="shared" si="41"/>
        <v>35.985345198165817</v>
      </c>
      <c r="CW60" s="22">
        <f t="shared" si="13"/>
        <v>304.13970022013888</v>
      </c>
      <c r="CX60" s="62">
        <f t="shared" si="14"/>
        <v>597.47303355347219</v>
      </c>
      <c r="CY60" s="62">
        <f ca="1">AVERAGE(OFFSET($CX$3,0,0,'Données projet'!$E$13+1,1))-AVERAGE(OFFSET($H$3,0,0,'Données projet'!$E$13+1,1))</f>
        <v>158.23848664370132</v>
      </c>
      <c r="CZ60" s="62">
        <f t="shared" si="42"/>
        <v>172.92355799729972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2">
        <f t="shared" si="32"/>
        <v>14.786346384516133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70">
        <f t="shared" si="1"/>
        <v>407.33437995303234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185.15951999999999</v>
      </c>
      <c r="P61" s="14">
        <f t="shared" si="33"/>
        <v>46.468189455290606</v>
      </c>
      <c r="Q61" s="22">
        <f t="shared" si="53"/>
        <v>403.41826063463105</v>
      </c>
      <c r="R61" s="62">
        <f t="shared" si="0"/>
        <v>696.75159396796437</v>
      </c>
      <c r="S61" s="62">
        <f ca="1">AVERAGE(OFFSET($R$3,0,0,'Données projet'!$E$9+1,1))-AVERAGE(OFFSET($H$3,0,0,'Données projet'!$E$9+1,1))</f>
        <v>223.49015613166239</v>
      </c>
      <c r="T61" s="62">
        <f t="shared" si="34"/>
        <v>136.15898308259307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97.899731390293653</v>
      </c>
      <c r="AO61" s="62">
        <f t="shared" si="36"/>
        <v>310.21833995692549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35.748501384241486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1.1034075708219719E-5</v>
      </c>
      <c r="AX61" s="23">
        <f t="shared" si="6"/>
        <v>35.748512418317191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247.9800000000001</v>
      </c>
      <c r="BE61" s="14">
        <f>BD61*VLOOKUP('Données projet'!$B$11,Paramètres!$A$1:$I$89,3,0)*VLOOKUP('Données projet'!$B$11,Paramètres!$A$1:$I$89,5,0)</f>
        <v>201.1613760000001</v>
      </c>
      <c r="BF61" s="14">
        <f t="shared" si="37"/>
        <v>49.999316945232593</v>
      </c>
      <c r="BG61" s="22">
        <f t="shared" si="7"/>
        <v>437.43820687961357</v>
      </c>
      <c r="BH61" s="62">
        <f t="shared" si="8"/>
        <v>730.77154021294689</v>
      </c>
      <c r="BI61" s="62">
        <f ca="1">AVERAGE(OFFSET($BH$3,0,0,'Données projet'!$E$11+1,1))-AVERAGE(OFFSET($H$3,0,0,'Données projet'!$E$11+1,1))</f>
        <v>209.0958230411249</v>
      </c>
      <c r="BJ61" s="62">
        <f t="shared" si="38"/>
        <v>250.34919671671565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9.0333333333333314</v>
      </c>
      <c r="BY61" s="13">
        <f>IF('Données projet'!$A$114&gt;35,BY60+BX61-CG60,IF(A61&lt;'Données projet'!$A$114,$BV$205^A61,IF(A61='Données projet'!$A$114,'Données projet'!$B$114,BY60+BX61-CG60)))</f>
        <v>230.65128205128201</v>
      </c>
      <c r="BZ61" s="14">
        <f>BY61*VLOOKUP('Données projet'!$B$12,Paramètres!$A$1:$I$89,3,0)*VLOOKUP('Données projet'!$B$12,Paramètres!$A$1:$I$89,5,0)</f>
        <v>147.52455999999998</v>
      </c>
      <c r="CA61" s="14">
        <f t="shared" si="39"/>
        <v>38.015489335242272</v>
      </c>
      <c r="CB61" s="22">
        <f t="shared" si="10"/>
        <v>323.14891925888026</v>
      </c>
      <c r="CC61" s="62">
        <f t="shared" si="11"/>
        <v>616.48225259221363</v>
      </c>
      <c r="CD61" s="62">
        <f ca="1">AVERAGE(OFFSET($CC$3,0,0,'Données projet'!$E$12+1,1))-AVERAGE(OFFSET($H$3,0,0,'Données projet'!$E$12+1,1))</f>
        <v>152.52712777621315</v>
      </c>
      <c r="CE61" s="62">
        <f t="shared" si="40"/>
        <v>145.25423263217925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5.8</v>
      </c>
      <c r="CT61" s="13">
        <f>IF('Données projet'!$A$140&gt;35,CT60+CS61-DB60,IF(A61&lt;'Données projet'!$A$140,$CQ$205^A61,IF(A61='Données projet'!$A$140,'Données projet'!$B$140,CT60+CS61-DB60)))</f>
        <v>217.40000000000012</v>
      </c>
      <c r="CU61" s="18">
        <f>CT61*VLOOKUP('Données projet'!$B$13,Paramètres!$A$1:$I$89,3,0)*VLOOKUP('Données projet'!$B$13,Paramètres!$A$1:$I$89,5,0)</f>
        <v>142.44048000000009</v>
      </c>
      <c r="CV61" s="14">
        <f t="shared" si="41"/>
        <v>36.855521628538284</v>
      </c>
      <c r="CW61" s="22">
        <f t="shared" si="13"/>
        <v>312.27386950303764</v>
      </c>
      <c r="CX61" s="62">
        <f t="shared" si="14"/>
        <v>605.60720283637102</v>
      </c>
      <c r="CY61" s="62">
        <f ca="1">AVERAGE(OFFSET($CX$3,0,0,'Données projet'!$E$13+1,1))-AVERAGE(OFFSET($H$3,0,0,'Données projet'!$E$13+1,1))</f>
        <v>158.23848664370132</v>
      </c>
      <c r="CZ61" s="62">
        <f t="shared" si="42"/>
        <v>172.92355799729972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2">
        <f t="shared" si="32"/>
        <v>15.011384121666367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70">
        <f t="shared" si="1"/>
        <v>409.24784067856899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191.56175999999999</v>
      </c>
      <c r="P62" s="14">
        <f t="shared" si="33"/>
        <v>47.885071135583438</v>
      </c>
      <c r="Q62" s="22">
        <f t="shared" si="53"/>
        <v>417.03656422780779</v>
      </c>
      <c r="R62" s="62">
        <f t="shared" si="0"/>
        <v>710.3698975611411</v>
      </c>
      <c r="S62" s="62">
        <f ca="1">AVERAGE(OFFSET($R$3,0,0,'Données projet'!$E$9+1,1))-AVERAGE(OFFSET($H$3,0,0,'Données projet'!$E$9+1,1))</f>
        <v>223.49015613166239</v>
      </c>
      <c r="T62" s="62">
        <f t="shared" si="34"/>
        <v>136.15898308259307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97.899731390293653</v>
      </c>
      <c r="AO62" s="62">
        <f t="shared" si="36"/>
        <v>310.21833995692549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35.047495076529344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7.8022697574079202E-6</v>
      </c>
      <c r="AX62" s="23">
        <f t="shared" si="6"/>
        <v>35.047502878799101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253.1400000000001</v>
      </c>
      <c r="BE62" s="14">
        <f>BD62*VLOOKUP('Données projet'!$B$11,Paramètres!$A$1:$I$89,3,0)*VLOOKUP('Données projet'!$B$11,Paramètres!$A$1:$I$89,5,0)</f>
        <v>205.3471680000001</v>
      </c>
      <c r="BF62" s="14">
        <f t="shared" si="37"/>
        <v>50.917502791715386</v>
      </c>
      <c r="BG62" s="22">
        <f t="shared" si="7"/>
        <v>446.32763496223782</v>
      </c>
      <c r="BH62" s="62">
        <f t="shared" si="8"/>
        <v>739.66096829557114</v>
      </c>
      <c r="BI62" s="62">
        <f ca="1">AVERAGE(OFFSET($BH$3,0,0,'Données projet'!$E$11+1,1))-AVERAGE(OFFSET($H$3,0,0,'Données projet'!$E$11+1,1))</f>
        <v>209.0958230411249</v>
      </c>
      <c r="BJ62" s="62">
        <f t="shared" si="38"/>
        <v>250.34919671671565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9.0333333333333314</v>
      </c>
      <c r="BY62" s="13">
        <f>IF('Données projet'!$A$114&gt;35,BY61+BX62-CG61,IF(A62&lt;'Données projet'!$A$114,$BV$205^A62,IF(A62='Données projet'!$A$114,'Données projet'!$B$114,BY61+BX62-CG61)))</f>
        <v>239.68461538461534</v>
      </c>
      <c r="BZ62" s="14">
        <f>BY62*VLOOKUP('Données projet'!$B$12,Paramètres!$A$1:$I$89,3,0)*VLOOKUP('Données projet'!$B$12,Paramètres!$A$1:$I$89,5,0)</f>
        <v>153.30227999999997</v>
      </c>
      <c r="CA62" s="14">
        <f t="shared" si="39"/>
        <v>39.328086841233628</v>
      </c>
      <c r="CB62" s="22">
        <f t="shared" si="10"/>
        <v>335.49788891514845</v>
      </c>
      <c r="CC62" s="62">
        <f t="shared" si="11"/>
        <v>628.83122224848171</v>
      </c>
      <c r="CD62" s="62">
        <f ca="1">AVERAGE(OFFSET($CC$3,0,0,'Données projet'!$E$12+1,1))-AVERAGE(OFFSET($H$3,0,0,'Données projet'!$E$12+1,1))</f>
        <v>152.52712777621315</v>
      </c>
      <c r="CE62" s="62">
        <f t="shared" si="40"/>
        <v>145.25423263217925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5.8</v>
      </c>
      <c r="CT62" s="13">
        <f>IF('Données projet'!$A$140&gt;35,CT61+CS62-DB61,IF(A62&lt;'Données projet'!$A$140,$CQ$205^A62,IF(A62='Données projet'!$A$140,'Données projet'!$B$140,CT61+CS62-DB61)))</f>
        <v>223.20000000000013</v>
      </c>
      <c r="CU62" s="18">
        <f>CT62*VLOOKUP('Données projet'!$B$13,Paramètres!$A$1:$I$89,3,0)*VLOOKUP('Données projet'!$B$13,Paramètres!$A$1:$I$89,5,0)</f>
        <v>146.2406400000001</v>
      </c>
      <c r="CV62" s="14">
        <f t="shared" si="41"/>
        <v>37.722999642090628</v>
      </c>
      <c r="CW62" s="22">
        <f t="shared" si="13"/>
        <v>320.40333904330799</v>
      </c>
      <c r="CX62" s="62">
        <f t="shared" si="14"/>
        <v>613.73667237664131</v>
      </c>
      <c r="CY62" s="62">
        <f ca="1">AVERAGE(OFFSET($CX$3,0,0,'Données projet'!$E$13+1,1))-AVERAGE(OFFSET($H$3,0,0,'Données projet'!$E$13+1,1))</f>
        <v>158.23848664370132</v>
      </c>
      <c r="CZ62" s="62">
        <f t="shared" si="42"/>
        <v>172.92355799729972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2">
        <f t="shared" si="32"/>
        <v>15.235978301273043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70">
        <f t="shared" si="1"/>
        <v>411.16052887471733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197.964</v>
      </c>
      <c r="P63" s="14">
        <f t="shared" si="33"/>
        <v>49.296450435147761</v>
      </c>
      <c r="Q63" s="22">
        <f t="shared" si="53"/>
        <v>430.64528450788231</v>
      </c>
      <c r="R63" s="62">
        <f t="shared" si="0"/>
        <v>723.97861784121562</v>
      </c>
      <c r="S63" s="62">
        <f ca="1">AVERAGE(OFFSET($R$3,0,0,'Données projet'!$E$9+1,1))-AVERAGE(OFFSET($H$3,0,0,'Données projet'!$E$9+1,1))</f>
        <v>223.49015613166239</v>
      </c>
      <c r="T63" s="62">
        <f t="shared" si="34"/>
        <v>136.15898308259307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97.899731390293653</v>
      </c>
      <c r="AO63" s="62">
        <f t="shared" si="36"/>
        <v>310.21833995692549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34.360235074939808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5.5170378541098595E-6</v>
      </c>
      <c r="AX63" s="23">
        <f t="shared" si="6"/>
        <v>34.360240591977664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258.3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258.30000000000013</v>
      </c>
      <c r="BE63" s="14">
        <f>BD63*VLOOKUP('Données projet'!$B$11,Paramètres!$A$1:$I$89,3,0)*VLOOKUP('Données projet'!$B$11,Paramètres!$A$1:$I$89,5,0)</f>
        <v>209.53296000000009</v>
      </c>
      <c r="BF63" s="14">
        <f t="shared" si="37"/>
        <v>51.833512486481119</v>
      </c>
      <c r="BG63" s="22">
        <f t="shared" si="7"/>
        <v>455.21327291395477</v>
      </c>
      <c r="BH63" s="62">
        <f t="shared" si="8"/>
        <v>748.54660624728808</v>
      </c>
      <c r="BI63" s="62">
        <f ca="1">AVERAGE(OFFSET($BH$3,0,0,'Données projet'!$E$11+1,1))-AVERAGE(OFFSET($H$3,0,0,'Données projet'!$E$11+1,1))</f>
        <v>209.0958230411249</v>
      </c>
      <c r="BJ63" s="62">
        <f t="shared" si="38"/>
        <v>250.34919671671565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25.200000000000003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248.7179487179487</v>
      </c>
      <c r="BW63" s="13">
        <f>VLOOKUP(A63,'Données projet'!$A$113:$I$133,9,0)</f>
        <v>9.0333333333333314</v>
      </c>
      <c r="BX63" s="13">
        <f t="array" ref="BX63">INDEX(BW:BW,MIN(IF(ISNUMBER(BW63:BW259),ROW(BW63:BW259),"")))</f>
        <v>9.0333333333333314</v>
      </c>
      <c r="BY63" s="13">
        <f>IF('Données projet'!$A$114&gt;35,BY62+BX63-CG62,IF(A63&lt;'Données projet'!$A$114,$BV$205^A63,IF(A63='Données projet'!$A$114,'Données projet'!$B$114,BY62+BX63-CG62)))</f>
        <v>248.71794871794867</v>
      </c>
      <c r="BZ63" s="14">
        <f>BY63*VLOOKUP('Données projet'!$B$12,Paramètres!$A$1:$I$89,3,0)*VLOOKUP('Données projet'!$B$12,Paramètres!$A$1:$I$89,5,0)</f>
        <v>159.07999999999996</v>
      </c>
      <c r="CA63" s="14">
        <f t="shared" si="39"/>
        <v>40.63493724688179</v>
      </c>
      <c r="CB63" s="22">
        <f t="shared" si="10"/>
        <v>347.83684903831903</v>
      </c>
      <c r="CC63" s="62">
        <f t="shared" si="11"/>
        <v>641.17018237165234</v>
      </c>
      <c r="CD63" s="62">
        <f ca="1">AVERAGE(OFFSET($CC$3,0,0,'Données projet'!$E$12+1,1))-AVERAGE(OFFSET($H$3,0,0,'Données projet'!$E$12+1,1))</f>
        <v>152.52712777621315</v>
      </c>
      <c r="CE63" s="62">
        <f t="shared" si="40"/>
        <v>145.25423263217925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229</v>
      </c>
      <c r="CR63" s="13">
        <f>VLOOKUP(A63,'Données projet'!$A$139:$I$159,9,0)</f>
        <v>5.8</v>
      </c>
      <c r="CS63" s="13">
        <f t="array" ref="CS63">INDEX(CR:CR,MIN(IF(ISNUMBER(CR63:CR259),ROW(CR63:CR259),"")))</f>
        <v>5.8</v>
      </c>
      <c r="CT63" s="13">
        <f>IF('Données projet'!$A$140&gt;35,CT62+CS63-DB62,IF(A63&lt;'Données projet'!$A$140,$CQ$205^A63,IF(A63='Données projet'!$A$140,'Données projet'!$B$140,CT62+CS63-DB62)))</f>
        <v>229.00000000000014</v>
      </c>
      <c r="CU63" s="18">
        <f>CT63*VLOOKUP('Données projet'!$B$13,Paramètres!$A$1:$I$89,3,0)*VLOOKUP('Données projet'!$B$13,Paramètres!$A$1:$I$89,5,0)</f>
        <v>150.04080000000008</v>
      </c>
      <c r="CV63" s="14">
        <f t="shared" si="41"/>
        <v>38.587857420495212</v>
      </c>
      <c r="CW63" s="22">
        <f t="shared" si="13"/>
        <v>328.52824500736261</v>
      </c>
      <c r="CX63" s="62">
        <f t="shared" si="14"/>
        <v>621.86157834069593</v>
      </c>
      <c r="CY63" s="62">
        <f ca="1">AVERAGE(OFFSET($CX$3,0,0,'Données projet'!$E$13+1,1))-AVERAGE(OFFSET($H$3,0,0,'Données projet'!$E$13+1,1))</f>
        <v>158.23848664370132</v>
      </c>
      <c r="CZ63" s="62">
        <f t="shared" si="42"/>
        <v>172.92355799729972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2">
        <f t="shared" si="32"/>
        <v>15.460137169232445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70">
        <f t="shared" si="1"/>
        <v>413.07245890307996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168.64847999999998</v>
      </c>
      <c r="P64" s="14">
        <f t="shared" si="33"/>
        <v>42.78718759212785</v>
      </c>
      <c r="Q64" s="22">
        <f t="shared" si="53"/>
        <v>368.25045438962269</v>
      </c>
      <c r="R64" s="62">
        <f t="shared" si="0"/>
        <v>661.583787722956</v>
      </c>
      <c r="S64" s="62">
        <f ca="1">AVERAGE(OFFSET($R$3,0,0,'Données projet'!$E$9+1,1))-AVERAGE(OFFSET($H$3,0,0,'Données projet'!$E$9+1,1))</f>
        <v>223.49015613166239</v>
      </c>
      <c r="T64" s="62">
        <f t="shared" si="34"/>
        <v>136.15898308259307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97.899731390293653</v>
      </c>
      <c r="AO64" s="62">
        <f t="shared" si="36"/>
        <v>310.21833995692549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33.686451822794233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3.9011348787039601E-6</v>
      </c>
      <c r="AX64" s="23">
        <f t="shared" si="6"/>
        <v>33.686455723929114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4.3399999999999981</v>
      </c>
      <c r="BD64" s="13">
        <f>IF('Données projet'!$A$88&gt;35,BD63+BC64-BL63,IF(A64&lt;'Données projet'!$A$88,$BA$205^A64,IF(A64='Données projet'!$A$88,'Données projet'!$B$88,BD63+BC64-BL63)))</f>
        <v>237.44000000000011</v>
      </c>
      <c r="BE64" s="14">
        <f>BD64*VLOOKUP('Données projet'!$B$11,Paramètres!$A$1:$I$89,3,0)*VLOOKUP('Données projet'!$B$11,Paramètres!$A$1:$I$89,5,0)</f>
        <v>192.6113280000001</v>
      </c>
      <c r="BF64" s="14">
        <f t="shared" si="37"/>
        <v>48.116820941588038</v>
      </c>
      <c r="BG64" s="22">
        <f t="shared" si="7"/>
        <v>419.2681927399326</v>
      </c>
      <c r="BH64" s="62">
        <f t="shared" si="8"/>
        <v>712.60152607326586</v>
      </c>
      <c r="BI64" s="62">
        <f ca="1">AVERAGE(OFFSET($BH$3,0,0,'Données projet'!$E$11+1,1))-AVERAGE(OFFSET($H$3,0,0,'Données projet'!$E$11+1,1))</f>
        <v>209.0958230411249</v>
      </c>
      <c r="BJ64" s="62">
        <f t="shared" si="38"/>
        <v>250.34919671671565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6.8589743589743621</v>
      </c>
      <c r="BY64" s="13">
        <f>IF('Données projet'!$A$114&gt;35,BY63+BX64-CG63,IF(A64&lt;'Données projet'!$A$114,$BV$205^A64,IF(A64='Données projet'!$A$114,'Données projet'!$B$114,BY63+BX64-CG63)))</f>
        <v>255.57692307692304</v>
      </c>
      <c r="BZ64" s="14">
        <f>BY64*VLOOKUP('Données projet'!$B$12,Paramètres!$A$1:$I$89,3,0)*VLOOKUP('Données projet'!$B$12,Paramètres!$A$1:$I$89,5,0)</f>
        <v>163.46699999999998</v>
      </c>
      <c r="CA64" s="14">
        <f t="shared" si="39"/>
        <v>41.623528610431102</v>
      </c>
      <c r="CB64" s="22">
        <f t="shared" si="10"/>
        <v>357.19933732983412</v>
      </c>
      <c r="CC64" s="62">
        <f t="shared" si="11"/>
        <v>650.53267066316744</v>
      </c>
      <c r="CD64" s="62">
        <f ca="1">AVERAGE(OFFSET($CC$3,0,0,'Données projet'!$E$12+1,1))-AVERAGE(OFFSET($H$3,0,0,'Données projet'!$E$12+1,1))</f>
        <v>152.52712777621315</v>
      </c>
      <c r="CE64" s="62">
        <f t="shared" si="40"/>
        <v>145.25423263217925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234.20000000000013</v>
      </c>
      <c r="CU64" s="18">
        <f>CT64*VLOOKUP('Données projet'!$B$13,Paramètres!$A$1:$I$89,3,0)*VLOOKUP('Données projet'!$B$13,Paramètres!$A$1:$I$89,5,0)</f>
        <v>153.44784000000007</v>
      </c>
      <c r="CV64" s="14">
        <f t="shared" si="41"/>
        <v>39.361080309334518</v>
      </c>
      <c r="CW64" s="22">
        <f t="shared" si="13"/>
        <v>335.80886953875768</v>
      </c>
      <c r="CX64" s="62">
        <f t="shared" si="14"/>
        <v>629.14220287209105</v>
      </c>
      <c r="CY64" s="62">
        <f ca="1">AVERAGE(OFFSET($CX$3,0,0,'Données projet'!$E$13+1,1))-AVERAGE(OFFSET($H$3,0,0,'Données projet'!$E$13+1,1))</f>
        <v>158.23848664370132</v>
      </c>
      <c r="CZ64" s="62">
        <f t="shared" si="42"/>
        <v>172.92355799729972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2">
        <f t="shared" si="32"/>
        <v>15.683868685583311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70">
        <f t="shared" si="1"/>
        <v>414.98364462739102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174.71375999999998</v>
      </c>
      <c r="P65" s="14">
        <f t="shared" si="33"/>
        <v>44.144062647515817</v>
      </c>
      <c r="Q65" s="22">
        <f t="shared" si="53"/>
        <v>381.17737444442332</v>
      </c>
      <c r="R65" s="62">
        <f t="shared" si="0"/>
        <v>674.51070777775658</v>
      </c>
      <c r="S65" s="62">
        <f ca="1">AVERAGE(OFFSET($R$3,0,0,'Données projet'!$E$9+1,1))-AVERAGE(OFFSET($H$3,0,0,'Données projet'!$E$9+1,1))</f>
        <v>223.49015613166239</v>
      </c>
      <c r="T65" s="62">
        <f t="shared" si="34"/>
        <v>136.15898308259307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97.899731390293653</v>
      </c>
      <c r="AO65" s="62">
        <f t="shared" si="36"/>
        <v>310.21833995692549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33.025881049256029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2.7585189270549297E-6</v>
      </c>
      <c r="AX65" s="23">
        <f t="shared" si="6"/>
        <v>33.025883807774953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4.3399999999999981</v>
      </c>
      <c r="BD65" s="13">
        <f>IF('Données projet'!$A$88&gt;35,BD64+BC65-BL64,IF(A65&lt;'Données projet'!$A$88,$BA$205^A65,IF(A65='Données projet'!$A$88,'Données projet'!$B$88,BD64+BC65-BL64)))</f>
        <v>241.78000000000011</v>
      </c>
      <c r="BE65" s="14">
        <f>BD65*VLOOKUP('Données projet'!$B$11,Paramètres!$A$1:$I$89,3,0)*VLOOKUP('Données projet'!$B$11,Paramètres!$A$1:$I$89,5,0)</f>
        <v>196.13193600000011</v>
      </c>
      <c r="BF65" s="14">
        <f t="shared" si="37"/>
        <v>48.893120515317094</v>
      </c>
      <c r="BG65" s="22">
        <f t="shared" si="7"/>
        <v>426.75197343084409</v>
      </c>
      <c r="BH65" s="62">
        <f t="shared" si="8"/>
        <v>720.0853067641774</v>
      </c>
      <c r="BI65" s="62">
        <f ca="1">AVERAGE(OFFSET($BH$3,0,0,'Données projet'!$E$11+1,1))-AVERAGE(OFFSET($H$3,0,0,'Données projet'!$E$11+1,1))</f>
        <v>209.0958230411249</v>
      </c>
      <c r="BJ65" s="62">
        <f t="shared" si="38"/>
        <v>250.34919671671565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6.8589743589743621</v>
      </c>
      <c r="BY65" s="13">
        <f>IF('Données projet'!$A$114&gt;35,BY64+BX65-CG64,IF(A65&lt;'Données projet'!$A$114,$BV$205^A65,IF(A65='Données projet'!$A$114,'Données projet'!$B$114,BY64+BX65-CG64)))</f>
        <v>262.4358974358974</v>
      </c>
      <c r="BZ65" s="14">
        <f>BY65*VLOOKUP('Données projet'!$B$12,Paramètres!$A$1:$I$89,3,0)*VLOOKUP('Données projet'!$B$12,Paramètres!$A$1:$I$89,5,0)</f>
        <v>167.85399999999998</v>
      </c>
      <c r="CA65" s="14">
        <f t="shared" si="39"/>
        <v>42.60903618772371</v>
      </c>
      <c r="CB65" s="22">
        <f t="shared" si="10"/>
        <v>366.55645469361872</v>
      </c>
      <c r="CC65" s="62">
        <f t="shared" si="11"/>
        <v>659.88978802695203</v>
      </c>
      <c r="CD65" s="62">
        <f ca="1">AVERAGE(OFFSET($CC$3,0,0,'Données projet'!$E$12+1,1))-AVERAGE(OFFSET($H$3,0,0,'Données projet'!$E$12+1,1))</f>
        <v>152.52712777621315</v>
      </c>
      <c r="CE65" s="62">
        <f t="shared" si="40"/>
        <v>145.25423263217925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239.40000000000012</v>
      </c>
      <c r="CU65" s="18">
        <f>CT65*VLOOKUP('Données projet'!$B$13,Paramètres!$A$1:$I$89,3,0)*VLOOKUP('Données projet'!$B$13,Paramètres!$A$1:$I$89,5,0)</f>
        <v>156.85488000000007</v>
      </c>
      <c r="CV65" s="14">
        <f t="shared" si="41"/>
        <v>40.132307243083858</v>
      </c>
      <c r="CW65" s="22">
        <f t="shared" si="13"/>
        <v>343.08601778170447</v>
      </c>
      <c r="CX65" s="62">
        <f t="shared" si="14"/>
        <v>636.41935111503778</v>
      </c>
      <c r="CY65" s="62">
        <f ca="1">AVERAGE(OFFSET($CX$3,0,0,'Données projet'!$E$13+1,1))-AVERAGE(OFFSET($H$3,0,0,'Données projet'!$E$13+1,1))</f>
        <v>158.23848664370132</v>
      </c>
      <c r="CZ65" s="62">
        <f t="shared" si="42"/>
        <v>172.92355799729972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2">
        <f t="shared" si="32"/>
        <v>15.90718053886436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70">
        <f t="shared" si="1"/>
        <v>416.89409943852223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180.77903999999995</v>
      </c>
      <c r="P66" s="14">
        <f t="shared" si="33"/>
        <v>45.495464625737284</v>
      </c>
      <c r="Q66" s="22">
        <f t="shared" si="53"/>
        <v>394.09476222315897</v>
      </c>
      <c r="R66" s="62">
        <f t="shared" si="0"/>
        <v>687.42809555649228</v>
      </c>
      <c r="S66" s="62">
        <f ca="1">AVERAGE(OFFSET($R$3,0,0,'Données projet'!$E$9+1,1))-AVERAGE(OFFSET($H$3,0,0,'Données projet'!$E$9+1,1))</f>
        <v>223.49015613166239</v>
      </c>
      <c r="T66" s="62">
        <f t="shared" si="34"/>
        <v>136.15898308259307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97.899731390293653</v>
      </c>
      <c r="AO66" s="62">
        <f t="shared" si="36"/>
        <v>310.21833995692549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32.378263665678524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1.95056743935198E-6</v>
      </c>
      <c r="AX66" s="23">
        <f t="shared" si="6"/>
        <v>32.378265616245962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4.3399999999999981</v>
      </c>
      <c r="BD66" s="13">
        <f>IF('Données projet'!$A$88&gt;35,BD65+BC66-BL65,IF(A66&lt;'Données projet'!$A$88,$BA$205^A66,IF(A66='Données projet'!$A$88,'Données projet'!$B$88,BD65+BC66-BL65)))</f>
        <v>246.12000000000012</v>
      </c>
      <c r="BE66" s="14">
        <f>BD66*VLOOKUP('Données projet'!$B$11,Paramètres!$A$1:$I$89,3,0)*VLOOKUP('Données projet'!$B$11,Paramètres!$A$1:$I$89,5,0)</f>
        <v>199.65254400000012</v>
      </c>
      <c r="BF66" s="14">
        <f t="shared" si="37"/>
        <v>49.667799687266168</v>
      </c>
      <c r="BG66" s="22">
        <f t="shared" si="7"/>
        <v>434.23293192198884</v>
      </c>
      <c r="BH66" s="62">
        <f t="shared" si="8"/>
        <v>727.56626525532215</v>
      </c>
      <c r="BI66" s="62">
        <f ca="1">AVERAGE(OFFSET($BH$3,0,0,'Données projet'!$E$11+1,1))-AVERAGE(OFFSET($H$3,0,0,'Données projet'!$E$11+1,1))</f>
        <v>209.0958230411249</v>
      </c>
      <c r="BJ66" s="62">
        <f t="shared" si="38"/>
        <v>250.34919671671565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6.8589743589743621</v>
      </c>
      <c r="BY66" s="13">
        <f>IF('Données projet'!$A$114&gt;35,BY65+BX66-CG65,IF(A66&lt;'Données projet'!$A$114,$BV$205^A66,IF(A66='Données projet'!$A$114,'Données projet'!$B$114,BY65+BX66-CG65)))</f>
        <v>269.29487179487177</v>
      </c>
      <c r="BZ66" s="14">
        <f>BY66*VLOOKUP('Données projet'!$B$12,Paramètres!$A$1:$I$89,3,0)*VLOOKUP('Données projet'!$B$12,Paramètres!$A$1:$I$89,5,0)</f>
        <v>172.24099999999996</v>
      </c>
      <c r="CA66" s="14">
        <f t="shared" si="39"/>
        <v>43.591549841505746</v>
      </c>
      <c r="CB66" s="22">
        <f t="shared" si="10"/>
        <v>375.9083576406224</v>
      </c>
      <c r="CC66" s="62">
        <f t="shared" si="11"/>
        <v>669.24169097395566</v>
      </c>
      <c r="CD66" s="62">
        <f ca="1">AVERAGE(OFFSET($CC$3,0,0,'Données projet'!$E$12+1,1))-AVERAGE(OFFSET($H$3,0,0,'Données projet'!$E$12+1,1))</f>
        <v>152.52712777621315</v>
      </c>
      <c r="CE66" s="62">
        <f t="shared" si="40"/>
        <v>145.25423263217925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244.60000000000011</v>
      </c>
      <c r="CU66" s="18">
        <f>CT66*VLOOKUP('Données projet'!$B$13,Paramètres!$A$1:$I$89,3,0)*VLOOKUP('Données projet'!$B$13,Paramètres!$A$1:$I$89,5,0)</f>
        <v>160.26192000000006</v>
      </c>
      <c r="CV66" s="14">
        <f t="shared" si="41"/>
        <v>40.901586568781333</v>
      </c>
      <c r="CW66" s="22">
        <f t="shared" si="13"/>
        <v>350.35977394062758</v>
      </c>
      <c r="CX66" s="62">
        <f t="shared" si="14"/>
        <v>643.69310727396089</v>
      </c>
      <c r="CY66" s="62">
        <f ca="1">AVERAGE(OFFSET($CX$3,0,0,'Données projet'!$E$13+1,1))-AVERAGE(OFFSET($H$3,0,0,'Données projet'!$E$13+1,1))</f>
        <v>158.23848664370132</v>
      </c>
      <c r="CZ66" s="62">
        <f t="shared" si="42"/>
        <v>172.92355799729972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2">
        <f t="shared" si="32"/>
        <v>16.130080159534312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70">
        <f t="shared" si="1"/>
        <v>418.80383627785574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186.84431999999995</v>
      </c>
      <c r="P67" s="14">
        <f t="shared" si="33"/>
        <v>46.841598205171657</v>
      </c>
      <c r="Q67" s="22">
        <f t="shared" ref="Q67:Q98" si="54">(O67+P67)*0.475*44/12</f>
        <v>407.00297420734051</v>
      </c>
      <c r="R67" s="62">
        <f t="shared" ref="R67:R130" si="55">Q67+(I67+J67)*44/12</f>
        <v>700.33630754067383</v>
      </c>
      <c r="S67" s="62">
        <f ca="1">AVERAGE(OFFSET($R$3,0,0,'Données projet'!$E$9+1,1))-AVERAGE(OFFSET($H$3,0,0,'Données projet'!$E$9+1,1))</f>
        <v>223.49015613166239</v>
      </c>
      <c r="T67" s="62">
        <f t="shared" si="34"/>
        <v>136.15898308259307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97.899731390293653</v>
      </c>
      <c r="AO67" s="62">
        <f t="shared" si="36"/>
        <v>310.21833995692549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31.743345663985373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1.3792594635274649E-6</v>
      </c>
      <c r="AX67" s="23">
        <f t="shared" si="6"/>
        <v>31.743347043244835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4.3399999999999981</v>
      </c>
      <c r="BD67" s="13">
        <f>IF('Données projet'!$A$88&gt;35,BD66+BC67-BL66,IF(A67&lt;'Données projet'!$A$88,$BA$205^A67,IF(A67='Données projet'!$A$88,'Données projet'!$B$88,BD66+BC67-BL66)))</f>
        <v>250.46000000000012</v>
      </c>
      <c r="BE67" s="14">
        <f>BD67*VLOOKUP('Données projet'!$B$11,Paramètres!$A$1:$I$89,3,0)*VLOOKUP('Données projet'!$B$11,Paramètres!$A$1:$I$89,5,0)</f>
        <v>203.1731520000001</v>
      </c>
      <c r="BF67" s="14">
        <f t="shared" si="37"/>
        <v>50.440890327658714</v>
      </c>
      <c r="BG67" s="22">
        <f t="shared" si="7"/>
        <v>441.71112372067245</v>
      </c>
      <c r="BH67" s="62">
        <f t="shared" si="8"/>
        <v>735.04445705400576</v>
      </c>
      <c r="BI67" s="62">
        <f ca="1">AVERAGE(OFFSET($BH$3,0,0,'Données projet'!$E$11+1,1))-AVERAGE(OFFSET($H$3,0,0,'Données projet'!$E$11+1,1))</f>
        <v>209.0958230411249</v>
      </c>
      <c r="BJ67" s="62">
        <f t="shared" si="38"/>
        <v>250.34919671671565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6.8589743589743621</v>
      </c>
      <c r="BY67" s="13">
        <f>IF('Données projet'!$A$114&gt;35,BY66+BX67-CG66,IF(A67&lt;'Données projet'!$A$114,$BV$205^A67,IF(A67='Données projet'!$A$114,'Données projet'!$B$114,BY66+BX67-CG66)))</f>
        <v>276.15384615384613</v>
      </c>
      <c r="BZ67" s="14">
        <f>BY67*VLOOKUP('Données projet'!$B$12,Paramètres!$A$1:$I$89,3,0)*VLOOKUP('Données projet'!$B$12,Paramètres!$A$1:$I$89,5,0)</f>
        <v>176.62799999999999</v>
      </c>
      <c r="CA67" s="14">
        <f t="shared" si="39"/>
        <v>44.571154596069931</v>
      </c>
      <c r="CB67" s="22">
        <f t="shared" si="10"/>
        <v>385.25519425482179</v>
      </c>
      <c r="CC67" s="62">
        <f t="shared" si="11"/>
        <v>678.5885275881551</v>
      </c>
      <c r="CD67" s="62">
        <f ca="1">AVERAGE(OFFSET($CC$3,0,0,'Données projet'!$E$12+1,1))-AVERAGE(OFFSET($H$3,0,0,'Données projet'!$E$12+1,1))</f>
        <v>152.52712777621315</v>
      </c>
      <c r="CE67" s="62">
        <f t="shared" si="40"/>
        <v>145.25423263217925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249.8000000000001</v>
      </c>
      <c r="CU67" s="18">
        <f>CT67*VLOOKUP('Données projet'!$B$13,Paramètres!$A$1:$I$89,3,0)*VLOOKUP('Données projet'!$B$13,Paramètres!$A$1:$I$89,5,0)</f>
        <v>163.66896000000006</v>
      </c>
      <c r="CV67" s="14">
        <f t="shared" si="41"/>
        <v>41.668964460385887</v>
      </c>
      <c r="CW67" s="22">
        <f t="shared" si="13"/>
        <v>357.63021843517214</v>
      </c>
      <c r="CX67" s="62">
        <f t="shared" si="14"/>
        <v>650.96355176850545</v>
      </c>
      <c r="CY67" s="62">
        <f ca="1">AVERAGE(OFFSET($CX$3,0,0,'Données projet'!$E$13+1,1))-AVERAGE(OFFSET($H$3,0,0,'Données projet'!$E$13+1,1))</f>
        <v>158.23848664370132</v>
      </c>
      <c r="CZ67" s="62">
        <f t="shared" si="42"/>
        <v>172.92355799729972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2">
        <f t="shared" si="32"/>
        <v>16.352574732529369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70">
        <f t="shared" ref="H68:H131" si="56">(B68+E68+F68)*44/12+(C68+D68)*0.475*44/12</f>
        <v>420.71286765915545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192.90959999999995</v>
      </c>
      <c r="P68" s="14">
        <f t="shared" si="33"/>
        <v>48.182654021446417</v>
      </c>
      <c r="Q68" s="22">
        <f t="shared" si="54"/>
        <v>419.90234242068573</v>
      </c>
      <c r="R68" s="62">
        <f t="shared" si="55"/>
        <v>713.23567575401898</v>
      </c>
      <c r="S68" s="62">
        <f ca="1">AVERAGE(OFFSET($R$3,0,0,'Données projet'!$E$9+1,1))-AVERAGE(OFFSET($H$3,0,0,'Données projet'!$E$9+1,1))</f>
        <v>223.49015613166239</v>
      </c>
      <c r="T68" s="62">
        <f t="shared" si="34"/>
        <v>136.15898308259307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97.899731390293653</v>
      </c>
      <c r="AO68" s="62">
        <f t="shared" si="36"/>
        <v>310.21833995692549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31.120878017043683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9.7528371967599002E-7</v>
      </c>
      <c r="AX68" s="23">
        <f t="shared" ref="AX68:AX131" si="60">SUM(AU68:AW68)</f>
        <v>31.120878992327402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254.8</v>
      </c>
      <c r="BB68" s="13">
        <f>VLOOKUP(A68,'Données projet'!$A$87:$I$107,9,0)</f>
        <v>4.3399999999999981</v>
      </c>
      <c r="BC68" s="13">
        <f t="array" ref="BC68">INDEX(BB:BB,MIN(IF(ISNUMBER(BB68:BB264),ROW(BB68:BB264),"")))</f>
        <v>4.3399999999999981</v>
      </c>
      <c r="BD68" s="13">
        <f>IF('Données projet'!$A$88&gt;35,BD67+BC68-BL67,IF(A68&lt;'Données projet'!$A$88,$BA$205^A68,IF(A68='Données projet'!$A$88,'Données projet'!$B$88,BD67+BC68-BL67)))</f>
        <v>254.80000000000013</v>
      </c>
      <c r="BE68" s="14">
        <f>BD68*VLOOKUP('Données projet'!$B$11,Paramètres!$A$1:$I$89,3,0)*VLOOKUP('Données projet'!$B$11,Paramètres!$A$1:$I$89,5,0)</f>
        <v>206.69376000000011</v>
      </c>
      <c r="BF68" s="14">
        <f t="shared" si="37"/>
        <v>51.212423138937325</v>
      </c>
      <c r="BG68" s="22">
        <f t="shared" ref="BG68:BG131" si="61">(BE68+BF68)*0.475*44/12</f>
        <v>449.186602300316</v>
      </c>
      <c r="BH68" s="62">
        <f t="shared" ref="BH68:BH131" si="62">BG68+(AY68+AZ68)*44/12</f>
        <v>742.51993563364931</v>
      </c>
      <c r="BI68" s="62">
        <f ca="1">AVERAGE(OFFSET($BH$3,0,0,'Données projet'!$E$11+1,1))-AVERAGE(OFFSET($H$3,0,0,'Données projet'!$E$11+1,1))</f>
        <v>209.0958230411249</v>
      </c>
      <c r="BJ68" s="62">
        <f t="shared" si="38"/>
        <v>250.34919671671565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6.8589743589743621</v>
      </c>
      <c r="BY68" s="13">
        <f>IF('Données projet'!$A$114&gt;35,BY67+BX68-CG67,IF(A68&lt;'Données projet'!$A$114,$BV$205^A68,IF(A68='Données projet'!$A$114,'Données projet'!$B$114,BY67+BX68-CG67)))</f>
        <v>283.0128205128205</v>
      </c>
      <c r="BZ68" s="14">
        <f>BY68*VLOOKUP('Données projet'!$B$12,Paramètres!$A$1:$I$89,3,0)*VLOOKUP('Données projet'!$B$12,Paramètres!$A$1:$I$89,5,0)</f>
        <v>181.01499999999999</v>
      </c>
      <c r="CA68" s="14">
        <f t="shared" si="39"/>
        <v>45.547931011383568</v>
      </c>
      <c r="CB68" s="22">
        <f t="shared" ref="CB68:CB131" si="64">(BZ68+CA68)*0.475*44/12</f>
        <v>394.59710484482639</v>
      </c>
      <c r="CC68" s="62">
        <f t="shared" ref="CC68:CC131" si="65">CB68+(BT68+BU68)*44/12</f>
        <v>687.93043817815965</v>
      </c>
      <c r="CD68" s="62">
        <f ca="1">AVERAGE(OFFSET($CC$3,0,0,'Données projet'!$E$12+1,1))-AVERAGE(OFFSET($H$3,0,0,'Données projet'!$E$12+1,1))</f>
        <v>152.52712777621315</v>
      </c>
      <c r="CE68" s="62">
        <f t="shared" si="40"/>
        <v>145.25423263217925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255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255.00000000000009</v>
      </c>
      <c r="CU68" s="18">
        <f>CT68*VLOOKUP('Données projet'!$B$13,Paramètres!$A$1:$I$89,3,0)*VLOOKUP('Données projet'!$B$13,Paramètres!$A$1:$I$89,5,0)</f>
        <v>167.07600000000005</v>
      </c>
      <c r="CV68" s="14">
        <f t="shared" si="41"/>
        <v>42.434485059621672</v>
      </c>
      <c r="CW68" s="22">
        <f t="shared" ref="CW68:CW131" si="67">(CU68+CV68)*0.475*44/12</f>
        <v>364.89742814550777</v>
      </c>
      <c r="CX68" s="62">
        <f t="shared" ref="CX68:CX131" si="68">CW68+(CO68+CP68)*44/12</f>
        <v>658.23076147884103</v>
      </c>
      <c r="CY68" s="62">
        <f ca="1">AVERAGE(OFFSET($CX$3,0,0,'Données projet'!$E$13+1,1))-AVERAGE(OFFSET($H$3,0,0,'Données projet'!$E$13+1,1))</f>
        <v>158.23848664370132</v>
      </c>
      <c r="CZ68" s="62">
        <f t="shared" si="42"/>
        <v>172.92355799729972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42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2">
        <f t="shared" ref="D69:D132" si="86">IFERROR(EXP(-1.0587+0.8836*LN(C69)+0.284),0)</f>
        <v>16.574671209026054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70">
        <f t="shared" si="56"/>
        <v>422.6212056890538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198.63791999999995</v>
      </c>
      <c r="P69" s="14">
        <f t="shared" ref="P69:P132" si="87">EXP(-1.0587+0.8836*LN(O69)+0.284)</f>
        <v>49.444704816101329</v>
      </c>
      <c r="Q69" s="22">
        <f t="shared" si="54"/>
        <v>432.07723822137638</v>
      </c>
      <c r="R69" s="62">
        <f t="shared" si="55"/>
        <v>725.41057155470969</v>
      </c>
      <c r="S69" s="62">
        <f ca="1">AVERAGE(OFFSET($R$3,0,0,'Données projet'!$E$9+1,1))-AVERAGE(OFFSET($H$3,0,0,'Données projet'!$E$9+1,1))</f>
        <v>223.49015613166239</v>
      </c>
      <c r="T69" s="62">
        <f t="shared" ref="T69:T132" si="88">$T$3</f>
        <v>136.15898308259307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97.899731390293653</v>
      </c>
      <c r="AO69" s="62">
        <f t="shared" ref="AO69:AO132" si="90">$AO$3</f>
        <v>310.21833995692549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30.510616580990742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6.8962973176373244E-7</v>
      </c>
      <c r="AX69" s="23">
        <f t="shared" si="60"/>
        <v>30.510617270620475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258.56000000000012</v>
      </c>
      <c r="BE69" s="14">
        <f>BD69*VLOOKUP('Données projet'!$B$11,Paramètres!$A$1:$I$89,3,0)*VLOOKUP('Données projet'!$B$11,Paramètres!$A$1:$I$89,5,0)</f>
        <v>209.7438720000001</v>
      </c>
      <c r="BF69" s="14">
        <f t="shared" ref="BF69:BF132" si="91">EXP(-1.0587+0.8836*LN(BE69)+0.284)</f>
        <v>51.879611311403657</v>
      </c>
      <c r="BG69" s="22">
        <f t="shared" si="61"/>
        <v>455.66090010069485</v>
      </c>
      <c r="BH69" s="62">
        <f t="shared" si="62"/>
        <v>748.99423343402816</v>
      </c>
      <c r="BI69" s="62">
        <f ca="1">AVERAGE(OFFSET($BH$3,0,0,'Données projet'!$E$11+1,1))-AVERAGE(OFFSET($H$3,0,0,'Données projet'!$E$11+1,1))</f>
        <v>209.0958230411249</v>
      </c>
      <c r="BJ69" s="62">
        <f t="shared" ref="BJ69:BJ132" si="92">$BJ$3</f>
        <v>250.34919671671565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6.8589743589743621</v>
      </c>
      <c r="BY69" s="13">
        <f>IF('Données projet'!$A$114&gt;35,BY68+BX69-CG68,IF(A69&lt;'Données projet'!$A$114,$BV$205^A69,IF(A69='Données projet'!$A$114,'Données projet'!$B$114,BY68+BX69-CG68)))</f>
        <v>289.87179487179486</v>
      </c>
      <c r="BZ69" s="14">
        <f>BY69*VLOOKUP('Données projet'!$B$12,Paramètres!$A$1:$I$89,3,0)*VLOOKUP('Données projet'!$B$12,Paramètres!$A$1:$I$89,5,0)</f>
        <v>185.40199999999999</v>
      </c>
      <c r="CA69" s="14">
        <f t="shared" ref="CA69:CA132" si="93">EXP(-1.0587+0.8836*LN(BZ69)+0.284)</f>
        <v>46.521955519926529</v>
      </c>
      <c r="CB69" s="22">
        <f t="shared" si="64"/>
        <v>403.93422253053865</v>
      </c>
      <c r="CC69" s="62">
        <f t="shared" si="65"/>
        <v>697.26755586387196</v>
      </c>
      <c r="CD69" s="62">
        <f ca="1">AVERAGE(OFFSET($CC$3,0,0,'Données projet'!$E$12+1,1))-AVERAGE(OFFSET($H$3,0,0,'Données projet'!$E$12+1,1))</f>
        <v>152.52712777621315</v>
      </c>
      <c r="CE69" s="62">
        <f t="shared" ref="CE69:CE132" si="94">$CE$3</f>
        <v>145.25423263217925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4.8</v>
      </c>
      <c r="CT69" s="13">
        <f>IF('Données projet'!$A$140&gt;35,CT68+CS69-DB68,IF(A69&lt;'Données projet'!$A$140,$CQ$205^A69,IF(A69='Données projet'!$A$140,'Données projet'!$B$140,CT68+CS69-DB68)))</f>
        <v>217.80000000000007</v>
      </c>
      <c r="CU69" s="18">
        <f>CT69*VLOOKUP('Données projet'!$B$13,Paramètres!$A$1:$I$89,3,0)*VLOOKUP('Données projet'!$B$13,Paramètres!$A$1:$I$89,5,0)</f>
        <v>142.70256000000003</v>
      </c>
      <c r="CV69" s="14">
        <f t="shared" ref="CV69:CV132" si="95">EXP(-1.0587+0.8836*LN(CU69)+0.284)</f>
        <v>36.91543341153259</v>
      </c>
      <c r="CW69" s="22">
        <f t="shared" si="67"/>
        <v>312.83467185841931</v>
      </c>
      <c r="CX69" s="62">
        <f t="shared" si="68"/>
        <v>606.16800519175263</v>
      </c>
      <c r="CY69" s="62">
        <f ca="1">AVERAGE(OFFSET($CX$3,0,0,'Données projet'!$E$13+1,1))-AVERAGE(OFFSET($H$3,0,0,'Données projet'!$E$13+1,1))</f>
        <v>158.23848664370132</v>
      </c>
      <c r="CZ69" s="62">
        <f t="shared" ref="CZ69:CZ132" si="96">$CZ$3</f>
        <v>172.92355799729972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2">
        <f t="shared" si="86"/>
        <v>16.796376317470774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70">
        <f t="shared" si="56"/>
        <v>424.52886208626171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204.36623999999995</v>
      </c>
      <c r="P70" s="14">
        <f t="shared" si="87"/>
        <v>50.702525713362093</v>
      </c>
      <c r="Q70" s="22">
        <f t="shared" si="54"/>
        <v>444.24476695077215</v>
      </c>
      <c r="R70" s="62">
        <f t="shared" si="55"/>
        <v>737.5781002841054</v>
      </c>
      <c r="S70" s="62">
        <f ca="1">AVERAGE(OFFSET($R$3,0,0,'Données projet'!$E$9+1,1))-AVERAGE(OFFSET($H$3,0,0,'Données projet'!$E$9+1,1))</f>
        <v>223.49015613166239</v>
      </c>
      <c r="T70" s="62">
        <f t="shared" si="88"/>
        <v>136.15898308259307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97.899731390293653</v>
      </c>
      <c r="AO70" s="62">
        <f t="shared" si="90"/>
        <v>310.21833995692549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29.912321999476077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4.8764185983799501E-7</v>
      </c>
      <c r="AX70" s="23">
        <f t="shared" si="60"/>
        <v>29.912322487117937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262.32000000000011</v>
      </c>
      <c r="BE70" s="14">
        <f>BD70*VLOOKUP('Données projet'!$B$11,Paramètres!$A$1:$I$89,3,0)*VLOOKUP('Données projet'!$B$11,Paramètres!$A$1:$I$89,5,0)</f>
        <v>212.79398400000008</v>
      </c>
      <c r="BF70" s="14">
        <f t="shared" si="91"/>
        <v>52.545671049001854</v>
      </c>
      <c r="BG70" s="22">
        <f t="shared" si="61"/>
        <v>462.13323254367833</v>
      </c>
      <c r="BH70" s="62">
        <f t="shared" si="62"/>
        <v>755.46656587701159</v>
      </c>
      <c r="BI70" s="62">
        <f ca="1">AVERAGE(OFFSET($BH$3,0,0,'Données projet'!$E$11+1,1))-AVERAGE(OFFSET($H$3,0,0,'Données projet'!$E$11+1,1))</f>
        <v>209.0958230411249</v>
      </c>
      <c r="BJ70" s="62">
        <f t="shared" si="92"/>
        <v>250.34919671671565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6.8589743589743621</v>
      </c>
      <c r="BY70" s="13">
        <f>IF('Données projet'!$A$114&gt;35,BY69+BX70-CG69,IF(A70&lt;'Données projet'!$A$114,$BV$205^A70,IF(A70='Données projet'!$A$114,'Données projet'!$B$114,BY69+BX70-CG69)))</f>
        <v>296.73076923076923</v>
      </c>
      <c r="BZ70" s="14">
        <f>BY70*VLOOKUP('Données projet'!$B$12,Paramètres!$A$1:$I$89,3,0)*VLOOKUP('Données projet'!$B$12,Paramètres!$A$1:$I$89,5,0)</f>
        <v>189.78899999999999</v>
      </c>
      <c r="CA70" s="14">
        <f t="shared" si="93"/>
        <v>47.49330073075005</v>
      </c>
      <c r="CB70" s="22">
        <f t="shared" si="64"/>
        <v>413.26667377272298</v>
      </c>
      <c r="CC70" s="62">
        <f t="shared" si="65"/>
        <v>706.6000071060563</v>
      </c>
      <c r="CD70" s="62">
        <f ca="1">AVERAGE(OFFSET($CC$3,0,0,'Données projet'!$E$12+1,1))-AVERAGE(OFFSET($H$3,0,0,'Données projet'!$E$12+1,1))</f>
        <v>152.52712777621315</v>
      </c>
      <c r="CE70" s="62">
        <f t="shared" si="94"/>
        <v>145.25423263217925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4.8</v>
      </c>
      <c r="CT70" s="13">
        <f>IF('Données projet'!$A$140&gt;35,CT69+CS70-DB69,IF(A70&lt;'Données projet'!$A$140,$CQ$205^A70,IF(A70='Données projet'!$A$140,'Données projet'!$B$140,CT69+CS70-DB69)))</f>
        <v>222.60000000000008</v>
      </c>
      <c r="CU70" s="18">
        <f>CT70*VLOOKUP('Données projet'!$B$13,Paramètres!$A$1:$I$89,3,0)*VLOOKUP('Données projet'!$B$13,Paramètres!$A$1:$I$89,5,0)</f>
        <v>145.84752000000006</v>
      </c>
      <c r="CV70" s="14">
        <f t="shared" si="95"/>
        <v>37.633383344887093</v>
      </c>
      <c r="CW70" s="22">
        <f t="shared" si="67"/>
        <v>319.56257332567844</v>
      </c>
      <c r="CX70" s="62">
        <f t="shared" si="68"/>
        <v>612.89590665901176</v>
      </c>
      <c r="CY70" s="62">
        <f ca="1">AVERAGE(OFFSET($CX$3,0,0,'Données projet'!$E$13+1,1))-AVERAGE(OFFSET($H$3,0,0,'Données projet'!$E$13+1,1))</f>
        <v>158.23848664370132</v>
      </c>
      <c r="CZ70" s="62">
        <f t="shared" si="96"/>
        <v>172.92355799729972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2">
        <f t="shared" si="86"/>
        <v>17.017696573932405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70">
        <f t="shared" si="56"/>
        <v>426.43584819959909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210.09456</v>
      </c>
      <c r="P71" s="14">
        <f t="shared" si="87"/>
        <v>51.956248895959689</v>
      </c>
      <c r="Q71" s="22">
        <f t="shared" si="54"/>
        <v>456.40515882712975</v>
      </c>
      <c r="R71" s="62">
        <f t="shared" si="55"/>
        <v>749.73849216046301</v>
      </c>
      <c r="S71" s="62">
        <f ca="1">AVERAGE(OFFSET($R$3,0,0,'Données projet'!$E$9+1,1))-AVERAGE(OFFSET($H$3,0,0,'Données projet'!$E$9+1,1))</f>
        <v>223.49015613166239</v>
      </c>
      <c r="T71" s="62">
        <f t="shared" si="88"/>
        <v>136.15898308259307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97.899731390293653</v>
      </c>
      <c r="AO71" s="62">
        <f t="shared" si="90"/>
        <v>310.21833995692549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29.325759609781255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3.4481486588186622E-7</v>
      </c>
      <c r="AX71" s="23">
        <f t="shared" si="60"/>
        <v>29.325759954596119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266.0800000000001</v>
      </c>
      <c r="BE71" s="14">
        <f>BD71*VLOOKUP('Données projet'!$B$11,Paramètres!$A$1:$I$89,3,0)*VLOOKUP('Données projet'!$B$11,Paramètres!$A$1:$I$89,5,0)</f>
        <v>215.84409600000012</v>
      </c>
      <c r="BF71" s="14">
        <f t="shared" si="91"/>
        <v>53.210620395218292</v>
      </c>
      <c r="BG71" s="22">
        <f t="shared" si="61"/>
        <v>468.60363105500534</v>
      </c>
      <c r="BH71" s="62">
        <f t="shared" si="62"/>
        <v>761.93696438833865</v>
      </c>
      <c r="BI71" s="62">
        <f ca="1">AVERAGE(OFFSET($BH$3,0,0,'Données projet'!$E$11+1,1))-AVERAGE(OFFSET($H$3,0,0,'Données projet'!$E$11+1,1))</f>
        <v>209.0958230411249</v>
      </c>
      <c r="BJ71" s="62">
        <f t="shared" si="92"/>
        <v>250.34919671671565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6.8589743589743621</v>
      </c>
      <c r="BY71" s="13">
        <f>IF('Données projet'!$A$114&gt;35,BY70+BX71-CG70,IF(A71&lt;'Données projet'!$A$114,$BV$205^A71,IF(A71='Données projet'!$A$114,'Données projet'!$B$114,BY70+BX71-CG70)))</f>
        <v>303.58974358974359</v>
      </c>
      <c r="BZ71" s="14">
        <f>BY71*VLOOKUP('Données projet'!$B$12,Paramètres!$A$1:$I$89,3,0)*VLOOKUP('Données projet'!$B$12,Paramètres!$A$1:$I$89,5,0)</f>
        <v>194.17600000000002</v>
      </c>
      <c r="CA71" s="14">
        <f t="shared" si="93"/>
        <v>48.462035704629443</v>
      </c>
      <c r="CB71" s="22">
        <f t="shared" si="64"/>
        <v>422.59457885222963</v>
      </c>
      <c r="CC71" s="62">
        <f t="shared" si="65"/>
        <v>715.92791218556295</v>
      </c>
      <c r="CD71" s="62">
        <f ca="1">AVERAGE(OFFSET($CC$3,0,0,'Données projet'!$E$12+1,1))-AVERAGE(OFFSET($H$3,0,0,'Données projet'!$E$12+1,1))</f>
        <v>152.52712777621315</v>
      </c>
      <c r="CE71" s="62">
        <f t="shared" si="94"/>
        <v>145.25423263217925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4.8</v>
      </c>
      <c r="CT71" s="13">
        <f>IF('Données projet'!$A$140&gt;35,CT70+CS71-DB70,IF(A71&lt;'Données projet'!$A$140,$CQ$205^A71,IF(A71='Données projet'!$A$140,'Données projet'!$B$140,CT70+CS71-DB70)))</f>
        <v>227.40000000000009</v>
      </c>
      <c r="CU71" s="18">
        <f>CT71*VLOOKUP('Données projet'!$B$13,Paramètres!$A$1:$I$89,3,0)*VLOOKUP('Données projet'!$B$13,Paramètres!$A$1:$I$89,5,0)</f>
        <v>148.99248000000006</v>
      </c>
      <c r="CV71" s="14">
        <f t="shared" si="95"/>
        <v>38.349533355462334</v>
      </c>
      <c r="CW71" s="22">
        <f t="shared" si="67"/>
        <v>326.28733992743037</v>
      </c>
      <c r="CX71" s="62">
        <f t="shared" si="68"/>
        <v>619.62067326076362</v>
      </c>
      <c r="CY71" s="62">
        <f ca="1">AVERAGE(OFFSET($CX$3,0,0,'Données projet'!$E$13+1,1))-AVERAGE(OFFSET($H$3,0,0,'Données projet'!$E$13+1,1))</f>
        <v>158.23848664370132</v>
      </c>
      <c r="CZ71" s="62">
        <f t="shared" si="96"/>
        <v>172.92355799729972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2">
        <f t="shared" si="86"/>
        <v>17.238638291828423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70">
        <f t="shared" si="56"/>
        <v>428.34217502493465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215.82287999999997</v>
      </c>
      <c r="P72" s="14">
        <f t="shared" si="87"/>
        <v>53.205998928315829</v>
      </c>
      <c r="Q72" s="22">
        <f t="shared" si="54"/>
        <v>468.55863080015001</v>
      </c>
      <c r="R72" s="62">
        <f t="shared" si="55"/>
        <v>761.89196413348327</v>
      </c>
      <c r="S72" s="62">
        <f ca="1">AVERAGE(OFFSET($R$3,0,0,'Données projet'!$E$9+1,1))-AVERAGE(OFFSET($H$3,0,0,'Données projet'!$E$9+1,1))</f>
        <v>223.49015613166239</v>
      </c>
      <c r="T72" s="62">
        <f t="shared" si="88"/>
        <v>136.15898308259307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97.899731390293653</v>
      </c>
      <c r="AO72" s="62">
        <f t="shared" si="90"/>
        <v>310.21833995692549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28.750699350780618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2.4382092991899751E-7</v>
      </c>
      <c r="AX72" s="23">
        <f t="shared" si="60"/>
        <v>28.750699594601549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269.84000000000009</v>
      </c>
      <c r="BE72" s="14">
        <f>BD72*VLOOKUP('Données projet'!$B$11,Paramètres!$A$1:$I$89,3,0)*VLOOKUP('Données projet'!$B$11,Paramètres!$A$1:$I$89,5,0)</f>
        <v>218.89420800000011</v>
      </c>
      <c r="BF72" s="14">
        <f t="shared" si="91"/>
        <v>53.874476854302138</v>
      </c>
      <c r="BG72" s="22">
        <f t="shared" si="61"/>
        <v>475.07212612124312</v>
      </c>
      <c r="BH72" s="62">
        <f t="shared" si="62"/>
        <v>768.40545945457643</v>
      </c>
      <c r="BI72" s="62">
        <f ca="1">AVERAGE(OFFSET($BH$3,0,0,'Données projet'!$E$11+1,1))-AVERAGE(OFFSET($H$3,0,0,'Données projet'!$E$11+1,1))</f>
        <v>209.0958230411249</v>
      </c>
      <c r="BJ72" s="62">
        <f t="shared" si="92"/>
        <v>250.34919671671565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6.8589743589743621</v>
      </c>
      <c r="BY72" s="13">
        <f>IF('Données projet'!$A$114&gt;35,BY71+BX72-CG71,IF(A72&lt;'Données projet'!$A$114,$BV$205^A72,IF(A72='Données projet'!$A$114,'Données projet'!$B$114,BY71+BX72-CG71)))</f>
        <v>310.44871794871796</v>
      </c>
      <c r="BZ72" s="14">
        <f>BY72*VLOOKUP('Données projet'!$B$12,Paramètres!$A$1:$I$89,3,0)*VLOOKUP('Données projet'!$B$12,Paramètres!$A$1:$I$89,5,0)</f>
        <v>198.56299999999999</v>
      </c>
      <c r="CA72" s="14">
        <f t="shared" si="93"/>
        <v>49.428226203650105</v>
      </c>
      <c r="CB72" s="22">
        <f t="shared" si="64"/>
        <v>431.91805230469055</v>
      </c>
      <c r="CC72" s="62">
        <f t="shared" si="65"/>
        <v>725.25138563802386</v>
      </c>
      <c r="CD72" s="62">
        <f ca="1">AVERAGE(OFFSET($CC$3,0,0,'Données projet'!$E$12+1,1))-AVERAGE(OFFSET($H$3,0,0,'Données projet'!$E$12+1,1))</f>
        <v>152.52712777621315</v>
      </c>
      <c r="CE72" s="62">
        <f t="shared" si="94"/>
        <v>145.25423263217925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4.8</v>
      </c>
      <c r="CT72" s="13">
        <f>IF('Données projet'!$A$140&gt;35,CT71+CS72-DB71,IF(A72&lt;'Données projet'!$A$140,$CQ$205^A72,IF(A72='Données projet'!$A$140,'Données projet'!$B$140,CT71+CS72-DB71)))</f>
        <v>232.2000000000001</v>
      </c>
      <c r="CU72" s="18">
        <f>CT72*VLOOKUP('Données projet'!$B$13,Paramètres!$A$1:$I$89,3,0)*VLOOKUP('Données projet'!$B$13,Paramètres!$A$1:$I$89,5,0)</f>
        <v>152.13744000000008</v>
      </c>
      <c r="CV72" s="14">
        <f t="shared" si="95"/>
        <v>39.063925813036128</v>
      </c>
      <c r="CW72" s="22">
        <f t="shared" si="67"/>
        <v>333.0090454577047</v>
      </c>
      <c r="CX72" s="62">
        <f t="shared" si="68"/>
        <v>626.34237879103807</v>
      </c>
      <c r="CY72" s="62">
        <f ca="1">AVERAGE(OFFSET($CX$3,0,0,'Données projet'!$E$13+1,1))-AVERAGE(OFFSET($H$3,0,0,'Données projet'!$E$13+1,1))</f>
        <v>158.23848664370132</v>
      </c>
      <c r="CZ72" s="62">
        <f t="shared" si="96"/>
        <v>172.92355799729972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2">
        <f t="shared" si="86"/>
        <v>17.45920759107128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70">
        <f t="shared" si="56"/>
        <v>430.24785322111597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221.55119999999997</v>
      </c>
      <c r="P73" s="14">
        <f t="shared" si="87"/>
        <v>54.451893386016494</v>
      </c>
      <c r="Q73" s="22">
        <f t="shared" si="54"/>
        <v>480.70538764731208</v>
      </c>
      <c r="R73" s="62">
        <f t="shared" si="55"/>
        <v>774.03872098064539</v>
      </c>
      <c r="S73" s="62">
        <f ca="1">AVERAGE(OFFSET($R$3,0,0,'Données projet'!$E$9+1,1))-AVERAGE(OFFSET($H$3,0,0,'Données projet'!$E$9+1,1))</f>
        <v>223.49015613166239</v>
      </c>
      <c r="T73" s="62">
        <f t="shared" si="88"/>
        <v>136.15898308259307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97.899731390293653</v>
      </c>
      <c r="AO73" s="62">
        <f t="shared" si="90"/>
        <v>310.21833995692549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28.18691567270686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1.7240743294093311E-7</v>
      </c>
      <c r="AX73" s="23">
        <f t="shared" si="60"/>
        <v>28.186915845114292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273.59999999999997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273.60000000000008</v>
      </c>
      <c r="BE73" s="14">
        <f>BD73*VLOOKUP('Données projet'!$B$11,Paramètres!$A$1:$I$89,3,0)*VLOOKUP('Données projet'!$B$11,Paramètres!$A$1:$I$89,5,0)</f>
        <v>221.94432000000009</v>
      </c>
      <c r="BF73" s="14">
        <f t="shared" si="91"/>
        <v>54.537257414665774</v>
      </c>
      <c r="BG73" s="22">
        <f t="shared" si="61"/>
        <v>481.538747330543</v>
      </c>
      <c r="BH73" s="62">
        <f t="shared" si="62"/>
        <v>774.87208066387632</v>
      </c>
      <c r="BI73" s="62">
        <f ca="1">AVERAGE(OFFSET($BH$3,0,0,'Données projet'!$E$11+1,1))-AVERAGE(OFFSET($H$3,0,0,'Données projet'!$E$11+1,1))</f>
        <v>209.0958230411249</v>
      </c>
      <c r="BJ73" s="62">
        <f t="shared" si="92"/>
        <v>250.34919671671565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20.9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317.30769230769232</v>
      </c>
      <c r="BW73" s="13">
        <f>VLOOKUP(A73,'Données projet'!$A$113:$I$133,9,0)</f>
        <v>6.8589743589743621</v>
      </c>
      <c r="BX73" s="13">
        <f t="array" ref="BX73">INDEX(BW:BW,MIN(IF(ISNUMBER(BW73:BW269),ROW(BW73:BW269),"")))</f>
        <v>6.8589743589743621</v>
      </c>
      <c r="BY73" s="13">
        <f>IF('Données projet'!$A$114&gt;35,BY72+BX73-CG72,IF(A73&lt;'Données projet'!$A$114,$BV$205^A73,IF(A73='Données projet'!$A$114,'Données projet'!$B$114,BY72+BX73-CG72)))</f>
        <v>317.30769230769232</v>
      </c>
      <c r="BZ73" s="14">
        <f>BY73*VLOOKUP('Données projet'!$B$12,Paramètres!$A$1:$I$89,3,0)*VLOOKUP('Données projet'!$B$12,Paramètres!$A$1:$I$89,5,0)</f>
        <v>202.95</v>
      </c>
      <c r="CA73" s="14">
        <f t="shared" si="93"/>
        <v>50.391934918114686</v>
      </c>
      <c r="CB73" s="22">
        <f t="shared" si="64"/>
        <v>441.23720331571639</v>
      </c>
      <c r="CC73" s="62">
        <f t="shared" si="65"/>
        <v>734.5705366490497</v>
      </c>
      <c r="CD73" s="62">
        <f ca="1">AVERAGE(OFFSET($CC$3,0,0,'Données projet'!$E$12+1,1))-AVERAGE(OFFSET($H$3,0,0,'Données projet'!$E$12+1,1))</f>
        <v>152.52712777621315</v>
      </c>
      <c r="CE73" s="62">
        <f t="shared" si="94"/>
        <v>145.25423263217925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237</v>
      </c>
      <c r="CR73" s="13">
        <f>VLOOKUP(A73,'Données projet'!$A$139:$I$159,9,0)</f>
        <v>4.8</v>
      </c>
      <c r="CS73" s="13">
        <f t="array" ref="CS73">INDEX(CR:CR,MIN(IF(ISNUMBER(CR73:CR269),ROW(CR73:CR269),"")))</f>
        <v>4.8</v>
      </c>
      <c r="CT73" s="13">
        <f>IF('Données projet'!$A$140&gt;35,CT72+CS73-DB72,IF(A73&lt;'Données projet'!$A$140,$CQ$205^A73,IF(A73='Données projet'!$A$140,'Données projet'!$B$140,CT72+CS73-DB72)))</f>
        <v>237.00000000000011</v>
      </c>
      <c r="CU73" s="18">
        <f>CT73*VLOOKUP('Données projet'!$B$13,Paramètres!$A$1:$I$89,3,0)*VLOOKUP('Données projet'!$B$13,Paramètres!$A$1:$I$89,5,0)</f>
        <v>155.28240000000008</v>
      </c>
      <c r="CV73" s="14">
        <f t="shared" si="95"/>
        <v>39.776601235546444</v>
      </c>
      <c r="CW73" s="22">
        <f t="shared" si="67"/>
        <v>339.72776048524355</v>
      </c>
      <c r="CX73" s="62">
        <f t="shared" si="68"/>
        <v>633.06109381857686</v>
      </c>
      <c r="CY73" s="62">
        <f ca="1">AVERAGE(OFFSET($CX$3,0,0,'Données projet'!$E$13+1,1))-AVERAGE(OFFSET($H$3,0,0,'Données projet'!$E$13+1,1))</f>
        <v>158.23848664370132</v>
      </c>
      <c r="CZ73" s="62">
        <f t="shared" si="96"/>
        <v>172.92355799729972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2">
        <f t="shared" si="86"/>
        <v>17.679410406677235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70">
        <f t="shared" si="56"/>
        <v>432.15289312496304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191.39327999999998</v>
      </c>
      <c r="P74" s="14">
        <f t="shared" si="87"/>
        <v>47.847856170442952</v>
      </c>
      <c r="Q74" s="22">
        <f t="shared" si="54"/>
        <v>416.67831216352141</v>
      </c>
      <c r="R74" s="62">
        <f t="shared" si="55"/>
        <v>710.01164549685473</v>
      </c>
      <c r="S74" s="62">
        <f ca="1">AVERAGE(OFFSET($R$3,0,0,'Données projet'!$E$9+1,1))-AVERAGE(OFFSET($H$3,0,0,'Données projet'!$E$9+1,1))</f>
        <v>223.49015613166239</v>
      </c>
      <c r="T74" s="62">
        <f t="shared" si="88"/>
        <v>136.15898308259307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97.899731390293653</v>
      </c>
      <c r="AO74" s="62">
        <f t="shared" si="90"/>
        <v>310.21833995692549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27.634187448686038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1.2191046495949875E-7</v>
      </c>
      <c r="AX74" s="23">
        <f t="shared" si="60"/>
        <v>27.634187570596502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3.4000000000000172</v>
      </c>
      <c r="BD74" s="13">
        <f>IF('Données projet'!$A$88&gt;35,BD73+BC74-BL73,IF(A74&lt;'Données projet'!$A$88,$BA$205^A74,IF(A74='Données projet'!$A$88,'Données projet'!$B$88,BD73+BC74-BL73)))</f>
        <v>256.10000000000014</v>
      </c>
      <c r="BE74" s="14">
        <f>BD74*VLOOKUP('Données projet'!$B$11,Paramètres!$A$1:$I$89,3,0)*VLOOKUP('Données projet'!$B$11,Paramètres!$A$1:$I$89,5,0)</f>
        <v>207.74832000000015</v>
      </c>
      <c r="BF74" s="14">
        <f t="shared" si="91"/>
        <v>51.443228678039056</v>
      </c>
      <c r="BG74" s="22">
        <f t="shared" si="61"/>
        <v>451.42528061425156</v>
      </c>
      <c r="BH74" s="62">
        <f t="shared" si="62"/>
        <v>744.75861394758488</v>
      </c>
      <c r="BI74" s="62">
        <f ca="1">AVERAGE(OFFSET($BH$3,0,0,'Données projet'!$E$11+1,1))-AVERAGE(OFFSET($H$3,0,0,'Données projet'!$E$11+1,1))</f>
        <v>209.0958230411249</v>
      </c>
      <c r="BJ74" s="62">
        <f t="shared" si="92"/>
        <v>250.34919671671565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6.0897435897435859</v>
      </c>
      <c r="BY74" s="13">
        <f>IF('Données projet'!$A$114&gt;35,BY73+BX74-CG73,IF(A74&lt;'Données projet'!$A$114,$BV$205^A74,IF(A74='Données projet'!$A$114,'Données projet'!$B$114,BY73+BX74-CG73)))</f>
        <v>323.39743589743591</v>
      </c>
      <c r="BZ74" s="14">
        <f>BY74*VLOOKUP('Données projet'!$B$12,Paramètres!$A$1:$I$89,3,0)*VLOOKUP('Données projet'!$B$12,Paramètres!$A$1:$I$89,5,0)</f>
        <v>206.84500000000003</v>
      </c>
      <c r="CA74" s="14">
        <f t="shared" si="93"/>
        <v>51.245532579702662</v>
      </c>
      <c r="CB74" s="22">
        <f t="shared" si="64"/>
        <v>449.50767757631553</v>
      </c>
      <c r="CC74" s="62">
        <f t="shared" si="65"/>
        <v>742.84101090964884</v>
      </c>
      <c r="CD74" s="62">
        <f ca="1">AVERAGE(OFFSET($CC$3,0,0,'Données projet'!$E$12+1,1))-AVERAGE(OFFSET($H$3,0,0,'Données projet'!$E$12+1,1))</f>
        <v>152.52712777621315</v>
      </c>
      <c r="CE74" s="62">
        <f t="shared" si="94"/>
        <v>145.25423263217925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4.5999999999999996</v>
      </c>
      <c r="CT74" s="13">
        <f>IF('Données projet'!$A$140&gt;35,CT73+CS74-DB73,IF(A74&lt;'Données projet'!$A$140,$CQ$205^A74,IF(A74='Données projet'!$A$140,'Données projet'!$B$140,CT73+CS74-DB73)))</f>
        <v>241.60000000000011</v>
      </c>
      <c r="CU74" s="18">
        <f>CT74*VLOOKUP('Données projet'!$B$13,Paramètres!$A$1:$I$89,3,0)*VLOOKUP('Données projet'!$B$13,Paramètres!$A$1:$I$89,5,0)</f>
        <v>158.29632000000007</v>
      </c>
      <c r="CV74" s="14">
        <f t="shared" si="95"/>
        <v>40.458006540983739</v>
      </c>
      <c r="CW74" s="22">
        <f t="shared" si="67"/>
        <v>346.16378539221341</v>
      </c>
      <c r="CX74" s="62">
        <f t="shared" si="68"/>
        <v>639.49711872554667</v>
      </c>
      <c r="CY74" s="62">
        <f ca="1">AVERAGE(OFFSET($CX$3,0,0,'Données projet'!$E$13+1,1))-AVERAGE(OFFSET($H$3,0,0,'Données projet'!$E$13+1,1))</f>
        <v>158.23848664370132</v>
      </c>
      <c r="CZ74" s="62">
        <f t="shared" si="96"/>
        <v>172.92355799729972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2">
        <f t="shared" si="86"/>
        <v>17.899252496876439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70">
        <f t="shared" si="56"/>
        <v>434.05730476539327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196.61615999999995</v>
      </c>
      <c r="P75" s="14">
        <f t="shared" si="87"/>
        <v>48.999765174076551</v>
      </c>
      <c r="Q75" s="22">
        <f t="shared" si="54"/>
        <v>427.7810696781832</v>
      </c>
      <c r="R75" s="62">
        <f t="shared" si="55"/>
        <v>721.11440301151652</v>
      </c>
      <c r="S75" s="62">
        <f ca="1">AVERAGE(OFFSET($R$3,0,0,'Données projet'!$E$9+1,1))-AVERAGE(OFFSET($H$3,0,0,'Données projet'!$E$9+1,1))</f>
        <v>223.49015613166239</v>
      </c>
      <c r="T75" s="62">
        <f t="shared" si="88"/>
        <v>136.15898308259307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97.899731390293653</v>
      </c>
      <c r="AO75" s="62">
        <f t="shared" si="90"/>
        <v>310.21833995692549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27.092297888007337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8.6203716470466555E-8</v>
      </c>
      <c r="AX75" s="23">
        <f t="shared" si="60"/>
        <v>27.092297974211053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3.4000000000000172</v>
      </c>
      <c r="BD75" s="13">
        <f>IF('Données projet'!$A$88&gt;35,BD74+BC75-BL74,IF(A75&lt;'Données projet'!$A$88,$BA$205^A75,IF(A75='Données projet'!$A$88,'Données projet'!$B$88,BD74+BC75-BL74)))</f>
        <v>259.50000000000017</v>
      </c>
      <c r="BE75" s="14">
        <f>BD75*VLOOKUP('Données projet'!$B$11,Paramètres!$A$1:$I$89,3,0)*VLOOKUP('Données projet'!$B$11,Paramètres!$A$1:$I$89,5,0)</f>
        <v>210.50640000000013</v>
      </c>
      <c r="BF75" s="14">
        <f t="shared" si="91"/>
        <v>52.04623132230482</v>
      </c>
      <c r="BG75" s="22">
        <f t="shared" si="61"/>
        <v>457.27916621968103</v>
      </c>
      <c r="BH75" s="62">
        <f t="shared" si="62"/>
        <v>750.61249955301435</v>
      </c>
      <c r="BI75" s="62">
        <f ca="1">AVERAGE(OFFSET($BH$3,0,0,'Données projet'!$E$11+1,1))-AVERAGE(OFFSET($H$3,0,0,'Données projet'!$E$11+1,1))</f>
        <v>209.0958230411249</v>
      </c>
      <c r="BJ75" s="62">
        <f t="shared" si="92"/>
        <v>250.34919671671565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6.0897435897435859</v>
      </c>
      <c r="BY75" s="13">
        <f>IF('Données projet'!$A$114&gt;35,BY74+BX75-CG74,IF(A75&lt;'Données projet'!$A$114,$BV$205^A75,IF(A75='Données projet'!$A$114,'Données projet'!$B$114,BY74+BX75-CG74)))</f>
        <v>329.4871794871795</v>
      </c>
      <c r="BZ75" s="14">
        <f>BY75*VLOOKUP('Données projet'!$B$12,Paramètres!$A$1:$I$89,3,0)*VLOOKUP('Données projet'!$B$12,Paramètres!$A$1:$I$89,5,0)</f>
        <v>210.74</v>
      </c>
      <c r="CA75" s="14">
        <f t="shared" si="93"/>
        <v>52.097261195710331</v>
      </c>
      <c r="CB75" s="22">
        <f t="shared" si="64"/>
        <v>457.77489658252875</v>
      </c>
      <c r="CC75" s="62">
        <f t="shared" si="65"/>
        <v>751.10822991586201</v>
      </c>
      <c r="CD75" s="62">
        <f ca="1">AVERAGE(OFFSET($CC$3,0,0,'Données projet'!$E$12+1,1))-AVERAGE(OFFSET($H$3,0,0,'Données projet'!$E$12+1,1))</f>
        <v>152.52712777621315</v>
      </c>
      <c r="CE75" s="62">
        <f t="shared" si="94"/>
        <v>145.25423263217925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4.5999999999999996</v>
      </c>
      <c r="CT75" s="13">
        <f>IF('Données projet'!$A$140&gt;35,CT74+CS75-DB74,IF(A75&lt;'Données projet'!$A$140,$CQ$205^A75,IF(A75='Données projet'!$A$140,'Données projet'!$B$140,CT74+CS75-DB74)))</f>
        <v>246.2000000000001</v>
      </c>
      <c r="CU75" s="18">
        <f>CT75*VLOOKUP('Données projet'!$B$13,Paramètres!$A$1:$I$89,3,0)*VLOOKUP('Données projet'!$B$13,Paramètres!$A$1:$I$89,5,0)</f>
        <v>161.31024000000008</v>
      </c>
      <c r="CV75" s="14">
        <f t="shared" si="95"/>
        <v>41.137903274661141</v>
      </c>
      <c r="CW75" s="22">
        <f t="shared" si="67"/>
        <v>352.59718287003494</v>
      </c>
      <c r="CX75" s="62">
        <f t="shared" si="68"/>
        <v>645.93051620336826</v>
      </c>
      <c r="CY75" s="62">
        <f ca="1">AVERAGE(OFFSET($CX$3,0,0,'Données projet'!$E$13+1,1))-AVERAGE(OFFSET($H$3,0,0,'Données projet'!$E$13+1,1))</f>
        <v>158.23848664370132</v>
      </c>
      <c r="CZ75" s="62">
        <f t="shared" si="96"/>
        <v>172.92355799729972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2">
        <f t="shared" si="86"/>
        <v>18.118739450759591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70">
        <f t="shared" si="56"/>
        <v>435.96109787673976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201.83903999999995</v>
      </c>
      <c r="P76" s="14">
        <f t="shared" si="87"/>
        <v>50.148117498343801</v>
      </c>
      <c r="Q76" s="22">
        <f t="shared" si="54"/>
        <v>438.87763264294864</v>
      </c>
      <c r="R76" s="62">
        <f t="shared" si="55"/>
        <v>732.21096597628195</v>
      </c>
      <c r="S76" s="62">
        <f ca="1">AVERAGE(OFFSET($R$3,0,0,'Données projet'!$E$9+1,1))-AVERAGE(OFFSET($H$3,0,0,'Données projet'!$E$9+1,1))</f>
        <v>223.49015613166239</v>
      </c>
      <c r="T76" s="62">
        <f t="shared" si="88"/>
        <v>136.15898308259307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97.899731390293653</v>
      </c>
      <c r="AO76" s="62">
        <f t="shared" si="90"/>
        <v>310.21833995692549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26.561034451093551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6.0955232479749376E-8</v>
      </c>
      <c r="AX76" s="23">
        <f t="shared" si="60"/>
        <v>26.561034512048785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3.4000000000000172</v>
      </c>
      <c r="BD76" s="13">
        <f>IF('Données projet'!$A$88&gt;35,BD75+BC76-BL75,IF(A76&lt;'Données projet'!$A$88,$BA$205^A76,IF(A76='Données projet'!$A$88,'Données projet'!$B$88,BD75+BC76-BL75)))</f>
        <v>262.9000000000002</v>
      </c>
      <c r="BE76" s="14">
        <f>BD76*VLOOKUP('Données projet'!$B$11,Paramètres!$A$1:$I$89,3,0)*VLOOKUP('Données projet'!$B$11,Paramètres!$A$1:$I$89,5,0)</f>
        <v>213.26448000000019</v>
      </c>
      <c r="BF76" s="14">
        <f t="shared" si="91"/>
        <v>52.648315008354672</v>
      </c>
      <c r="BG76" s="22">
        <f t="shared" si="61"/>
        <v>463.13145130621803</v>
      </c>
      <c r="BH76" s="62">
        <f t="shared" si="62"/>
        <v>756.46478463955134</v>
      </c>
      <c r="BI76" s="62">
        <f ca="1">AVERAGE(OFFSET($BH$3,0,0,'Données projet'!$E$11+1,1))-AVERAGE(OFFSET($H$3,0,0,'Données projet'!$E$11+1,1))</f>
        <v>209.0958230411249</v>
      </c>
      <c r="BJ76" s="62">
        <f t="shared" si="92"/>
        <v>250.34919671671565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6.0897435897435859</v>
      </c>
      <c r="BY76" s="13">
        <f>IF('Données projet'!$A$114&gt;35,BY75+BX76-CG75,IF(A76&lt;'Données projet'!$A$114,$BV$205^A76,IF(A76='Données projet'!$A$114,'Données projet'!$B$114,BY75+BX76-CG75)))</f>
        <v>335.57692307692309</v>
      </c>
      <c r="BZ76" s="14">
        <f>BY76*VLOOKUP('Données projet'!$B$12,Paramètres!$A$1:$I$89,3,0)*VLOOKUP('Données projet'!$B$12,Paramètres!$A$1:$I$89,5,0)</f>
        <v>214.63499999999999</v>
      </c>
      <c r="CA76" s="14">
        <f t="shared" si="93"/>
        <v>52.94715929471738</v>
      </c>
      <c r="CB76" s="22">
        <f t="shared" si="64"/>
        <v>466.03892743829942</v>
      </c>
      <c r="CC76" s="62">
        <f t="shared" si="65"/>
        <v>759.37226077163268</v>
      </c>
      <c r="CD76" s="62">
        <f ca="1">AVERAGE(OFFSET($CC$3,0,0,'Données projet'!$E$12+1,1))-AVERAGE(OFFSET($H$3,0,0,'Données projet'!$E$12+1,1))</f>
        <v>152.52712777621315</v>
      </c>
      <c r="CE76" s="62">
        <f t="shared" si="94"/>
        <v>145.25423263217925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4.5999999999999996</v>
      </c>
      <c r="CT76" s="13">
        <f>IF('Données projet'!$A$140&gt;35,CT75+CS76-DB75,IF(A76&lt;'Données projet'!$A$140,$CQ$205^A76,IF(A76='Données projet'!$A$140,'Données projet'!$B$140,CT75+CS76-DB75)))</f>
        <v>250.8000000000001</v>
      </c>
      <c r="CU76" s="18">
        <f>CT76*VLOOKUP('Données projet'!$B$13,Paramètres!$A$1:$I$89,3,0)*VLOOKUP('Données projet'!$B$13,Paramètres!$A$1:$I$89,5,0)</f>
        <v>164.32416000000006</v>
      </c>
      <c r="CV76" s="14">
        <f t="shared" si="95"/>
        <v>41.816322873092751</v>
      </c>
      <c r="CW76" s="22">
        <f t="shared" si="67"/>
        <v>359.02800767063667</v>
      </c>
      <c r="CX76" s="62">
        <f t="shared" si="68"/>
        <v>652.36134100396998</v>
      </c>
      <c r="CY76" s="62">
        <f ca="1">AVERAGE(OFFSET($CX$3,0,0,'Données projet'!$E$13+1,1))-AVERAGE(OFFSET($H$3,0,0,'Données projet'!$E$13+1,1))</f>
        <v>158.23848664370132</v>
      </c>
      <c r="CZ76" s="62">
        <f t="shared" si="96"/>
        <v>172.92355799729972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2">
        <f t="shared" si="86"/>
        <v>18.337876695493698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70">
        <f t="shared" si="56"/>
        <v>437.86428191131836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207.06191999999993</v>
      </c>
      <c r="P77" s="14">
        <f t="shared" si="87"/>
        <v>51.293015758902222</v>
      </c>
      <c r="Q77" s="22">
        <f t="shared" si="54"/>
        <v>449.96817978008789</v>
      </c>
      <c r="R77" s="62">
        <f t="shared" si="55"/>
        <v>743.30151311342115</v>
      </c>
      <c r="S77" s="62">
        <f ca="1">AVERAGE(OFFSET($R$3,0,0,'Données projet'!$E$9+1,1))-AVERAGE(OFFSET($H$3,0,0,'Données projet'!$E$9+1,1))</f>
        <v>223.49015613166239</v>
      </c>
      <c r="T77" s="62">
        <f t="shared" si="88"/>
        <v>136.15898308259307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97.899731390293653</v>
      </c>
      <c r="AO77" s="62">
        <f t="shared" si="90"/>
        <v>310.21833995692549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26.040188766138943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4.3101858235233277E-8</v>
      </c>
      <c r="AX77" s="23">
        <f t="shared" si="60"/>
        <v>26.040188809240803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3.4000000000000172</v>
      </c>
      <c r="BD77" s="13">
        <f>IF('Données projet'!$A$88&gt;35,BD76+BC77-BL76,IF(A77&lt;'Données projet'!$A$88,$BA$205^A77,IF(A77='Données projet'!$A$88,'Données projet'!$B$88,BD76+BC77-BL76)))</f>
        <v>266.30000000000024</v>
      </c>
      <c r="BE77" s="14">
        <f>BD77*VLOOKUP('Données projet'!$B$11,Paramètres!$A$1:$I$89,3,0)*VLOOKUP('Données projet'!$B$11,Paramètres!$A$1:$I$89,5,0)</f>
        <v>216.02256000000023</v>
      </c>
      <c r="BF77" s="14">
        <f t="shared" si="91"/>
        <v>53.24949299490347</v>
      </c>
      <c r="BG77" s="22">
        <f t="shared" si="61"/>
        <v>468.9821589661239</v>
      </c>
      <c r="BH77" s="62">
        <f t="shared" si="62"/>
        <v>762.31549229945722</v>
      </c>
      <c r="BI77" s="62">
        <f ca="1">AVERAGE(OFFSET($BH$3,0,0,'Données projet'!$E$11+1,1))-AVERAGE(OFFSET($H$3,0,0,'Données projet'!$E$11+1,1))</f>
        <v>209.0958230411249</v>
      </c>
      <c r="BJ77" s="62">
        <f t="shared" si="92"/>
        <v>250.34919671671565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6.0897435897435859</v>
      </c>
      <c r="BY77" s="13">
        <f>IF('Données projet'!$A$114&gt;35,BY76+BX77-CG76,IF(A77&lt;'Données projet'!$A$114,$BV$205^A77,IF(A77='Données projet'!$A$114,'Données projet'!$B$114,BY76+BX77-CG76)))</f>
        <v>341.66666666666669</v>
      </c>
      <c r="BZ77" s="14">
        <f>BY77*VLOOKUP('Données projet'!$B$12,Paramètres!$A$1:$I$89,3,0)*VLOOKUP('Données projet'!$B$12,Paramètres!$A$1:$I$89,5,0)</f>
        <v>218.53000000000003</v>
      </c>
      <c r="CA77" s="14">
        <f t="shared" si="93"/>
        <v>53.795263926874632</v>
      </c>
      <c r="CB77" s="22">
        <f t="shared" si="64"/>
        <v>474.29983467263992</v>
      </c>
      <c r="CC77" s="62">
        <f t="shared" si="65"/>
        <v>767.63316800597318</v>
      </c>
      <c r="CD77" s="62">
        <f ca="1">AVERAGE(OFFSET($CC$3,0,0,'Données projet'!$E$12+1,1))-AVERAGE(OFFSET($H$3,0,0,'Données projet'!$E$12+1,1))</f>
        <v>152.52712777621315</v>
      </c>
      <c r="CE77" s="62">
        <f t="shared" si="94"/>
        <v>145.25423263217925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4.5999999999999996</v>
      </c>
      <c r="CT77" s="13">
        <f>IF('Données projet'!$A$140&gt;35,CT76+CS77-DB76,IF(A77&lt;'Données projet'!$A$140,$CQ$205^A77,IF(A77='Données projet'!$A$140,'Données projet'!$B$140,CT76+CS77-DB76)))</f>
        <v>255.40000000000009</v>
      </c>
      <c r="CU77" s="18">
        <f>CT77*VLOOKUP('Données projet'!$B$13,Paramètres!$A$1:$I$89,3,0)*VLOOKUP('Données projet'!$B$13,Paramètres!$A$1:$I$89,5,0)</f>
        <v>167.33808000000005</v>
      </c>
      <c r="CV77" s="14">
        <f t="shared" si="95"/>
        <v>42.493295553601513</v>
      </c>
      <c r="CW77" s="22">
        <f t="shared" si="67"/>
        <v>365.45631242252267</v>
      </c>
      <c r="CX77" s="62">
        <f t="shared" si="68"/>
        <v>658.78964575585599</v>
      </c>
      <c r="CY77" s="62">
        <f ca="1">AVERAGE(OFFSET($CX$3,0,0,'Données projet'!$E$13+1,1))-AVERAGE(OFFSET($H$3,0,0,'Données projet'!$E$13+1,1))</f>
        <v>158.23848664370132</v>
      </c>
      <c r="CZ77" s="62">
        <f t="shared" si="96"/>
        <v>172.92355799729972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2">
        <f t="shared" si="86"/>
        <v>18.556669503136749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70">
        <f t="shared" si="56"/>
        <v>439.76686605129669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212.28479999999993</v>
      </c>
      <c r="P78" s="14">
        <f t="shared" si="87"/>
        <v>52.434557099704143</v>
      </c>
      <c r="Q78" s="22">
        <f t="shared" si="54"/>
        <v>461.05288028198464</v>
      </c>
      <c r="R78" s="62">
        <f t="shared" si="55"/>
        <v>754.38621361531796</v>
      </c>
      <c r="S78" s="62">
        <f ca="1">AVERAGE(OFFSET($R$3,0,0,'Données projet'!$E$9+1,1))-AVERAGE(OFFSET($H$3,0,0,'Données projet'!$E$9+1,1))</f>
        <v>223.49015613166239</v>
      </c>
      <c r="T78" s="62">
        <f t="shared" si="88"/>
        <v>136.15898308259307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97.899731390293653</v>
      </c>
      <c r="AO78" s="62">
        <f t="shared" si="90"/>
        <v>310.21833995692549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25.529556547381794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3.0477616239874688E-8</v>
      </c>
      <c r="AX78" s="23">
        <f t="shared" si="60"/>
        <v>25.52955657785941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269.70000000000005</v>
      </c>
      <c r="BB78" s="13">
        <f>VLOOKUP(A78,'Données projet'!$A$87:$I$107,9,0)</f>
        <v>3.4000000000000172</v>
      </c>
      <c r="BC78" s="13">
        <f t="array" ref="BC78">INDEX(BB:BB,MIN(IF(ISNUMBER(BB78:BB274),ROW(BB78:BB274),"")))</f>
        <v>3.4000000000000172</v>
      </c>
      <c r="BD78" s="13">
        <f>IF('Données projet'!$A$88&gt;35,BD77+BC78-BL77,IF(A78&lt;'Données projet'!$A$88,$BA$205^A78,IF(A78='Données projet'!$A$88,'Données projet'!$B$88,BD77+BC78-BL77)))</f>
        <v>269.70000000000027</v>
      </c>
      <c r="BE78" s="14">
        <f>BD78*VLOOKUP('Données projet'!$B$11,Paramètres!$A$1:$I$89,3,0)*VLOOKUP('Données projet'!$B$11,Paramètres!$A$1:$I$89,5,0)</f>
        <v>218.78064000000023</v>
      </c>
      <c r="BF78" s="14">
        <f t="shared" si="91"/>
        <v>53.849778182636236</v>
      </c>
      <c r="BG78" s="22">
        <f t="shared" si="61"/>
        <v>474.83131166809176</v>
      </c>
      <c r="BH78" s="62">
        <f t="shared" si="62"/>
        <v>768.16464500142501</v>
      </c>
      <c r="BI78" s="62">
        <f ca="1">AVERAGE(OFFSET($BH$3,0,0,'Données projet'!$E$11+1,1))-AVERAGE(OFFSET($H$3,0,0,'Données projet'!$E$11+1,1))</f>
        <v>209.0958230411249</v>
      </c>
      <c r="BJ78" s="62">
        <f t="shared" si="92"/>
        <v>250.34919671671565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6.0897435897435859</v>
      </c>
      <c r="BY78" s="13">
        <f>IF('Données projet'!$A$114&gt;35,BY77+BX78-CG77,IF(A78&lt;'Données projet'!$A$114,$BV$205^A78,IF(A78='Données projet'!$A$114,'Données projet'!$B$114,BY77+BX78-CG77)))</f>
        <v>347.75641025641028</v>
      </c>
      <c r="BZ78" s="14">
        <f>BY78*VLOOKUP('Données projet'!$B$12,Paramètres!$A$1:$I$89,3,0)*VLOOKUP('Données projet'!$B$12,Paramètres!$A$1:$I$89,5,0)</f>
        <v>222.42500000000001</v>
      </c>
      <c r="CA78" s="14">
        <f t="shared" si="93"/>
        <v>54.641610745956214</v>
      </c>
      <c r="CB78" s="22">
        <f t="shared" si="64"/>
        <v>482.55768038254035</v>
      </c>
      <c r="CC78" s="62">
        <f t="shared" si="65"/>
        <v>775.89101371587367</v>
      </c>
      <c r="CD78" s="62">
        <f ca="1">AVERAGE(OFFSET($CC$3,0,0,'Données projet'!$E$12+1,1))-AVERAGE(OFFSET($H$3,0,0,'Données projet'!$E$12+1,1))</f>
        <v>152.52712777621315</v>
      </c>
      <c r="CE78" s="62">
        <f t="shared" si="94"/>
        <v>145.25423263217925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260</v>
      </c>
      <c r="CR78" s="13">
        <f>VLOOKUP(A78,'Données projet'!$A$139:$I$159,9,0)</f>
        <v>4.5999999999999996</v>
      </c>
      <c r="CS78" s="13">
        <f t="array" ref="CS78">INDEX(CR:CR,MIN(IF(ISNUMBER(CR78:CR274),ROW(CR78:CR274),"")))</f>
        <v>4.5999999999999996</v>
      </c>
      <c r="CT78" s="13">
        <f>IF('Données projet'!$A$140&gt;35,CT77+CS78-DB77,IF(A78&lt;'Données projet'!$A$140,$CQ$205^A78,IF(A78='Données projet'!$A$140,'Données projet'!$B$140,CT77+CS78-DB77)))</f>
        <v>260.00000000000011</v>
      </c>
      <c r="CU78" s="18">
        <f>CT78*VLOOKUP('Données projet'!$B$13,Paramètres!$A$1:$I$89,3,0)*VLOOKUP('Données projet'!$B$13,Paramètres!$A$1:$I$89,5,0)</f>
        <v>170.35200000000009</v>
      </c>
      <c r="CV78" s="14">
        <f t="shared" si="95"/>
        <v>43.168850382694487</v>
      </c>
      <c r="CW78" s="22">
        <f t="shared" si="67"/>
        <v>371.88214774985971</v>
      </c>
      <c r="CX78" s="62">
        <f t="shared" si="68"/>
        <v>665.21548108319303</v>
      </c>
      <c r="CY78" s="62">
        <f ca="1">AVERAGE(OFFSET($CX$3,0,0,'Données projet'!$E$13+1,1))-AVERAGE(OFFSET($H$3,0,0,'Données projet'!$E$13+1,1))</f>
        <v>158.23848664370132</v>
      </c>
      <c r="CZ78" s="62">
        <f t="shared" si="96"/>
        <v>172.92355799729972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37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2">
        <f t="shared" si="86"/>
        <v>18.775122997078551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70">
        <f t="shared" si="56"/>
        <v>441.66885921991195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217.33919999999992</v>
      </c>
      <c r="P79" s="14">
        <f t="shared" si="87"/>
        <v>53.536165068020416</v>
      </c>
      <c r="Q79" s="22">
        <f t="shared" si="54"/>
        <v>471.77459416013545</v>
      </c>
      <c r="R79" s="62">
        <f t="shared" si="55"/>
        <v>765.10792749346876</v>
      </c>
      <c r="S79" s="62">
        <f ca="1">AVERAGE(OFFSET($R$3,0,0,'Données projet'!$E$9+1,1))-AVERAGE(OFFSET($H$3,0,0,'Données projet'!$E$9+1,1))</f>
        <v>223.49015613166239</v>
      </c>
      <c r="T79" s="62">
        <f t="shared" si="88"/>
        <v>136.15898308259307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97.899731390293653</v>
      </c>
      <c r="AO79" s="62">
        <f t="shared" si="90"/>
        <v>310.21833995692549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25.028937514979575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2.1550929117616639E-8</v>
      </c>
      <c r="AX79" s="23">
        <f t="shared" si="60"/>
        <v>25.028937536530503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272.68000000000029</v>
      </c>
      <c r="BE79" s="14">
        <f>BD79*VLOOKUP('Données projet'!$B$11,Paramètres!$A$1:$I$89,3,0)*VLOOKUP('Données projet'!$B$11,Paramètres!$A$1:$I$89,5,0)</f>
        <v>221.19801600000028</v>
      </c>
      <c r="BF79" s="14">
        <f t="shared" si="91"/>
        <v>54.375186222723414</v>
      </c>
      <c r="BG79" s="22">
        <f t="shared" si="61"/>
        <v>479.95666053791041</v>
      </c>
      <c r="BH79" s="62">
        <f t="shared" si="62"/>
        <v>773.28999387124372</v>
      </c>
      <c r="BI79" s="62">
        <f ca="1">AVERAGE(OFFSET($BH$3,0,0,'Données projet'!$E$11+1,1))-AVERAGE(OFFSET($H$3,0,0,'Données projet'!$E$11+1,1))</f>
        <v>209.0958230411249</v>
      </c>
      <c r="BJ79" s="62">
        <f t="shared" si="92"/>
        <v>250.34919671671565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6.0897435897435859</v>
      </c>
      <c r="BY79" s="13">
        <f>IF('Données projet'!$A$114&gt;35,BY78+BX79-CG78,IF(A79&lt;'Données projet'!$A$114,$BV$205^A79,IF(A79='Données projet'!$A$114,'Données projet'!$B$114,BY78+BX79-CG78)))</f>
        <v>353.84615384615387</v>
      </c>
      <c r="BZ79" s="14">
        <f>BY79*VLOOKUP('Données projet'!$B$12,Paramètres!$A$1:$I$89,3,0)*VLOOKUP('Données projet'!$B$12,Paramètres!$A$1:$I$89,5,0)</f>
        <v>226.32</v>
      </c>
      <c r="CA79" s="14">
        <f t="shared" si="93"/>
        <v>55.486234085502232</v>
      </c>
      <c r="CB79" s="22">
        <f t="shared" si="64"/>
        <v>490.8125243655831</v>
      </c>
      <c r="CC79" s="62">
        <f t="shared" si="65"/>
        <v>784.14585769891642</v>
      </c>
      <c r="CD79" s="62">
        <f ca="1">AVERAGE(OFFSET($CC$3,0,0,'Données projet'!$E$12+1,1))-AVERAGE(OFFSET($H$3,0,0,'Données projet'!$E$12+1,1))</f>
        <v>152.52712777621315</v>
      </c>
      <c r="CE79" s="62">
        <f t="shared" si="94"/>
        <v>145.25423263217925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4.2</v>
      </c>
      <c r="CT79" s="13">
        <f>IF('Données projet'!$A$140&gt;35,CT78+CS79-DB78,IF(A79&lt;'Données projet'!$A$140,$CQ$205^A79,IF(A79='Données projet'!$A$140,'Données projet'!$B$140,CT78+CS79-DB78)))</f>
        <v>227.2000000000001</v>
      </c>
      <c r="CU79" s="18">
        <f>CT79*VLOOKUP('Données projet'!$B$13,Paramètres!$A$1:$I$89,3,0)*VLOOKUP('Données projet'!$B$13,Paramètres!$A$1:$I$89,5,0)</f>
        <v>148.86144000000007</v>
      </c>
      <c r="CV79" s="14">
        <f t="shared" si="95"/>
        <v>38.319729148991954</v>
      </c>
      <c r="CW79" s="22">
        <f t="shared" si="67"/>
        <v>326.00720293449439</v>
      </c>
      <c r="CX79" s="62">
        <f t="shared" si="68"/>
        <v>619.3405362678277</v>
      </c>
      <c r="CY79" s="62">
        <f ca="1">AVERAGE(OFFSET($CX$3,0,0,'Données projet'!$E$13+1,1))-AVERAGE(OFFSET($H$3,0,0,'Données projet'!$E$13+1,1))</f>
        <v>158.23848664370132</v>
      </c>
      <c r="CZ79" s="62">
        <f t="shared" si="96"/>
        <v>172.92355799729972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2">
        <f t="shared" si="86"/>
        <v>18.993242158132951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70">
        <f t="shared" si="56"/>
        <v>443.57027009208173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222.39359999999994</v>
      </c>
      <c r="P80" s="14">
        <f t="shared" si="87"/>
        <v>54.634794757949287</v>
      </c>
      <c r="Q80" s="22">
        <f t="shared" si="54"/>
        <v>482.4911208700949</v>
      </c>
      <c r="R80" s="62">
        <f t="shared" si="55"/>
        <v>775.82445420342822</v>
      </c>
      <c r="S80" s="62">
        <f ca="1">AVERAGE(OFFSET($R$3,0,0,'Données projet'!$E$9+1,1))-AVERAGE(OFFSET($H$3,0,0,'Données projet'!$E$9+1,1))</f>
        <v>223.49015613166239</v>
      </c>
      <c r="T80" s="62">
        <f t="shared" si="88"/>
        <v>136.15898308259307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97.899731390293653</v>
      </c>
      <c r="AO80" s="62">
        <f t="shared" si="90"/>
        <v>310.21833995692549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24.538135316455303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1.5238808119937344E-8</v>
      </c>
      <c r="AX80" s="23">
        <f t="shared" si="60"/>
        <v>24.538135331694111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275.66000000000031</v>
      </c>
      <c r="BE80" s="14">
        <f>BD80*VLOOKUP('Données projet'!$B$11,Paramètres!$A$1:$I$89,3,0)*VLOOKUP('Données projet'!$B$11,Paramètres!$A$1:$I$89,5,0)</f>
        <v>223.61539200000027</v>
      </c>
      <c r="BF80" s="14">
        <f t="shared" si="91"/>
        <v>54.899926310255317</v>
      </c>
      <c r="BG80" s="22">
        <f t="shared" si="61"/>
        <v>485.0808460570284</v>
      </c>
      <c r="BH80" s="62">
        <f t="shared" si="62"/>
        <v>778.41417939036171</v>
      </c>
      <c r="BI80" s="62">
        <f ca="1">AVERAGE(OFFSET($BH$3,0,0,'Données projet'!$E$11+1,1))-AVERAGE(OFFSET($H$3,0,0,'Données projet'!$E$11+1,1))</f>
        <v>209.0958230411249</v>
      </c>
      <c r="BJ80" s="62">
        <f t="shared" si="92"/>
        <v>250.34919671671565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6.0897435897435859</v>
      </c>
      <c r="BY80" s="13">
        <f>IF('Données projet'!$A$114&gt;35,BY79+BX80-CG79,IF(A80&lt;'Données projet'!$A$114,$BV$205^A80,IF(A80='Données projet'!$A$114,'Données projet'!$B$114,BY79+BX80-CG79)))</f>
        <v>359.93589743589746</v>
      </c>
      <c r="BZ80" s="14">
        <f>BY80*VLOOKUP('Données projet'!$B$12,Paramètres!$A$1:$I$89,3,0)*VLOOKUP('Données projet'!$B$12,Paramètres!$A$1:$I$89,5,0)</f>
        <v>230.21500000000003</v>
      </c>
      <c r="CA80" s="14">
        <f t="shared" si="93"/>
        <v>56.329167029570456</v>
      </c>
      <c r="CB80" s="22">
        <f t="shared" si="64"/>
        <v>499.06442424316856</v>
      </c>
      <c r="CC80" s="62">
        <f t="shared" si="65"/>
        <v>792.39775757650182</v>
      </c>
      <c r="CD80" s="62">
        <f ca="1">AVERAGE(OFFSET($CC$3,0,0,'Données projet'!$E$12+1,1))-AVERAGE(OFFSET($H$3,0,0,'Données projet'!$E$12+1,1))</f>
        <v>152.52712777621315</v>
      </c>
      <c r="CE80" s="62">
        <f t="shared" si="94"/>
        <v>145.25423263217925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4.2</v>
      </c>
      <c r="CT80" s="13">
        <f>IF('Données projet'!$A$140&gt;35,CT79+CS80-DB79,IF(A80&lt;'Données projet'!$A$140,$CQ$205^A80,IF(A80='Données projet'!$A$140,'Données projet'!$B$140,CT79+CS80-DB79)))</f>
        <v>231.40000000000009</v>
      </c>
      <c r="CU80" s="18">
        <f>CT80*VLOOKUP('Données projet'!$B$13,Paramètres!$A$1:$I$89,3,0)*VLOOKUP('Données projet'!$B$13,Paramètres!$A$1:$I$89,5,0)</f>
        <v>151.61328000000006</v>
      </c>
      <c r="CV80" s="14">
        <f t="shared" si="95"/>
        <v>38.944980714143632</v>
      </c>
      <c r="CW80" s="22">
        <f t="shared" si="67"/>
        <v>331.88897074380026</v>
      </c>
      <c r="CX80" s="62">
        <f t="shared" si="68"/>
        <v>625.22230407713357</v>
      </c>
      <c r="CY80" s="62">
        <f ca="1">AVERAGE(OFFSET($CX$3,0,0,'Données projet'!$E$13+1,1))-AVERAGE(OFFSET($H$3,0,0,'Données projet'!$E$13+1,1))</f>
        <v>158.23848664370132</v>
      </c>
      <c r="CZ80" s="62">
        <f t="shared" si="96"/>
        <v>172.92355799729972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2">
        <f t="shared" si="86"/>
        <v>19.211031830304485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70">
        <f t="shared" si="56"/>
        <v>445.47110710444713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227.44799999999995</v>
      </c>
      <c r="P81" s="14">
        <f t="shared" si="87"/>
        <v>55.730521649800686</v>
      </c>
      <c r="Q81" s="22">
        <f t="shared" si="54"/>
        <v>493.20259187340275</v>
      </c>
      <c r="R81" s="62">
        <f t="shared" si="55"/>
        <v>786.53592520673601</v>
      </c>
      <c r="S81" s="62">
        <f ca="1">AVERAGE(OFFSET($R$3,0,0,'Données projet'!$E$9+1,1))-AVERAGE(OFFSET($H$3,0,0,'Données projet'!$E$9+1,1))</f>
        <v>223.49015613166239</v>
      </c>
      <c r="T81" s="62">
        <f t="shared" si="88"/>
        <v>136.15898308259307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97.899731390293653</v>
      </c>
      <c r="AO81" s="62">
        <f t="shared" si="90"/>
        <v>310.21833995692549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24.056957449684312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1.0775464558808319E-8</v>
      </c>
      <c r="AX81" s="23">
        <f t="shared" si="60"/>
        <v>24.056957460459778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278.64000000000033</v>
      </c>
      <c r="BE81" s="14">
        <f>BD81*VLOOKUP('Données projet'!$B$11,Paramètres!$A$1:$I$89,3,0)*VLOOKUP('Données projet'!$B$11,Paramètres!$A$1:$I$89,5,0)</f>
        <v>226.03276800000026</v>
      </c>
      <c r="BF81" s="14">
        <f t="shared" si="91"/>
        <v>55.42400650183086</v>
      </c>
      <c r="BG81" s="22">
        <f t="shared" si="61"/>
        <v>490.20388225735581</v>
      </c>
      <c r="BH81" s="62">
        <f t="shared" si="62"/>
        <v>783.53721559068913</v>
      </c>
      <c r="BI81" s="62">
        <f ca="1">AVERAGE(OFFSET($BH$3,0,0,'Données projet'!$E$11+1,1))-AVERAGE(OFFSET($H$3,0,0,'Données projet'!$E$11+1,1))</f>
        <v>209.0958230411249</v>
      </c>
      <c r="BJ81" s="62">
        <f t="shared" si="92"/>
        <v>250.34919671671565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6.0897435897435859</v>
      </c>
      <c r="BY81" s="13">
        <f>IF('Données projet'!$A$114&gt;35,BY80+BX81-CG80,IF(A81&lt;'Données projet'!$A$114,$BV$205^A81,IF(A81='Données projet'!$A$114,'Données projet'!$B$114,BY80+BX81-CG80)))</f>
        <v>366.02564102564105</v>
      </c>
      <c r="BZ81" s="14">
        <f>BY81*VLOOKUP('Données projet'!$B$12,Paramètres!$A$1:$I$89,3,0)*VLOOKUP('Données projet'!$B$12,Paramètres!$A$1:$I$89,5,0)</f>
        <v>234.11</v>
      </c>
      <c r="CA81" s="14">
        <f t="shared" si="93"/>
        <v>57.170441478564811</v>
      </c>
      <c r="CB81" s="22">
        <f t="shared" si="64"/>
        <v>507.31343557516715</v>
      </c>
      <c r="CC81" s="62">
        <f t="shared" si="65"/>
        <v>800.64676890850046</v>
      </c>
      <c r="CD81" s="62">
        <f ca="1">AVERAGE(OFFSET($CC$3,0,0,'Données projet'!$E$12+1,1))-AVERAGE(OFFSET($H$3,0,0,'Données projet'!$E$12+1,1))</f>
        <v>152.52712777621315</v>
      </c>
      <c r="CE81" s="62">
        <f t="shared" si="94"/>
        <v>145.25423263217925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4.2</v>
      </c>
      <c r="CT81" s="13">
        <f>IF('Données projet'!$A$140&gt;35,CT80+CS81-DB80,IF(A81&lt;'Données projet'!$A$140,$CQ$205^A81,IF(A81='Données projet'!$A$140,'Données projet'!$B$140,CT80+CS81-DB80)))</f>
        <v>235.60000000000008</v>
      </c>
      <c r="CU81" s="18">
        <f>CT81*VLOOKUP('Données projet'!$B$13,Paramètres!$A$1:$I$89,3,0)*VLOOKUP('Données projet'!$B$13,Paramètres!$A$1:$I$89,5,0)</f>
        <v>154.36512000000005</v>
      </c>
      <c r="CV81" s="14">
        <f t="shared" si="95"/>
        <v>39.568912624848309</v>
      </c>
      <c r="CW81" s="22">
        <f t="shared" si="67"/>
        <v>337.76844015494419</v>
      </c>
      <c r="CX81" s="62">
        <f t="shared" si="68"/>
        <v>631.10177348827756</v>
      </c>
      <c r="CY81" s="62">
        <f ca="1">AVERAGE(OFFSET($CX$3,0,0,'Données projet'!$E$13+1,1))-AVERAGE(OFFSET($H$3,0,0,'Données projet'!$E$13+1,1))</f>
        <v>158.23848664370132</v>
      </c>
      <c r="CZ81" s="62">
        <f t="shared" si="96"/>
        <v>172.92355799729972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2">
        <f t="shared" si="86"/>
        <v>19.428496726251062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70">
        <f t="shared" si="56"/>
        <v>447.37137846488741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232.50239999999991</v>
      </c>
      <c r="P82" s="14">
        <f t="shared" si="87"/>
        <v>56.823417677671891</v>
      </c>
      <c r="Q82" s="22">
        <f t="shared" si="54"/>
        <v>503.90913245527832</v>
      </c>
      <c r="R82" s="62">
        <f t="shared" si="55"/>
        <v>797.24246578861164</v>
      </c>
      <c r="S82" s="62">
        <f ca="1">AVERAGE(OFFSET($R$3,0,0,'Données projet'!$E$9+1,1))-AVERAGE(OFFSET($H$3,0,0,'Données projet'!$E$9+1,1))</f>
        <v>223.49015613166239</v>
      </c>
      <c r="T82" s="62">
        <f t="shared" si="88"/>
        <v>136.15898308259307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97.899731390293653</v>
      </c>
      <c r="AO82" s="62">
        <f t="shared" si="90"/>
        <v>310.21833995692549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23.585215187391178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7.619404059968672E-9</v>
      </c>
      <c r="AX82" s="23">
        <f t="shared" si="60"/>
        <v>23.585215195010583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281.62000000000035</v>
      </c>
      <c r="BE82" s="14">
        <f>BD82*VLOOKUP('Données projet'!$B$11,Paramètres!$A$1:$I$89,3,0)*VLOOKUP('Données projet'!$B$11,Paramètres!$A$1:$I$89,5,0)</f>
        <v>228.45014400000031</v>
      </c>
      <c r="BF82" s="14">
        <f t="shared" si="91"/>
        <v>55.947434671795094</v>
      </c>
      <c r="BG82" s="22">
        <f t="shared" si="61"/>
        <v>495.32578285337695</v>
      </c>
      <c r="BH82" s="62">
        <f t="shared" si="62"/>
        <v>788.65911618671021</v>
      </c>
      <c r="BI82" s="62">
        <f ca="1">AVERAGE(OFFSET($BH$3,0,0,'Données projet'!$E$11+1,1))-AVERAGE(OFFSET($H$3,0,0,'Données projet'!$E$11+1,1))</f>
        <v>209.0958230411249</v>
      </c>
      <c r="BJ82" s="62">
        <f t="shared" si="92"/>
        <v>250.34919671671565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6.0897435897435859</v>
      </c>
      <c r="BY82" s="13">
        <f>IF('Données projet'!$A$114&gt;35,BY81+BX82-CG81,IF(A82&lt;'Données projet'!$A$114,$BV$205^A82,IF(A82='Données projet'!$A$114,'Données projet'!$B$114,BY81+BX82-CG81)))</f>
        <v>372.11538461538464</v>
      </c>
      <c r="BZ82" s="14">
        <f>BY82*VLOOKUP('Données projet'!$B$12,Paramètres!$A$1:$I$89,3,0)*VLOOKUP('Données projet'!$B$12,Paramètres!$A$1:$I$89,5,0)</f>
        <v>238.00500000000002</v>
      </c>
      <c r="CA82" s="14">
        <f t="shared" si="93"/>
        <v>58.01008821055833</v>
      </c>
      <c r="CB82" s="22">
        <f t="shared" si="64"/>
        <v>515.5596119667224</v>
      </c>
      <c r="CC82" s="62">
        <f t="shared" si="65"/>
        <v>808.89294530005577</v>
      </c>
      <c r="CD82" s="62">
        <f ca="1">AVERAGE(OFFSET($CC$3,0,0,'Données projet'!$E$12+1,1))-AVERAGE(OFFSET($H$3,0,0,'Données projet'!$E$12+1,1))</f>
        <v>152.52712777621315</v>
      </c>
      <c r="CE82" s="62">
        <f t="shared" si="94"/>
        <v>145.25423263217925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4.2</v>
      </c>
      <c r="CT82" s="13">
        <f>IF('Données projet'!$A$140&gt;35,CT81+CS82-DB81,IF(A82&lt;'Données projet'!$A$140,$CQ$205^A82,IF(A82='Données projet'!$A$140,'Données projet'!$B$140,CT81+CS82-DB81)))</f>
        <v>239.80000000000007</v>
      </c>
      <c r="CU82" s="18">
        <f>CT82*VLOOKUP('Données projet'!$B$13,Paramètres!$A$1:$I$89,3,0)*VLOOKUP('Données projet'!$B$13,Paramètres!$A$1:$I$89,5,0)</f>
        <v>157.11696000000003</v>
      </c>
      <c r="CV82" s="14">
        <f t="shared" si="95"/>
        <v>40.191551120265856</v>
      </c>
      <c r="CW82" s="22">
        <f t="shared" si="67"/>
        <v>343.6456568677965</v>
      </c>
      <c r="CX82" s="62">
        <f t="shared" si="68"/>
        <v>636.97899020112982</v>
      </c>
      <c r="CY82" s="62">
        <f ca="1">AVERAGE(OFFSET($CX$3,0,0,'Données projet'!$E$13+1,1))-AVERAGE(OFFSET($H$3,0,0,'Données projet'!$E$13+1,1))</f>
        <v>158.23848664370132</v>
      </c>
      <c r="CZ82" s="62">
        <f t="shared" si="96"/>
        <v>172.92355799729972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2">
        <f t="shared" si="86"/>
        <v>19.645641432461971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70">
        <f t="shared" si="56"/>
        <v>449.27109216153804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237.55679999999992</v>
      </c>
      <c r="P83" s="14">
        <f t="shared" si="87"/>
        <v>57.913551469467308</v>
      </c>
      <c r="Q83" s="22">
        <f t="shared" si="54"/>
        <v>514.61086214265538</v>
      </c>
      <c r="R83" s="62">
        <f t="shared" si="55"/>
        <v>807.94419547598864</v>
      </c>
      <c r="S83" s="62">
        <f ca="1">AVERAGE(OFFSET($R$3,0,0,'Données projet'!$E$9+1,1))-AVERAGE(OFFSET($H$3,0,0,'Données projet'!$E$9+1,1))</f>
        <v>223.49015613166239</v>
      </c>
      <c r="T83" s="62">
        <f t="shared" si="88"/>
        <v>136.15898308259307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97.899731390293653</v>
      </c>
      <c r="AO83" s="62">
        <f t="shared" si="90"/>
        <v>310.21833995692549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23.122723503127244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5.3877322794041597E-9</v>
      </c>
      <c r="AX83" s="23">
        <f t="shared" si="60"/>
        <v>23.122723508514976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284.60000000000036</v>
      </c>
      <c r="BE83" s="14">
        <f>BD83*VLOOKUP('Données projet'!$B$11,Paramètres!$A$1:$I$89,3,0)*VLOOKUP('Données projet'!$B$11,Paramètres!$A$1:$I$89,5,0)</f>
        <v>230.8675200000003</v>
      </c>
      <c r="BF83" s="14">
        <f t="shared" si="91"/>
        <v>56.470218518246149</v>
      </c>
      <c r="BG83" s="22">
        <f t="shared" si="61"/>
        <v>500.44656125261253</v>
      </c>
      <c r="BH83" s="62">
        <f t="shared" si="62"/>
        <v>793.77989458594584</v>
      </c>
      <c r="BI83" s="62">
        <f ca="1">AVERAGE(OFFSET($BH$3,0,0,'Données projet'!$E$11+1,1))-AVERAGE(OFFSET($H$3,0,0,'Données projet'!$E$11+1,1))</f>
        <v>209.0958230411249</v>
      </c>
      <c r="BJ83" s="62">
        <f t="shared" si="92"/>
        <v>250.34919671671565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284.60000000000002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378.20512820512818</v>
      </c>
      <c r="BW83" s="13">
        <f>VLOOKUP(A83,'Données projet'!$A$113:$I$133,9,0)</f>
        <v>6.0897435897435859</v>
      </c>
      <c r="BX83" s="13">
        <f t="array" ref="BX83">INDEX(BW:BW,MIN(IF(ISNUMBER(BW83:BW279),ROW(BW83:BW279),"")))</f>
        <v>6.0897435897435859</v>
      </c>
      <c r="BY83" s="13">
        <f>IF('Données projet'!$A$114&gt;35,BY82+BX83-CG82,IF(A83&lt;'Données projet'!$A$114,$BV$205^A83,IF(A83='Données projet'!$A$114,'Données projet'!$B$114,BY82+BX83-CG82)))</f>
        <v>378.20512820512823</v>
      </c>
      <c r="BZ83" s="14">
        <f>BY83*VLOOKUP('Données projet'!$B$12,Paramètres!$A$1:$I$89,3,0)*VLOOKUP('Données projet'!$B$12,Paramètres!$A$1:$I$89,5,0)</f>
        <v>241.9</v>
      </c>
      <c r="CA83" s="14">
        <f t="shared" si="93"/>
        <v>58.848136938488487</v>
      </c>
      <c r="CB83" s="22">
        <f t="shared" si="64"/>
        <v>523.80300516786735</v>
      </c>
      <c r="CC83" s="62">
        <f t="shared" si="65"/>
        <v>817.13633850120073</v>
      </c>
      <c r="CD83" s="62">
        <f ca="1">AVERAGE(OFFSET($CC$3,0,0,'Données projet'!$E$12+1,1))-AVERAGE(OFFSET($H$3,0,0,'Données projet'!$E$12+1,1))</f>
        <v>152.52712777621315</v>
      </c>
      <c r="CE83" s="62">
        <f t="shared" si="94"/>
        <v>145.25423263217925</v>
      </c>
      <c r="CF83" s="16">
        <f>IF(ISNA(VLOOKUP(A83,'Données projet'!$A$113:$I$133,3,0)),0,VLOOKUP(A83,'Données projet'!$A$113:$I$133,3,0))</f>
        <v>4</v>
      </c>
      <c r="CG83" s="16">
        <f>IF(ISNA(VLOOKUP(A83,'Données projet'!$A$113:$I$133,4,0)),0,VLOOKUP(A83,'Données projet'!$A$113:$I$133,4,0))</f>
        <v>378.20512820512818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244</v>
      </c>
      <c r="CR83" s="13">
        <f>VLOOKUP(A83,'Données projet'!$A$139:$I$159,9,0)</f>
        <v>4.2</v>
      </c>
      <c r="CS83" s="13">
        <f t="array" ref="CS83">INDEX(CR:CR,MIN(IF(ISNUMBER(CR83:CR279),ROW(CR83:CR279),"")))</f>
        <v>4.2</v>
      </c>
      <c r="CT83" s="13">
        <f>IF('Données projet'!$A$140&gt;35,CT82+CS83-DB82,IF(A83&lt;'Données projet'!$A$140,$CQ$205^A83,IF(A83='Données projet'!$A$140,'Données projet'!$B$140,CT82+CS83-DB82)))</f>
        <v>244.00000000000006</v>
      </c>
      <c r="CU83" s="18">
        <f>CT83*VLOOKUP('Données projet'!$B$13,Paramètres!$A$1:$I$89,3,0)*VLOOKUP('Données projet'!$B$13,Paramètres!$A$1:$I$89,5,0)</f>
        <v>159.86880000000002</v>
      </c>
      <c r="CV83" s="14">
        <f t="shared" si="95"/>
        <v>40.812921467768035</v>
      </c>
      <c r="CW83" s="22">
        <f t="shared" si="67"/>
        <v>349.52066488969604</v>
      </c>
      <c r="CX83" s="62">
        <f t="shared" si="68"/>
        <v>642.85399822302929</v>
      </c>
      <c r="CY83" s="62">
        <f ca="1">AVERAGE(OFFSET($CX$3,0,0,'Données projet'!$E$13+1,1))-AVERAGE(OFFSET($H$3,0,0,'Données projet'!$E$13+1,1))</f>
        <v>158.23848664370132</v>
      </c>
      <c r="CZ83" s="62">
        <f t="shared" si="96"/>
        <v>172.92355799729972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2">
        <f t="shared" si="86"/>
        <v>19.862470414169785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70">
        <f t="shared" si="56"/>
        <v>451.1702559713458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206.89343999999994</v>
      </c>
      <c r="P84" s="14">
        <f t="shared" si="87"/>
        <v>51.256136462199102</v>
      </c>
      <c r="Q84" s="22">
        <f t="shared" si="54"/>
        <v>449.61051233832995</v>
      </c>
      <c r="R84" s="62">
        <f t="shared" si="55"/>
        <v>742.94384567166321</v>
      </c>
      <c r="S84" s="62">
        <f ca="1">AVERAGE(OFFSET($R$3,0,0,'Données projet'!$E$9+1,1))-AVERAGE(OFFSET($H$3,0,0,'Données projet'!$E$9+1,1))</f>
        <v>223.49015613166239</v>
      </c>
      <c r="T84" s="62">
        <f t="shared" si="88"/>
        <v>136.15898308259307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97.899731390293653</v>
      </c>
      <c r="AO84" s="62">
        <f t="shared" si="90"/>
        <v>310.21833995692549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22.669300998699654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3.809702029984336E-9</v>
      </c>
      <c r="AX84" s="23">
        <f t="shared" si="60"/>
        <v>22.669301002509357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2.7666828827932479E-13</v>
      </c>
      <c r="BF84" s="14">
        <f t="shared" si="91"/>
        <v>3.6920483163466686E-12</v>
      </c>
      <c r="BG84" s="22">
        <f t="shared" si="61"/>
        <v>6.9121814197236049E-12</v>
      </c>
      <c r="BH84" s="62">
        <f t="shared" si="62"/>
        <v>293.33333333334025</v>
      </c>
      <c r="BI84" s="62">
        <f ca="1">AVERAGE(OFFSET($BH$3,0,0,'Données projet'!$E$11+1,1))-AVERAGE(OFFSET($H$3,0,0,'Données projet'!$E$11+1,1))</f>
        <v>209.0958230411249</v>
      </c>
      <c r="BJ84" s="62">
        <f t="shared" si="92"/>
        <v>250.34919671671565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3.6357050703372803E-14</v>
      </c>
      <c r="CA84" s="14">
        <f t="shared" si="93"/>
        <v>6.1445232567661395E-13</v>
      </c>
      <c r="CB84" s="22">
        <f t="shared" si="64"/>
        <v>1.1334929971951436E-12</v>
      </c>
      <c r="CC84" s="62">
        <f t="shared" si="65"/>
        <v>293.33333333333445</v>
      </c>
      <c r="CD84" s="62">
        <f ca="1">AVERAGE(OFFSET($CC$3,0,0,'Données projet'!$E$12+1,1))-AVERAGE(OFFSET($H$3,0,0,'Données projet'!$E$12+1,1))</f>
        <v>152.52712777621315</v>
      </c>
      <c r="CE84" s="62">
        <f t="shared" si="94"/>
        <v>145.25423263217925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3.8</v>
      </c>
      <c r="CT84" s="13">
        <f>IF('Données projet'!$A$140&gt;35,CT83+CS84-DB83,IF(A84&lt;'Données projet'!$A$140,$CQ$205^A84,IF(A84='Données projet'!$A$140,'Données projet'!$B$140,CT83+CS84-DB83)))</f>
        <v>247.80000000000007</v>
      </c>
      <c r="CU84" s="18">
        <f>CT84*VLOOKUP('Données projet'!$B$13,Paramètres!$A$1:$I$89,3,0)*VLOOKUP('Données projet'!$B$13,Paramètres!$A$1:$I$89,5,0)</f>
        <v>162.35856000000004</v>
      </c>
      <c r="CV84" s="14">
        <f t="shared" si="95"/>
        <v>41.374041283105448</v>
      </c>
      <c r="CW84" s="22">
        <f t="shared" si="67"/>
        <v>354.83428056807537</v>
      </c>
      <c r="CX84" s="62">
        <f t="shared" si="68"/>
        <v>648.16761390140869</v>
      </c>
      <c r="CY84" s="62">
        <f ca="1">AVERAGE(OFFSET($CX$3,0,0,'Données projet'!$E$13+1,1))-AVERAGE(OFFSET($H$3,0,0,'Données projet'!$E$13+1,1))</f>
        <v>158.23848664370132</v>
      </c>
      <c r="CZ84" s="62">
        <f t="shared" si="96"/>
        <v>172.92355799729972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2">
        <f t="shared" si="86"/>
        <v>20.078988020012666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70">
        <f t="shared" si="56"/>
        <v>453.06887746818882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211.61087999999995</v>
      </c>
      <c r="P85" s="14">
        <f t="shared" si="87"/>
        <v>52.287446798055761</v>
      </c>
      <c r="Q85" s="22">
        <f t="shared" si="54"/>
        <v>459.62291917328042</v>
      </c>
      <c r="R85" s="62">
        <f t="shared" si="55"/>
        <v>752.95625250661374</v>
      </c>
      <c r="S85" s="62">
        <f ca="1">AVERAGE(OFFSET($R$3,0,0,'Données projet'!$E$9+1,1))-AVERAGE(OFFSET($H$3,0,0,'Données projet'!$E$9+1,1))</f>
        <v>223.49015613166239</v>
      </c>
      <c r="T85" s="62">
        <f t="shared" si="88"/>
        <v>136.15898308259307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97.899731390293653</v>
      </c>
      <c r="AO85" s="62">
        <f t="shared" si="90"/>
        <v>310.21833995692549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22.224769833023469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2.6938661397020798E-9</v>
      </c>
      <c r="AX85" s="23">
        <f t="shared" si="60"/>
        <v>22.224769835717336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2.7666828827932479E-13</v>
      </c>
      <c r="BF85" s="14">
        <f t="shared" si="91"/>
        <v>3.6920483163466686E-12</v>
      </c>
      <c r="BG85" s="22">
        <f t="shared" si="61"/>
        <v>6.9121814197236049E-12</v>
      </c>
      <c r="BH85" s="62">
        <f t="shared" si="62"/>
        <v>293.33333333334025</v>
      </c>
      <c r="BI85" s="62">
        <f ca="1">AVERAGE(OFFSET($BH$3,0,0,'Données projet'!$E$11+1,1))-AVERAGE(OFFSET($H$3,0,0,'Données projet'!$E$11+1,1))</f>
        <v>209.0958230411249</v>
      </c>
      <c r="BJ85" s="62">
        <f t="shared" si="92"/>
        <v>250.34919671671565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3.6357050703372803E-14</v>
      </c>
      <c r="CA85" s="14">
        <f t="shared" si="93"/>
        <v>6.1445232567661395E-13</v>
      </c>
      <c r="CB85" s="22">
        <f t="shared" si="64"/>
        <v>1.1334929971951436E-12</v>
      </c>
      <c r="CC85" s="62">
        <f t="shared" si="65"/>
        <v>293.33333333333445</v>
      </c>
      <c r="CD85" s="62">
        <f ca="1">AVERAGE(OFFSET($CC$3,0,0,'Données projet'!$E$12+1,1))-AVERAGE(OFFSET($H$3,0,0,'Données projet'!$E$12+1,1))</f>
        <v>152.52712777621315</v>
      </c>
      <c r="CE85" s="62">
        <f t="shared" si="94"/>
        <v>145.25423263217925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3.8</v>
      </c>
      <c r="CT85" s="13">
        <f>IF('Données projet'!$A$140&gt;35,CT84+CS85-DB84,IF(A85&lt;'Données projet'!$A$140,$CQ$205^A85,IF(A85='Données projet'!$A$140,'Données projet'!$B$140,CT84+CS85-DB84)))</f>
        <v>251.60000000000008</v>
      </c>
      <c r="CU85" s="18">
        <f>CT85*VLOOKUP('Données projet'!$B$13,Paramètres!$A$1:$I$89,3,0)*VLOOKUP('Données projet'!$B$13,Paramètres!$A$1:$I$89,5,0)</f>
        <v>164.84832000000006</v>
      </c>
      <c r="CV85" s="14">
        <f t="shared" si="95"/>
        <v>41.934160358278433</v>
      </c>
      <c r="CW85" s="22">
        <f t="shared" si="67"/>
        <v>360.14615329066834</v>
      </c>
      <c r="CX85" s="62">
        <f t="shared" si="68"/>
        <v>653.47948662400165</v>
      </c>
      <c r="CY85" s="62">
        <f ca="1">AVERAGE(OFFSET($CX$3,0,0,'Données projet'!$E$13+1,1))-AVERAGE(OFFSET($H$3,0,0,'Données projet'!$E$13+1,1))</f>
        <v>158.23848664370132</v>
      </c>
      <c r="CZ85" s="62">
        <f t="shared" si="96"/>
        <v>172.92355799729972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2">
        <f t="shared" si="86"/>
        <v>20.295198486462844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70">
        <f t="shared" si="56"/>
        <v>454.96696403058957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216.32831999999991</v>
      </c>
      <c r="P86" s="14">
        <f t="shared" si="87"/>
        <v>53.316084217295149</v>
      </c>
      <c r="Q86" s="22">
        <f t="shared" si="54"/>
        <v>469.6306706784556</v>
      </c>
      <c r="R86" s="62">
        <f t="shared" si="55"/>
        <v>762.96400401178892</v>
      </c>
      <c r="S86" s="62">
        <f ca="1">AVERAGE(OFFSET($R$3,0,0,'Données projet'!$E$9+1,1))-AVERAGE(OFFSET($H$3,0,0,'Données projet'!$E$9+1,1))</f>
        <v>223.49015613166239</v>
      </c>
      <c r="T86" s="62">
        <f t="shared" si="88"/>
        <v>136.15898308259307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97.899731390293653</v>
      </c>
      <c r="AO86" s="62">
        <f t="shared" si="90"/>
        <v>310.21833995692549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21.788955652368955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1.904851014992168E-9</v>
      </c>
      <c r="AX86" s="23">
        <f t="shared" si="60"/>
        <v>21.788955654273806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2.7666828827932479E-13</v>
      </c>
      <c r="BF86" s="14">
        <f t="shared" si="91"/>
        <v>3.6920483163466686E-12</v>
      </c>
      <c r="BG86" s="22">
        <f t="shared" si="61"/>
        <v>6.9121814197236049E-12</v>
      </c>
      <c r="BH86" s="62">
        <f t="shared" si="62"/>
        <v>293.33333333334025</v>
      </c>
      <c r="BI86" s="62">
        <f ca="1">AVERAGE(OFFSET($BH$3,0,0,'Données projet'!$E$11+1,1))-AVERAGE(OFFSET($H$3,0,0,'Données projet'!$E$11+1,1))</f>
        <v>209.0958230411249</v>
      </c>
      <c r="BJ86" s="62">
        <f t="shared" si="92"/>
        <v>250.34919671671565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3.6357050703372803E-14</v>
      </c>
      <c r="CA86" s="14">
        <f t="shared" si="93"/>
        <v>6.1445232567661395E-13</v>
      </c>
      <c r="CB86" s="22">
        <f t="shared" si="64"/>
        <v>1.1334929971951436E-12</v>
      </c>
      <c r="CC86" s="62">
        <f t="shared" si="65"/>
        <v>293.33333333333445</v>
      </c>
      <c r="CD86" s="62">
        <f ca="1">AVERAGE(OFFSET($CC$3,0,0,'Données projet'!$E$12+1,1))-AVERAGE(OFFSET($H$3,0,0,'Données projet'!$E$12+1,1))</f>
        <v>152.52712777621315</v>
      </c>
      <c r="CE86" s="62">
        <f t="shared" si="94"/>
        <v>145.25423263217925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3.8</v>
      </c>
      <c r="CT86" s="13">
        <f>IF('Données projet'!$A$140&gt;35,CT85+CS86-DB85,IF(A86&lt;'Données projet'!$A$140,$CQ$205^A86,IF(A86='Données projet'!$A$140,'Données projet'!$B$140,CT85+CS86-DB85)))</f>
        <v>255.40000000000009</v>
      </c>
      <c r="CU86" s="18">
        <f>CT86*VLOOKUP('Données projet'!$B$13,Paramètres!$A$1:$I$89,3,0)*VLOOKUP('Données projet'!$B$13,Paramètres!$A$1:$I$89,5,0)</f>
        <v>167.33808000000005</v>
      </c>
      <c r="CV86" s="14">
        <f t="shared" si="95"/>
        <v>42.493295553601513</v>
      </c>
      <c r="CW86" s="22">
        <f t="shared" si="67"/>
        <v>365.45631242252267</v>
      </c>
      <c r="CX86" s="62">
        <f t="shared" si="68"/>
        <v>658.78964575585599</v>
      </c>
      <c r="CY86" s="62">
        <f ca="1">AVERAGE(OFFSET($CX$3,0,0,'Données projet'!$E$13+1,1))-AVERAGE(OFFSET($H$3,0,0,'Données projet'!$E$13+1,1))</f>
        <v>158.23848664370132</v>
      </c>
      <c r="CZ86" s="62">
        <f t="shared" si="96"/>
        <v>172.92355799729972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2">
        <f t="shared" si="86"/>
        <v>20.511105942035563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70">
        <f t="shared" si="56"/>
        <v>456.86452284904533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221.04575999999997</v>
      </c>
      <c r="P87" s="14">
        <f t="shared" si="87"/>
        <v>54.342113720419057</v>
      </c>
      <c r="Q87" s="22">
        <f t="shared" si="54"/>
        <v>479.63388006306309</v>
      </c>
      <c r="R87" s="62">
        <f t="shared" si="55"/>
        <v>772.96721339639635</v>
      </c>
      <c r="S87" s="62">
        <f ca="1">AVERAGE(OFFSET($R$3,0,0,'Données projet'!$E$9+1,1))-AVERAGE(OFFSET($H$3,0,0,'Données projet'!$E$9+1,1))</f>
        <v>223.49015613166239</v>
      </c>
      <c r="T87" s="62">
        <f t="shared" si="88"/>
        <v>136.15898308259307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97.899731390293653</v>
      </c>
      <c r="AO87" s="62">
        <f t="shared" si="90"/>
        <v>310.21833995692549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21.361687521976673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1.3469330698510399E-9</v>
      </c>
      <c r="AX87" s="23">
        <f t="shared" si="60"/>
        <v>21.361687523323607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2.7666828827932479E-13</v>
      </c>
      <c r="BF87" s="14">
        <f t="shared" si="91"/>
        <v>3.6920483163466686E-12</v>
      </c>
      <c r="BG87" s="22">
        <f t="shared" si="61"/>
        <v>6.9121814197236049E-12</v>
      </c>
      <c r="BH87" s="62">
        <f t="shared" si="62"/>
        <v>293.33333333334025</v>
      </c>
      <c r="BI87" s="62">
        <f ca="1">AVERAGE(OFFSET($BH$3,0,0,'Données projet'!$E$11+1,1))-AVERAGE(OFFSET($H$3,0,0,'Données projet'!$E$11+1,1))</f>
        <v>209.0958230411249</v>
      </c>
      <c r="BJ87" s="62">
        <f t="shared" si="92"/>
        <v>250.34919671671565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3.6357050703372803E-14</v>
      </c>
      <c r="CA87" s="14">
        <f t="shared" si="93"/>
        <v>6.1445232567661395E-13</v>
      </c>
      <c r="CB87" s="22">
        <f t="shared" si="64"/>
        <v>1.1334929971951436E-12</v>
      </c>
      <c r="CC87" s="62">
        <f t="shared" si="65"/>
        <v>293.33333333333445</v>
      </c>
      <c r="CD87" s="62">
        <f ca="1">AVERAGE(OFFSET($CC$3,0,0,'Données projet'!$E$12+1,1))-AVERAGE(OFFSET($H$3,0,0,'Données projet'!$E$12+1,1))</f>
        <v>152.52712777621315</v>
      </c>
      <c r="CE87" s="62">
        <f t="shared" si="94"/>
        <v>145.25423263217925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3.8</v>
      </c>
      <c r="CT87" s="13">
        <f>IF('Données projet'!$A$140&gt;35,CT86+CS87-DB86,IF(A87&lt;'Données projet'!$A$140,$CQ$205^A87,IF(A87='Données projet'!$A$140,'Données projet'!$B$140,CT86+CS87-DB86)))</f>
        <v>259.2000000000001</v>
      </c>
      <c r="CU87" s="18">
        <f>CT87*VLOOKUP('Données projet'!$B$13,Paramètres!$A$1:$I$89,3,0)*VLOOKUP('Données projet'!$B$13,Paramètres!$A$1:$I$89,5,0)</f>
        <v>169.82784000000007</v>
      </c>
      <c r="CV87" s="14">
        <f t="shared" si="95"/>
        <v>43.051463198873812</v>
      </c>
      <c r="CW87" s="22">
        <f t="shared" si="67"/>
        <v>370.76478640470532</v>
      </c>
      <c r="CX87" s="62">
        <f t="shared" si="68"/>
        <v>664.09811973803858</v>
      </c>
      <c r="CY87" s="62">
        <f ca="1">AVERAGE(OFFSET($CX$3,0,0,'Données projet'!$E$13+1,1))-AVERAGE(OFFSET($H$3,0,0,'Données projet'!$E$13+1,1))</f>
        <v>158.23848664370132</v>
      </c>
      <c r="CZ87" s="62">
        <f t="shared" si="96"/>
        <v>172.92355799729972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2">
        <f t="shared" si="86"/>
        <v>20.726714411291841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70">
        <f t="shared" si="56"/>
        <v>458.76156093300006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225.76319999999996</v>
      </c>
      <c r="P88" s="14">
        <f t="shared" si="87"/>
        <v>55.365597375021402</v>
      </c>
      <c r="Q88" s="22">
        <f t="shared" si="54"/>
        <v>489.6326554281622</v>
      </c>
      <c r="R88" s="62">
        <f t="shared" si="55"/>
        <v>782.96598876149551</v>
      </c>
      <c r="S88" s="62">
        <f ca="1">AVERAGE(OFFSET($R$3,0,0,'Données projet'!$E$9+1,1))-AVERAGE(OFFSET($H$3,0,0,'Données projet'!$E$9+1,1))</f>
        <v>223.49015613166239</v>
      </c>
      <c r="T88" s="62">
        <f t="shared" si="88"/>
        <v>136.15898308259307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97.899731390293653</v>
      </c>
      <c r="AO88" s="62">
        <f t="shared" si="90"/>
        <v>310.21833995692549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20.94279785901356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9.5242550749608401E-10</v>
      </c>
      <c r="AX88" s="23">
        <f t="shared" si="60"/>
        <v>20.942797859965985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2.7666828827932479E-13</v>
      </c>
      <c r="BF88" s="14">
        <f t="shared" si="91"/>
        <v>3.6920483163466686E-12</v>
      </c>
      <c r="BG88" s="22">
        <f t="shared" si="61"/>
        <v>6.9121814197236049E-12</v>
      </c>
      <c r="BH88" s="62">
        <f t="shared" si="62"/>
        <v>293.33333333334025</v>
      </c>
      <c r="BI88" s="62">
        <f ca="1">AVERAGE(OFFSET($BH$3,0,0,'Données projet'!$E$11+1,1))-AVERAGE(OFFSET($H$3,0,0,'Données projet'!$E$11+1,1))</f>
        <v>209.0958230411249</v>
      </c>
      <c r="BJ88" s="62">
        <f t="shared" si="92"/>
        <v>250.34919671671565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3.6357050703372803E-14</v>
      </c>
      <c r="CA88" s="14">
        <f t="shared" si="93"/>
        <v>6.1445232567661395E-13</v>
      </c>
      <c r="CB88" s="22">
        <f t="shared" si="64"/>
        <v>1.1334929971951436E-12</v>
      </c>
      <c r="CC88" s="62">
        <f t="shared" si="65"/>
        <v>293.33333333333445</v>
      </c>
      <c r="CD88" s="62">
        <f ca="1">AVERAGE(OFFSET($CC$3,0,0,'Données projet'!$E$12+1,1))-AVERAGE(OFFSET($H$3,0,0,'Données projet'!$E$12+1,1))</f>
        <v>152.52712777621315</v>
      </c>
      <c r="CE88" s="62">
        <f t="shared" si="94"/>
        <v>145.25423263217925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263</v>
      </c>
      <c r="CR88" s="13">
        <f>VLOOKUP(A88,'Données projet'!$A$139:$I$159,9,0)</f>
        <v>3.8</v>
      </c>
      <c r="CS88" s="13">
        <f t="array" ref="CS88">INDEX(CR:CR,MIN(IF(ISNUMBER(CR88:CR284),ROW(CR88:CR284),"")))</f>
        <v>3.8</v>
      </c>
      <c r="CT88" s="13">
        <f>IF('Données projet'!$A$140&gt;35,CT87+CS88-DB87,IF(A88&lt;'Données projet'!$A$140,$CQ$205^A88,IF(A88='Données projet'!$A$140,'Données projet'!$B$140,CT87+CS88-DB87)))</f>
        <v>263.00000000000011</v>
      </c>
      <c r="CU88" s="18">
        <f>CT88*VLOOKUP('Données projet'!$B$13,Paramètres!$A$1:$I$89,3,0)*VLOOKUP('Données projet'!$B$13,Paramètres!$A$1:$I$89,5,0)</f>
        <v>172.31760000000008</v>
      </c>
      <c r="CV88" s="14">
        <f t="shared" si="95"/>
        <v>43.608679117600296</v>
      </c>
      <c r="CW88" s="22">
        <f t="shared" si="67"/>
        <v>376.0716027964873</v>
      </c>
      <c r="CX88" s="62">
        <f t="shared" si="68"/>
        <v>669.40493612982061</v>
      </c>
      <c r="CY88" s="62">
        <f ca="1">AVERAGE(OFFSET($CX$3,0,0,'Données projet'!$E$13+1,1))-AVERAGE(OFFSET($H$3,0,0,'Données projet'!$E$13+1,1))</f>
        <v>158.23848664370132</v>
      </c>
      <c r="CZ88" s="62">
        <f t="shared" si="96"/>
        <v>172.92355799729972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2">
        <f t="shared" si="86"/>
        <v>20.942027818647599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70">
        <f t="shared" si="56"/>
        <v>460.65808511747798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230.48063999999999</v>
      </c>
      <c r="P89" s="14">
        <f t="shared" si="87"/>
        <v>56.386594506599792</v>
      </c>
      <c r="Q89" s="22">
        <f t="shared" si="54"/>
        <v>499.62710009899462</v>
      </c>
      <c r="R89" s="62">
        <f t="shared" si="55"/>
        <v>792.96043343232793</v>
      </c>
      <c r="S89" s="62">
        <f ca="1">AVERAGE(OFFSET($R$3,0,0,'Données projet'!$E$9+1,1))-AVERAGE(OFFSET($H$3,0,0,'Données projet'!$E$9+1,1))</f>
        <v>223.49015613166239</v>
      </c>
      <c r="T89" s="62">
        <f t="shared" si="88"/>
        <v>136.15898308259307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97.899731390293653</v>
      </c>
      <c r="AO89" s="62">
        <f t="shared" si="90"/>
        <v>310.21833995692549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20.532122366843684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6.7346653492551996E-10</v>
      </c>
      <c r="AX89" s="23">
        <f t="shared" si="60"/>
        <v>20.53212236751715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2.7666828827932479E-13</v>
      </c>
      <c r="BF89" s="14">
        <f t="shared" si="91"/>
        <v>3.6920483163466686E-12</v>
      </c>
      <c r="BG89" s="22">
        <f t="shared" si="61"/>
        <v>6.9121814197236049E-12</v>
      </c>
      <c r="BH89" s="62">
        <f t="shared" si="62"/>
        <v>293.33333333334025</v>
      </c>
      <c r="BI89" s="62">
        <f ca="1">AVERAGE(OFFSET($BH$3,0,0,'Données projet'!$E$11+1,1))-AVERAGE(OFFSET($H$3,0,0,'Données projet'!$E$11+1,1))</f>
        <v>209.0958230411249</v>
      </c>
      <c r="BJ89" s="62">
        <f t="shared" si="92"/>
        <v>250.34919671671565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3.6357050703372803E-14</v>
      </c>
      <c r="CA89" s="14">
        <f t="shared" si="93"/>
        <v>6.1445232567661395E-13</v>
      </c>
      <c r="CB89" s="22">
        <f t="shared" si="64"/>
        <v>1.1334929971951436E-12</v>
      </c>
      <c r="CC89" s="62">
        <f t="shared" si="65"/>
        <v>293.33333333333445</v>
      </c>
      <c r="CD89" s="62">
        <f ca="1">AVERAGE(OFFSET($CC$3,0,0,'Données projet'!$E$12+1,1))-AVERAGE(OFFSET($H$3,0,0,'Données projet'!$E$12+1,1))</f>
        <v>152.52712777621315</v>
      </c>
      <c r="CE89" s="62">
        <f t="shared" si="94"/>
        <v>145.25423263217925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3.6</v>
      </c>
      <c r="CT89" s="13">
        <f>IF('Données projet'!$A$140&gt;35,CT88+CS89-DB88,IF(A89&lt;'Données projet'!$A$140,$CQ$205^A89,IF(A89='Données projet'!$A$140,'Données projet'!$B$140,CT88+CS89-DB88)))</f>
        <v>266.60000000000014</v>
      </c>
      <c r="CU89" s="18">
        <f>CT89*VLOOKUP('Données projet'!$B$13,Paramètres!$A$1:$I$89,3,0)*VLOOKUP('Données projet'!$B$13,Paramètres!$A$1:$I$89,5,0)</f>
        <v>174.67632000000009</v>
      </c>
      <c r="CV89" s="14">
        <f t="shared" si="95"/>
        <v>44.135703881788153</v>
      </c>
      <c r="CW89" s="22">
        <f t="shared" si="67"/>
        <v>381.0976082607811</v>
      </c>
      <c r="CX89" s="62">
        <f t="shared" si="68"/>
        <v>674.43094159411442</v>
      </c>
      <c r="CY89" s="62">
        <f ca="1">AVERAGE(OFFSET($CX$3,0,0,'Données projet'!$E$13+1,1))-AVERAGE(OFFSET($H$3,0,0,'Données projet'!$E$13+1,1))</f>
        <v>158.23848664370132</v>
      </c>
      <c r="CZ89" s="62">
        <f t="shared" si="96"/>
        <v>172.92355799729972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2">
        <f t="shared" si="86"/>
        <v>21.157049992000456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70">
        <f t="shared" si="56"/>
        <v>462.55410206940087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235.19808</v>
      </c>
      <c r="P90" s="14">
        <f t="shared" si="87"/>
        <v>57.40516187330315</v>
      </c>
      <c r="Q90" s="22">
        <f t="shared" si="54"/>
        <v>509.61731292933632</v>
      </c>
      <c r="R90" s="62">
        <f t="shared" si="55"/>
        <v>802.95064626266958</v>
      </c>
      <c r="S90" s="62">
        <f ca="1">AVERAGE(OFFSET($R$3,0,0,'Données projet'!$E$9+1,1))-AVERAGE(OFFSET($H$3,0,0,'Données projet'!$E$9+1,1))</f>
        <v>223.49015613166239</v>
      </c>
      <c r="T90" s="62">
        <f t="shared" si="88"/>
        <v>136.15898308259307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97.899731390293653</v>
      </c>
      <c r="AO90" s="62">
        <f t="shared" si="90"/>
        <v>310.21833995692549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20.129499970587943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4.76212753748042E-10</v>
      </c>
      <c r="AX90" s="23">
        <f t="shared" si="60"/>
        <v>20.129499971064156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2.7666828827932479E-13</v>
      </c>
      <c r="BF90" s="14">
        <f t="shared" si="91"/>
        <v>3.6920483163466686E-12</v>
      </c>
      <c r="BG90" s="22">
        <f t="shared" si="61"/>
        <v>6.9121814197236049E-12</v>
      </c>
      <c r="BH90" s="62">
        <f t="shared" si="62"/>
        <v>293.33333333334025</v>
      </c>
      <c r="BI90" s="62">
        <f ca="1">AVERAGE(OFFSET($BH$3,0,0,'Données projet'!$E$11+1,1))-AVERAGE(OFFSET($H$3,0,0,'Données projet'!$E$11+1,1))</f>
        <v>209.0958230411249</v>
      </c>
      <c r="BJ90" s="62">
        <f t="shared" si="92"/>
        <v>250.34919671671565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3.6357050703372803E-14</v>
      </c>
      <c r="CA90" s="14">
        <f t="shared" si="93"/>
        <v>6.1445232567661395E-13</v>
      </c>
      <c r="CB90" s="22">
        <f t="shared" si="64"/>
        <v>1.1334929971951436E-12</v>
      </c>
      <c r="CC90" s="62">
        <f t="shared" si="65"/>
        <v>293.33333333333445</v>
      </c>
      <c r="CD90" s="62">
        <f ca="1">AVERAGE(OFFSET($CC$3,0,0,'Données projet'!$E$12+1,1))-AVERAGE(OFFSET($H$3,0,0,'Données projet'!$E$12+1,1))</f>
        <v>152.52712777621315</v>
      </c>
      <c r="CE90" s="62">
        <f t="shared" si="94"/>
        <v>145.25423263217925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3.6</v>
      </c>
      <c r="CT90" s="13">
        <f>IF('Données projet'!$A$140&gt;35,CT89+CS90-DB89,IF(A90&lt;'Données projet'!$A$140,$CQ$205^A90,IF(A90='Données projet'!$A$140,'Données projet'!$B$140,CT89+CS90-DB89)))</f>
        <v>270.20000000000016</v>
      </c>
      <c r="CU90" s="18">
        <f>CT90*VLOOKUP('Données projet'!$B$13,Paramètres!$A$1:$I$89,3,0)*VLOOKUP('Données projet'!$B$13,Paramètres!$A$1:$I$89,5,0)</f>
        <v>177.03504000000009</v>
      </c>
      <c r="CV90" s="14">
        <f t="shared" si="95"/>
        <v>44.661900896243402</v>
      </c>
      <c r="CW90" s="22">
        <f t="shared" si="67"/>
        <v>386.12217206095738</v>
      </c>
      <c r="CX90" s="62">
        <f t="shared" si="68"/>
        <v>679.45550539429064</v>
      </c>
      <c r="CY90" s="62">
        <f ca="1">AVERAGE(OFFSET($CX$3,0,0,'Données projet'!$E$13+1,1))-AVERAGE(OFFSET($H$3,0,0,'Données projet'!$E$13+1,1))</f>
        <v>158.23848664370132</v>
      </c>
      <c r="CZ90" s="62">
        <f t="shared" si="96"/>
        <v>172.92355799729972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2">
        <f t="shared" si="86"/>
        <v>21.371784666185135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70">
        <f t="shared" si="56"/>
        <v>464.44961829360585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239.91552000000004</v>
      </c>
      <c r="P91" s="14">
        <f t="shared" si="87"/>
        <v>58.421353826263946</v>
      </c>
      <c r="Q91" s="22">
        <f t="shared" si="54"/>
        <v>519.60338858074306</v>
      </c>
      <c r="R91" s="62">
        <f t="shared" si="55"/>
        <v>812.93672191407632</v>
      </c>
      <c r="S91" s="62">
        <f ca="1">AVERAGE(OFFSET($R$3,0,0,'Données projet'!$E$9+1,1))-AVERAGE(OFFSET($H$3,0,0,'Données projet'!$E$9+1,1))</f>
        <v>223.49015613166239</v>
      </c>
      <c r="T91" s="62">
        <f t="shared" si="88"/>
        <v>136.15898308259307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97.899731390293653</v>
      </c>
      <c r="AO91" s="62">
        <f t="shared" si="90"/>
        <v>310.21833995692549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19.734772753947365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3.3673326746275998E-10</v>
      </c>
      <c r="AX91" s="23">
        <f t="shared" si="60"/>
        <v>19.734772754284098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2.7666828827932479E-13</v>
      </c>
      <c r="BF91" s="14">
        <f t="shared" si="91"/>
        <v>3.6920483163466686E-12</v>
      </c>
      <c r="BG91" s="22">
        <f t="shared" si="61"/>
        <v>6.9121814197236049E-12</v>
      </c>
      <c r="BH91" s="62">
        <f t="shared" si="62"/>
        <v>293.33333333334025</v>
      </c>
      <c r="BI91" s="62">
        <f ca="1">AVERAGE(OFFSET($BH$3,0,0,'Données projet'!$E$11+1,1))-AVERAGE(OFFSET($H$3,0,0,'Données projet'!$E$11+1,1))</f>
        <v>209.0958230411249</v>
      </c>
      <c r="BJ91" s="62">
        <f t="shared" si="92"/>
        <v>250.34919671671565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3.6357050703372803E-14</v>
      </c>
      <c r="CA91" s="14">
        <f t="shared" si="93"/>
        <v>6.1445232567661395E-13</v>
      </c>
      <c r="CB91" s="22">
        <f t="shared" si="64"/>
        <v>1.1334929971951436E-12</v>
      </c>
      <c r="CC91" s="62">
        <f t="shared" si="65"/>
        <v>293.33333333333445</v>
      </c>
      <c r="CD91" s="62">
        <f ca="1">AVERAGE(OFFSET($CC$3,0,0,'Données projet'!$E$12+1,1))-AVERAGE(OFFSET($H$3,0,0,'Données projet'!$E$12+1,1))</f>
        <v>152.52712777621315</v>
      </c>
      <c r="CE91" s="62">
        <f t="shared" si="94"/>
        <v>145.25423263217925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3.6</v>
      </c>
      <c r="CT91" s="13">
        <f>IF('Données projet'!$A$140&gt;35,CT90+CS91-DB90,IF(A91&lt;'Données projet'!$A$140,$CQ$205^A91,IF(A91='Données projet'!$A$140,'Données projet'!$B$140,CT90+CS91-DB90)))</f>
        <v>273.80000000000018</v>
      </c>
      <c r="CU91" s="18">
        <f>CT91*VLOOKUP('Données projet'!$B$13,Paramètres!$A$1:$I$89,3,0)*VLOOKUP('Données projet'!$B$13,Paramètres!$A$1:$I$89,5,0)</f>
        <v>179.3937600000001</v>
      </c>
      <c r="CV91" s="14">
        <f t="shared" si="95"/>
        <v>45.187282464366746</v>
      </c>
      <c r="CW91" s="22">
        <f t="shared" si="67"/>
        <v>391.14531562543885</v>
      </c>
      <c r="CX91" s="62">
        <f t="shared" si="68"/>
        <v>684.47864895877217</v>
      </c>
      <c r="CY91" s="62">
        <f ca="1">AVERAGE(OFFSET($CX$3,0,0,'Données projet'!$E$13+1,1))-AVERAGE(OFFSET($H$3,0,0,'Données projet'!$E$13+1,1))</f>
        <v>158.23848664370132</v>
      </c>
      <c r="CZ91" s="62">
        <f t="shared" si="96"/>
        <v>172.92355799729972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2">
        <f t="shared" si="86"/>
        <v>21.586235486267142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70">
        <f t="shared" si="56"/>
        <v>466.34464013858201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244.63296000000005</v>
      </c>
      <c r="P92" s="14">
        <f t="shared" si="87"/>
        <v>59.435222456963288</v>
      </c>
      <c r="Q92" s="22">
        <f t="shared" si="54"/>
        <v>529.58541777921107</v>
      </c>
      <c r="R92" s="62">
        <f t="shared" si="55"/>
        <v>822.91875111254444</v>
      </c>
      <c r="S92" s="62">
        <f ca="1">AVERAGE(OFFSET($R$3,0,0,'Données projet'!$E$9+1,1))-AVERAGE(OFFSET($H$3,0,0,'Données projet'!$E$9+1,1))</f>
        <v>223.49015613166239</v>
      </c>
      <c r="T92" s="62">
        <f t="shared" si="88"/>
        <v>136.15898308259307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97.899731390293653</v>
      </c>
      <c r="AO92" s="62">
        <f t="shared" si="90"/>
        <v>310.21833995692549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19.347785897265279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2.38106376874021E-10</v>
      </c>
      <c r="AX92" s="23">
        <f t="shared" si="60"/>
        <v>19.347785897503385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2.7666828827932479E-13</v>
      </c>
      <c r="BF92" s="14">
        <f t="shared" si="91"/>
        <v>3.6920483163466686E-12</v>
      </c>
      <c r="BG92" s="22">
        <f t="shared" si="61"/>
        <v>6.9121814197236049E-12</v>
      </c>
      <c r="BH92" s="62">
        <f t="shared" si="62"/>
        <v>293.33333333334025</v>
      </c>
      <c r="BI92" s="62">
        <f ca="1">AVERAGE(OFFSET($BH$3,0,0,'Données projet'!$E$11+1,1))-AVERAGE(OFFSET($H$3,0,0,'Données projet'!$E$11+1,1))</f>
        <v>209.0958230411249</v>
      </c>
      <c r="BJ92" s="62">
        <f t="shared" si="92"/>
        <v>250.34919671671565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3.6357050703372803E-14</v>
      </c>
      <c r="CA92" s="14">
        <f t="shared" si="93"/>
        <v>6.1445232567661395E-13</v>
      </c>
      <c r="CB92" s="22">
        <f t="shared" si="64"/>
        <v>1.1334929971951436E-12</v>
      </c>
      <c r="CC92" s="62">
        <f t="shared" si="65"/>
        <v>293.33333333333445</v>
      </c>
      <c r="CD92" s="62">
        <f ca="1">AVERAGE(OFFSET($CC$3,0,0,'Données projet'!$E$12+1,1))-AVERAGE(OFFSET($H$3,0,0,'Données projet'!$E$12+1,1))</f>
        <v>152.52712777621315</v>
      </c>
      <c r="CE92" s="62">
        <f t="shared" si="94"/>
        <v>145.25423263217925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3.6</v>
      </c>
      <c r="CT92" s="13">
        <f>IF('Données projet'!$A$140&gt;35,CT91+CS92-DB91,IF(A92&lt;'Données projet'!$A$140,$CQ$205^A92,IF(A92='Données projet'!$A$140,'Données projet'!$B$140,CT91+CS92-DB91)))</f>
        <v>277.4000000000002</v>
      </c>
      <c r="CU92" s="18">
        <f>CT92*VLOOKUP('Données projet'!$B$13,Paramètres!$A$1:$I$89,3,0)*VLOOKUP('Données projet'!$B$13,Paramètres!$A$1:$I$89,5,0)</f>
        <v>181.75248000000013</v>
      </c>
      <c r="CV92" s="14">
        <f t="shared" si="95"/>
        <v>45.711860547424223</v>
      </c>
      <c r="CW92" s="22">
        <f t="shared" si="67"/>
        <v>396.16705978676401</v>
      </c>
      <c r="CX92" s="62">
        <f t="shared" si="68"/>
        <v>689.50039312009733</v>
      </c>
      <c r="CY92" s="62">
        <f ca="1">AVERAGE(OFFSET($CX$3,0,0,'Données projet'!$E$13+1,1))-AVERAGE(OFFSET($H$3,0,0,'Données projet'!$E$13+1,1))</f>
        <v>158.23848664370132</v>
      </c>
      <c r="CZ92" s="62">
        <f t="shared" si="96"/>
        <v>172.92355799729972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2">
        <f t="shared" si="86"/>
        <v>21.800406010684462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70">
        <f t="shared" si="56"/>
        <v>468.23917380194217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249.35040000000006</v>
      </c>
      <c r="P93" s="14">
        <f t="shared" si="87"/>
        <v>60.446817732908166</v>
      </c>
      <c r="Q93" s="22">
        <f t="shared" si="54"/>
        <v>539.56348755148178</v>
      </c>
      <c r="R93" s="62">
        <f t="shared" si="55"/>
        <v>832.89682088481504</v>
      </c>
      <c r="S93" s="62">
        <f ca="1">AVERAGE(OFFSET($R$3,0,0,'Données projet'!$E$9+1,1))-AVERAGE(OFFSET($H$3,0,0,'Données projet'!$E$9+1,1))</f>
        <v>223.49015613166239</v>
      </c>
      <c r="T93" s="62">
        <f t="shared" si="88"/>
        <v>136.15898308259307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97.899731390293653</v>
      </c>
      <c r="AO93" s="62">
        <f t="shared" si="90"/>
        <v>310.21833995692549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18.968387616804055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1.6836663373137999E-10</v>
      </c>
      <c r="AX93" s="23">
        <f t="shared" si="60"/>
        <v>18.968387616972421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2.7666828827932479E-13</v>
      </c>
      <c r="BF93" s="14">
        <f t="shared" si="91"/>
        <v>3.6920483163466686E-12</v>
      </c>
      <c r="BG93" s="22">
        <f t="shared" si="61"/>
        <v>6.9121814197236049E-12</v>
      </c>
      <c r="BH93" s="62">
        <f t="shared" si="62"/>
        <v>293.33333333334025</v>
      </c>
      <c r="BI93" s="62">
        <f ca="1">AVERAGE(OFFSET($BH$3,0,0,'Données projet'!$E$11+1,1))-AVERAGE(OFFSET($H$3,0,0,'Données projet'!$E$11+1,1))</f>
        <v>209.0958230411249</v>
      </c>
      <c r="BJ93" s="62">
        <f t="shared" si="92"/>
        <v>250.34919671671565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3.6357050703372803E-14</v>
      </c>
      <c r="CA93" s="14">
        <f t="shared" si="93"/>
        <v>6.1445232567661395E-13</v>
      </c>
      <c r="CB93" s="22">
        <f t="shared" si="64"/>
        <v>1.1334929971951436E-12</v>
      </c>
      <c r="CC93" s="62">
        <f t="shared" si="65"/>
        <v>293.33333333333445</v>
      </c>
      <c r="CD93" s="62">
        <f ca="1">AVERAGE(OFFSET($CC$3,0,0,'Données projet'!$E$12+1,1))-AVERAGE(OFFSET($H$3,0,0,'Données projet'!$E$12+1,1))</f>
        <v>152.52712777621315</v>
      </c>
      <c r="CE93" s="62">
        <f t="shared" si="94"/>
        <v>145.25423263217925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281</v>
      </c>
      <c r="CR93" s="13">
        <f>VLOOKUP(A93,'Données projet'!$A$139:$I$159,9,0)</f>
        <v>3.6</v>
      </c>
      <c r="CS93" s="13">
        <f t="array" ref="CS93">INDEX(CR:CR,MIN(IF(ISNUMBER(CR93:CR289),ROW(CR93:CR289),"")))</f>
        <v>3.6</v>
      </c>
      <c r="CT93" s="13">
        <f>IF('Données projet'!$A$140&gt;35,CT92+CS93-DB92,IF(A93&lt;'Données projet'!$A$140,$CQ$205^A93,IF(A93='Données projet'!$A$140,'Données projet'!$B$140,CT92+CS93-DB92)))</f>
        <v>281.00000000000023</v>
      </c>
      <c r="CU93" s="18">
        <f>CT93*VLOOKUP('Données projet'!$B$13,Paramètres!$A$1:$I$89,3,0)*VLOOKUP('Données projet'!$B$13,Paramètres!$A$1:$I$89,5,0)</f>
        <v>184.11120000000017</v>
      </c>
      <c r="CV93" s="14">
        <f t="shared" si="95"/>
        <v>46.23564677837556</v>
      </c>
      <c r="CW93" s="22">
        <f t="shared" si="67"/>
        <v>401.18742480567101</v>
      </c>
      <c r="CX93" s="62">
        <f t="shared" si="68"/>
        <v>694.52075813900433</v>
      </c>
      <c r="CY93" s="62">
        <f ca="1">AVERAGE(OFFSET($CX$3,0,0,'Données projet'!$E$13+1,1))-AVERAGE(OFFSET($H$3,0,0,'Données projet'!$E$13+1,1))</f>
        <v>158.23848664370132</v>
      </c>
      <c r="CZ93" s="62">
        <f t="shared" si="96"/>
        <v>172.92355799729972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281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2">
        <f t="shared" si="86"/>
        <v>22.014299714245357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70">
        <f t="shared" si="56"/>
        <v>470.13322533564406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218.09736000000007</v>
      </c>
      <c r="P94" s="14">
        <f t="shared" si="87"/>
        <v>53.701147500486194</v>
      </c>
      <c r="Q94" s="22">
        <f t="shared" si="54"/>
        <v>473.38240056334689</v>
      </c>
      <c r="R94" s="62">
        <f t="shared" si="55"/>
        <v>766.71573389668015</v>
      </c>
      <c r="S94" s="62">
        <f ca="1">AVERAGE(OFFSET($R$3,0,0,'Données projet'!$E$9+1,1))-AVERAGE(OFFSET($H$3,0,0,'Données projet'!$E$9+1,1))</f>
        <v>223.49015613166239</v>
      </c>
      <c r="T94" s="62">
        <f t="shared" si="88"/>
        <v>136.15898308259307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97.899731390293653</v>
      </c>
      <c r="AO94" s="62">
        <f t="shared" si="90"/>
        <v>310.21833995692549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18.596429105212572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1.190531884370105E-10</v>
      </c>
      <c r="AX94" s="23">
        <f t="shared" si="60"/>
        <v>18.596429105331623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2.7666828827932479E-13</v>
      </c>
      <c r="BF94" s="14">
        <f t="shared" si="91"/>
        <v>3.6920483163466686E-12</v>
      </c>
      <c r="BG94" s="22">
        <f t="shared" si="61"/>
        <v>6.9121814197236049E-12</v>
      </c>
      <c r="BH94" s="62">
        <f t="shared" si="62"/>
        <v>293.33333333334025</v>
      </c>
      <c r="BI94" s="62">
        <f ca="1">AVERAGE(OFFSET($BH$3,0,0,'Données projet'!$E$11+1,1))-AVERAGE(OFFSET($H$3,0,0,'Données projet'!$E$11+1,1))</f>
        <v>209.0958230411249</v>
      </c>
      <c r="BJ94" s="62">
        <f t="shared" si="92"/>
        <v>250.34919671671565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3.6357050703372803E-14</v>
      </c>
      <c r="CA94" s="14">
        <f t="shared" si="93"/>
        <v>6.1445232567661395E-13</v>
      </c>
      <c r="CB94" s="22">
        <f t="shared" si="64"/>
        <v>1.1334929971951436E-12</v>
      </c>
      <c r="CC94" s="62">
        <f t="shared" si="65"/>
        <v>293.33333333333445</v>
      </c>
      <c r="CD94" s="62">
        <f ca="1">AVERAGE(OFFSET($CC$3,0,0,'Données projet'!$E$12+1,1))-AVERAGE(OFFSET($H$3,0,0,'Données projet'!$E$12+1,1))</f>
        <v>152.52712777621315</v>
      </c>
      <c r="CE94" s="62">
        <f t="shared" si="94"/>
        <v>145.25423263217925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2.2737367544323206E-13</v>
      </c>
      <c r="CU94" s="18">
        <f>CT94*VLOOKUP('Données projet'!$B$13,Paramètres!$A$1:$I$89,3,0)*VLOOKUP('Données projet'!$B$13,Paramètres!$A$1:$I$89,5,0)</f>
        <v>1.4897523215040565E-13</v>
      </c>
      <c r="CV94" s="14">
        <f t="shared" si="95"/>
        <v>2.136562777003313E-12</v>
      </c>
      <c r="CW94" s="22">
        <f t="shared" si="67"/>
        <v>3.9806453659427267E-12</v>
      </c>
      <c r="CX94" s="62">
        <f t="shared" si="68"/>
        <v>293.33333333333729</v>
      </c>
      <c r="CY94" s="62">
        <f ca="1">AVERAGE(OFFSET($CX$3,0,0,'Données projet'!$E$13+1,1))-AVERAGE(OFFSET($H$3,0,0,'Données projet'!$E$13+1,1))</f>
        <v>158.23848664370132</v>
      </c>
      <c r="CZ94" s="62">
        <f t="shared" si="96"/>
        <v>172.92355799729972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2">
        <f t="shared" si="86"/>
        <v>22.227919990990831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70">
        <f t="shared" si="56"/>
        <v>472.0268006509757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222.22512000000006</v>
      </c>
      <c r="P95" s="14">
        <f t="shared" si="87"/>
        <v>54.598220944501897</v>
      </c>
      <c r="Q95" s="22">
        <f t="shared" si="54"/>
        <v>482.13398547834095</v>
      </c>
      <c r="R95" s="62">
        <f t="shared" si="55"/>
        <v>775.4673188116742</v>
      </c>
      <c r="S95" s="62">
        <f ca="1">AVERAGE(OFFSET($R$3,0,0,'Données projet'!$E$9+1,1))-AVERAGE(OFFSET($H$3,0,0,'Données projet'!$E$9+1,1))</f>
        <v>223.49015613166239</v>
      </c>
      <c r="T95" s="62">
        <f t="shared" si="88"/>
        <v>136.15898308259307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97.899731390293653</v>
      </c>
      <c r="AO95" s="62">
        <f t="shared" si="90"/>
        <v>310.21833995692549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18.231764473161107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8.4183316865689995E-11</v>
      </c>
      <c r="AX95" s="23">
        <f t="shared" si="60"/>
        <v>18.231764473245288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2.7666828827932479E-13</v>
      </c>
      <c r="BF95" s="14">
        <f t="shared" si="91"/>
        <v>3.6920483163466686E-12</v>
      </c>
      <c r="BG95" s="22">
        <f t="shared" si="61"/>
        <v>6.9121814197236049E-12</v>
      </c>
      <c r="BH95" s="62">
        <f t="shared" si="62"/>
        <v>293.33333333334025</v>
      </c>
      <c r="BI95" s="62">
        <f ca="1">AVERAGE(OFFSET($BH$3,0,0,'Données projet'!$E$11+1,1))-AVERAGE(OFFSET($H$3,0,0,'Données projet'!$E$11+1,1))</f>
        <v>209.0958230411249</v>
      </c>
      <c r="BJ95" s="62">
        <f t="shared" si="92"/>
        <v>250.34919671671565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3.6357050703372803E-14</v>
      </c>
      <c r="CA95" s="14">
        <f t="shared" si="93"/>
        <v>6.1445232567661395E-13</v>
      </c>
      <c r="CB95" s="22">
        <f t="shared" si="64"/>
        <v>1.1334929971951436E-12</v>
      </c>
      <c r="CC95" s="62">
        <f t="shared" si="65"/>
        <v>293.33333333333445</v>
      </c>
      <c r="CD95" s="62">
        <f ca="1">AVERAGE(OFFSET($CC$3,0,0,'Données projet'!$E$12+1,1))-AVERAGE(OFFSET($H$3,0,0,'Données projet'!$E$12+1,1))</f>
        <v>152.52712777621315</v>
      </c>
      <c r="CE95" s="62">
        <f t="shared" si="94"/>
        <v>145.25423263217925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2.2737367544323206E-13</v>
      </c>
      <c r="CU95" s="18">
        <f>CT95*VLOOKUP('Données projet'!$B$13,Paramètres!$A$1:$I$89,3,0)*VLOOKUP('Données projet'!$B$13,Paramètres!$A$1:$I$89,5,0)</f>
        <v>1.4897523215040565E-13</v>
      </c>
      <c r="CV95" s="14">
        <f t="shared" si="95"/>
        <v>2.136562777003313E-12</v>
      </c>
      <c r="CW95" s="22">
        <f t="shared" si="67"/>
        <v>3.9806453659427267E-12</v>
      </c>
      <c r="CX95" s="62">
        <f t="shared" si="68"/>
        <v>293.33333333333729</v>
      </c>
      <c r="CY95" s="62">
        <f ca="1">AVERAGE(OFFSET($CX$3,0,0,'Données projet'!$E$13+1,1))-AVERAGE(OFFSET($H$3,0,0,'Données projet'!$E$13+1,1))</f>
        <v>158.23848664370132</v>
      </c>
      <c r="CZ95" s="62">
        <f t="shared" si="96"/>
        <v>172.92355799729972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2">
        <f t="shared" si="86"/>
        <v>22.441270156928979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70">
        <f t="shared" si="56"/>
        <v>473.91990552331799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226.35288000000003</v>
      </c>
      <c r="P96" s="14">
        <f t="shared" si="87"/>
        <v>55.493356810213015</v>
      </c>
      <c r="Q96" s="22">
        <f t="shared" si="54"/>
        <v>490.88219577778773</v>
      </c>
      <c r="R96" s="62">
        <f t="shared" si="55"/>
        <v>784.21552911112099</v>
      </c>
      <c r="S96" s="62">
        <f ca="1">AVERAGE(OFFSET($R$3,0,0,'Données projet'!$E$9+1,1))-AVERAGE(OFFSET($H$3,0,0,'Données projet'!$E$9+1,1))</f>
        <v>223.49015613166239</v>
      </c>
      <c r="T96" s="62">
        <f t="shared" si="88"/>
        <v>136.15898308259307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97.899731390293653</v>
      </c>
      <c r="AO96" s="62">
        <f t="shared" si="90"/>
        <v>310.21833995692549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17.874250692120711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5.952659421850525E-11</v>
      </c>
      <c r="AX96" s="23">
        <f t="shared" si="60"/>
        <v>17.874250692180237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2.7666828827932479E-13</v>
      </c>
      <c r="BF96" s="14">
        <f t="shared" si="91"/>
        <v>3.6920483163466686E-12</v>
      </c>
      <c r="BG96" s="22">
        <f t="shared" si="61"/>
        <v>6.9121814197236049E-12</v>
      </c>
      <c r="BH96" s="62">
        <f t="shared" si="62"/>
        <v>293.33333333334025</v>
      </c>
      <c r="BI96" s="62">
        <f ca="1">AVERAGE(OFFSET($BH$3,0,0,'Données projet'!$E$11+1,1))-AVERAGE(OFFSET($H$3,0,0,'Données projet'!$E$11+1,1))</f>
        <v>209.0958230411249</v>
      </c>
      <c r="BJ96" s="62">
        <f t="shared" si="92"/>
        <v>250.34919671671565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3.6357050703372803E-14</v>
      </c>
      <c r="CA96" s="14">
        <f t="shared" si="93"/>
        <v>6.1445232567661395E-13</v>
      </c>
      <c r="CB96" s="22">
        <f t="shared" si="64"/>
        <v>1.1334929971951436E-12</v>
      </c>
      <c r="CC96" s="62">
        <f t="shared" si="65"/>
        <v>293.33333333333445</v>
      </c>
      <c r="CD96" s="62">
        <f ca="1">AVERAGE(OFFSET($CC$3,0,0,'Données projet'!$E$12+1,1))-AVERAGE(OFFSET($H$3,0,0,'Données projet'!$E$12+1,1))</f>
        <v>152.52712777621315</v>
      </c>
      <c r="CE96" s="62">
        <f t="shared" si="94"/>
        <v>145.25423263217925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2.2737367544323206E-13</v>
      </c>
      <c r="CU96" s="18">
        <f>CT96*VLOOKUP('Données projet'!$B$13,Paramètres!$A$1:$I$89,3,0)*VLOOKUP('Données projet'!$B$13,Paramètres!$A$1:$I$89,5,0)</f>
        <v>1.4897523215040565E-13</v>
      </c>
      <c r="CV96" s="14">
        <f t="shared" si="95"/>
        <v>2.136562777003313E-12</v>
      </c>
      <c r="CW96" s="22">
        <f t="shared" si="67"/>
        <v>3.9806453659427267E-12</v>
      </c>
      <c r="CX96" s="62">
        <f t="shared" si="68"/>
        <v>293.33333333333729</v>
      </c>
      <c r="CY96" s="62">
        <f ca="1">AVERAGE(OFFSET($CX$3,0,0,'Données projet'!$E$13+1,1))-AVERAGE(OFFSET($H$3,0,0,'Données projet'!$E$13+1,1))</f>
        <v>158.23848664370132</v>
      </c>
      <c r="CZ96" s="62">
        <f t="shared" si="96"/>
        <v>172.92355799729972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2">
        <f t="shared" si="86"/>
        <v>22.654353452648408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70">
        <f t="shared" si="56"/>
        <v>475.81254559669605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230.48063999999999</v>
      </c>
      <c r="P97" s="14">
        <f t="shared" si="87"/>
        <v>56.386594506599792</v>
      </c>
      <c r="Q97" s="22">
        <f t="shared" si="54"/>
        <v>499.62710009899462</v>
      </c>
      <c r="R97" s="62">
        <f t="shared" si="55"/>
        <v>792.96043343232793</v>
      </c>
      <c r="S97" s="62">
        <f ca="1">AVERAGE(OFFSET($R$3,0,0,'Données projet'!$E$9+1,1))-AVERAGE(OFFSET($H$3,0,0,'Données projet'!$E$9+1,1))</f>
        <v>223.49015613166239</v>
      </c>
      <c r="T97" s="62">
        <f t="shared" si="88"/>
        <v>136.15898308259307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97.899731390293653</v>
      </c>
      <c r="AO97" s="62">
        <f t="shared" si="90"/>
        <v>310.21833995692549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17.52374753826464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4.2091658432844997E-11</v>
      </c>
      <c r="AX97" s="23">
        <f t="shared" si="60"/>
        <v>17.523747538306733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2.7666828827932479E-13</v>
      </c>
      <c r="BF97" s="14">
        <f t="shared" si="91"/>
        <v>3.6920483163466686E-12</v>
      </c>
      <c r="BG97" s="22">
        <f t="shared" si="61"/>
        <v>6.9121814197236049E-12</v>
      </c>
      <c r="BH97" s="62">
        <f t="shared" si="62"/>
        <v>293.33333333334025</v>
      </c>
      <c r="BI97" s="62">
        <f ca="1">AVERAGE(OFFSET($BH$3,0,0,'Données projet'!$E$11+1,1))-AVERAGE(OFFSET($H$3,0,0,'Données projet'!$E$11+1,1))</f>
        <v>209.0958230411249</v>
      </c>
      <c r="BJ97" s="62">
        <f t="shared" si="92"/>
        <v>250.34919671671565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3.6357050703372803E-14</v>
      </c>
      <c r="CA97" s="14">
        <f t="shared" si="93"/>
        <v>6.1445232567661395E-13</v>
      </c>
      <c r="CB97" s="22">
        <f t="shared" si="64"/>
        <v>1.1334929971951436E-12</v>
      </c>
      <c r="CC97" s="62">
        <f t="shared" si="65"/>
        <v>293.33333333333445</v>
      </c>
      <c r="CD97" s="62">
        <f ca="1">AVERAGE(OFFSET($CC$3,0,0,'Données projet'!$E$12+1,1))-AVERAGE(OFFSET($H$3,0,0,'Données projet'!$E$12+1,1))</f>
        <v>152.52712777621315</v>
      </c>
      <c r="CE97" s="62">
        <f t="shared" si="94"/>
        <v>145.25423263217925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2.2737367544323206E-13</v>
      </c>
      <c r="CU97" s="18">
        <f>CT97*VLOOKUP('Données projet'!$B$13,Paramètres!$A$1:$I$89,3,0)*VLOOKUP('Données projet'!$B$13,Paramètres!$A$1:$I$89,5,0)</f>
        <v>1.4897523215040565E-13</v>
      </c>
      <c r="CV97" s="14">
        <f t="shared" si="95"/>
        <v>2.136562777003313E-12</v>
      </c>
      <c r="CW97" s="22">
        <f t="shared" si="67"/>
        <v>3.9806453659427267E-12</v>
      </c>
      <c r="CX97" s="62">
        <f t="shared" si="68"/>
        <v>293.33333333333729</v>
      </c>
      <c r="CY97" s="62">
        <f ca="1">AVERAGE(OFFSET($CX$3,0,0,'Données projet'!$E$13+1,1))-AVERAGE(OFFSET($H$3,0,0,'Données projet'!$E$13+1,1))</f>
        <v>158.23848664370132</v>
      </c>
      <c r="CZ97" s="62">
        <f t="shared" si="96"/>
        <v>172.92355799729972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2">
        <f t="shared" si="86"/>
        <v>22.867173045817324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70">
        <f t="shared" si="56"/>
        <v>477.70472638813186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234.60839999999999</v>
      </c>
      <c r="P98" s="14">
        <f t="shared" si="87"/>
        <v>57.277971950226913</v>
      </c>
      <c r="Q98" s="22">
        <f t="shared" si="54"/>
        <v>508.36876447997855</v>
      </c>
      <c r="R98" s="62">
        <f t="shared" si="55"/>
        <v>801.70209781331187</v>
      </c>
      <c r="S98" s="62">
        <f ca="1">AVERAGE(OFFSET($R$3,0,0,'Données projet'!$E$9+1,1))-AVERAGE(OFFSET($H$3,0,0,'Données projet'!$E$9+1,1))</f>
        <v>223.49015613166239</v>
      </c>
      <c r="T98" s="62">
        <f t="shared" si="88"/>
        <v>136.15898308259307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97.899731390293653</v>
      </c>
      <c r="AO98" s="62">
        <f t="shared" si="90"/>
        <v>310.21833995692549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17.180117537469876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2.9763297109252625E-11</v>
      </c>
      <c r="AX98" s="23">
        <f t="shared" si="60"/>
        <v>17.18011753749964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2.7666828827932479E-13</v>
      </c>
      <c r="BF98" s="14">
        <f t="shared" si="91"/>
        <v>3.6920483163466686E-12</v>
      </c>
      <c r="BG98" s="22">
        <f t="shared" si="61"/>
        <v>6.9121814197236049E-12</v>
      </c>
      <c r="BH98" s="62">
        <f t="shared" si="62"/>
        <v>293.33333333334025</v>
      </c>
      <c r="BI98" s="62">
        <f ca="1">AVERAGE(OFFSET($BH$3,0,0,'Données projet'!$E$11+1,1))-AVERAGE(OFFSET($H$3,0,0,'Données projet'!$E$11+1,1))</f>
        <v>209.0958230411249</v>
      </c>
      <c r="BJ98" s="62">
        <f t="shared" si="92"/>
        <v>250.34919671671565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3.6357050703372803E-14</v>
      </c>
      <c r="CA98" s="14">
        <f t="shared" si="93"/>
        <v>6.1445232567661395E-13</v>
      </c>
      <c r="CB98" s="22">
        <f t="shared" si="64"/>
        <v>1.1334929971951436E-12</v>
      </c>
      <c r="CC98" s="62">
        <f t="shared" si="65"/>
        <v>293.33333333333445</v>
      </c>
      <c r="CD98" s="62">
        <f ca="1">AVERAGE(OFFSET($CC$3,0,0,'Données projet'!$E$12+1,1))-AVERAGE(OFFSET($H$3,0,0,'Données projet'!$E$12+1,1))</f>
        <v>152.52712777621315</v>
      </c>
      <c r="CE98" s="62">
        <f t="shared" si="94"/>
        <v>145.25423263217925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2.2737367544323206E-13</v>
      </c>
      <c r="CU98" s="18">
        <f>CT98*VLOOKUP('Données projet'!$B$13,Paramètres!$A$1:$I$89,3,0)*VLOOKUP('Données projet'!$B$13,Paramètres!$A$1:$I$89,5,0)</f>
        <v>1.4897523215040565E-13</v>
      </c>
      <c r="CV98" s="14">
        <f t="shared" si="95"/>
        <v>2.136562777003313E-12</v>
      </c>
      <c r="CW98" s="22">
        <f t="shared" si="67"/>
        <v>3.9806453659427267E-12</v>
      </c>
      <c r="CX98" s="62">
        <f t="shared" si="68"/>
        <v>293.33333333333729</v>
      </c>
      <c r="CY98" s="62">
        <f ca="1">AVERAGE(OFFSET($CX$3,0,0,'Données projet'!$E$13+1,1))-AVERAGE(OFFSET($H$3,0,0,'Données projet'!$E$13+1,1))</f>
        <v>158.23848664370132</v>
      </c>
      <c r="CZ98" s="62">
        <f t="shared" si="96"/>
        <v>172.92355799729972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2">
        <f t="shared" si="86"/>
        <v>23.079732033574274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70">
        <f t="shared" si="56"/>
        <v>479.59645329180853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238.73615999999996</v>
      </c>
      <c r="P99" s="14">
        <f t="shared" si="87"/>
        <v>58.167525647006343</v>
      </c>
      <c r="Q99" s="22">
        <f t="shared" ref="Q99:Q130" si="107">(O99+P99)*0.475*44/12</f>
        <v>517.10725250186931</v>
      </c>
      <c r="R99" s="62">
        <f t="shared" si="55"/>
        <v>810.44058583520268</v>
      </c>
      <c r="S99" s="62">
        <f ca="1">AVERAGE(OFFSET($R$3,0,0,'Données projet'!$E$9+1,1))-AVERAGE(OFFSET($H$3,0,0,'Données projet'!$E$9+1,1))</f>
        <v>223.49015613166239</v>
      </c>
      <c r="T99" s="62">
        <f t="shared" si="88"/>
        <v>136.15898308259307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97.899731390293653</v>
      </c>
      <c r="AO99" s="62">
        <f t="shared" si="90"/>
        <v>310.21833995692549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16.843225911397091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2.1045829216422499E-11</v>
      </c>
      <c r="AX99" s="23">
        <f t="shared" si="60"/>
        <v>16.843225911418138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2.7666828827932479E-13</v>
      </c>
      <c r="BF99" s="14">
        <f t="shared" si="91"/>
        <v>3.6920483163466686E-12</v>
      </c>
      <c r="BG99" s="22">
        <f t="shared" si="61"/>
        <v>6.9121814197236049E-12</v>
      </c>
      <c r="BH99" s="62">
        <f t="shared" si="62"/>
        <v>293.33333333334025</v>
      </c>
      <c r="BI99" s="62">
        <f ca="1">AVERAGE(OFFSET($BH$3,0,0,'Données projet'!$E$11+1,1))-AVERAGE(OFFSET($H$3,0,0,'Données projet'!$E$11+1,1))</f>
        <v>209.0958230411249</v>
      </c>
      <c r="BJ99" s="62">
        <f t="shared" si="92"/>
        <v>250.34919671671565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3.6357050703372803E-14</v>
      </c>
      <c r="CA99" s="14">
        <f t="shared" si="93"/>
        <v>6.1445232567661395E-13</v>
      </c>
      <c r="CB99" s="22">
        <f t="shared" si="64"/>
        <v>1.1334929971951436E-12</v>
      </c>
      <c r="CC99" s="62">
        <f t="shared" si="65"/>
        <v>293.33333333333445</v>
      </c>
      <c r="CD99" s="62">
        <f ca="1">AVERAGE(OFFSET($CC$3,0,0,'Données projet'!$E$12+1,1))-AVERAGE(OFFSET($H$3,0,0,'Données projet'!$E$12+1,1))</f>
        <v>152.52712777621315</v>
      </c>
      <c r="CE99" s="62">
        <f t="shared" si="94"/>
        <v>145.25423263217925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2.2737367544323206E-13</v>
      </c>
      <c r="CU99" s="18">
        <f>CT99*VLOOKUP('Données projet'!$B$13,Paramètres!$A$1:$I$89,3,0)*VLOOKUP('Données projet'!$B$13,Paramètres!$A$1:$I$89,5,0)</f>
        <v>1.4897523215040565E-13</v>
      </c>
      <c r="CV99" s="14">
        <f t="shared" si="95"/>
        <v>2.136562777003313E-12</v>
      </c>
      <c r="CW99" s="22">
        <f t="shared" si="67"/>
        <v>3.9806453659427267E-12</v>
      </c>
      <c r="CX99" s="62">
        <f t="shared" si="68"/>
        <v>293.33333333333729</v>
      </c>
      <c r="CY99" s="62">
        <f ca="1">AVERAGE(OFFSET($CX$3,0,0,'Données projet'!$E$13+1,1))-AVERAGE(OFFSET($H$3,0,0,'Données projet'!$E$13+1,1))</f>
        <v>158.23848664370132</v>
      </c>
      <c r="CZ99" s="62">
        <f t="shared" si="96"/>
        <v>172.92355799729972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2">
        <f t="shared" si="86"/>
        <v>23.292033444816514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70">
        <f t="shared" si="56"/>
        <v>481.48773158305545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242.86391999999995</v>
      </c>
      <c r="P100" s="14">
        <f t="shared" si="87"/>
        <v>59.055290768146357</v>
      </c>
      <c r="Q100" s="22">
        <f t="shared" si="107"/>
        <v>525.84262542118813</v>
      </c>
      <c r="R100" s="62">
        <f t="shared" si="55"/>
        <v>819.17595875452139</v>
      </c>
      <c r="S100" s="62">
        <f ca="1">AVERAGE(OFFSET($R$3,0,0,'Données projet'!$E$9+1,1))-AVERAGE(OFFSET($H$3,0,0,'Données projet'!$E$9+1,1))</f>
        <v>223.49015613166239</v>
      </c>
      <c r="T100" s="62">
        <f t="shared" si="88"/>
        <v>136.15898308259307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97.899731390293653</v>
      </c>
      <c r="AO100" s="62">
        <f t="shared" si="90"/>
        <v>310.21833995692549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16.512940524627989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1.4881648554626313E-11</v>
      </c>
      <c r="AX100" s="23">
        <f t="shared" si="60"/>
        <v>16.512940524642872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2.7666828827932479E-13</v>
      </c>
      <c r="BF100" s="14">
        <f t="shared" si="91"/>
        <v>3.6920483163466686E-12</v>
      </c>
      <c r="BG100" s="22">
        <f t="shared" si="61"/>
        <v>6.9121814197236049E-12</v>
      </c>
      <c r="BH100" s="62">
        <f t="shared" si="62"/>
        <v>293.33333333334025</v>
      </c>
      <c r="BI100" s="62">
        <f ca="1">AVERAGE(OFFSET($BH$3,0,0,'Données projet'!$E$11+1,1))-AVERAGE(OFFSET($H$3,0,0,'Données projet'!$E$11+1,1))</f>
        <v>209.0958230411249</v>
      </c>
      <c r="BJ100" s="62">
        <f t="shared" si="92"/>
        <v>250.34919671671565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3.6357050703372803E-14</v>
      </c>
      <c r="CA100" s="14">
        <f t="shared" si="93"/>
        <v>6.1445232567661395E-13</v>
      </c>
      <c r="CB100" s="22">
        <f t="shared" si="64"/>
        <v>1.1334929971951436E-12</v>
      </c>
      <c r="CC100" s="62">
        <f t="shared" si="65"/>
        <v>293.33333333333445</v>
      </c>
      <c r="CD100" s="62">
        <f ca="1">AVERAGE(OFFSET($CC$3,0,0,'Données projet'!$E$12+1,1))-AVERAGE(OFFSET($H$3,0,0,'Données projet'!$E$12+1,1))</f>
        <v>152.52712777621315</v>
      </c>
      <c r="CE100" s="62">
        <f t="shared" si="94"/>
        <v>145.25423263217925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2.2737367544323206E-13</v>
      </c>
      <c r="CU100" s="18">
        <f>CT100*VLOOKUP('Données projet'!$B$13,Paramètres!$A$1:$I$89,3,0)*VLOOKUP('Données projet'!$B$13,Paramètres!$A$1:$I$89,5,0)</f>
        <v>1.4897523215040565E-13</v>
      </c>
      <c r="CV100" s="14">
        <f t="shared" si="95"/>
        <v>2.136562777003313E-12</v>
      </c>
      <c r="CW100" s="22">
        <f t="shared" si="67"/>
        <v>3.9806453659427267E-12</v>
      </c>
      <c r="CX100" s="62">
        <f t="shared" si="68"/>
        <v>293.33333333333729</v>
      </c>
      <c r="CY100" s="62">
        <f ca="1">AVERAGE(OFFSET($CX$3,0,0,'Données projet'!$E$13+1,1))-AVERAGE(OFFSET($H$3,0,0,'Données projet'!$E$13+1,1))</f>
        <v>158.23848664370132</v>
      </c>
      <c r="CZ100" s="62">
        <f t="shared" si="96"/>
        <v>172.92355799729972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2">
        <f t="shared" si="86"/>
        <v>23.504080242391282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70">
        <f t="shared" si="56"/>
        <v>483.37856642216479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246.99167999999992</v>
      </c>
      <c r="P101" s="14">
        <f t="shared" si="87"/>
        <v>59.941301220789747</v>
      </c>
      <c r="Q101" s="22">
        <f t="shared" si="107"/>
        <v>534.57494229287533</v>
      </c>
      <c r="R101" s="62">
        <f t="shared" si="55"/>
        <v>827.90827562620871</v>
      </c>
      <c r="S101" s="62">
        <f ca="1">AVERAGE(OFFSET($R$3,0,0,'Données projet'!$E$9+1,1))-AVERAGE(OFFSET($H$3,0,0,'Données projet'!$E$9+1,1))</f>
        <v>223.49015613166239</v>
      </c>
      <c r="T101" s="62">
        <f t="shared" si="88"/>
        <v>136.15898308259307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97.899731390293653</v>
      </c>
      <c r="AO101" s="62">
        <f t="shared" si="90"/>
        <v>310.21833995692549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16.189131832839237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1.0522914608211249E-11</v>
      </c>
      <c r="AX101" s="23">
        <f t="shared" si="60"/>
        <v>16.18913183284976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2.7666828827932479E-13</v>
      </c>
      <c r="BF101" s="14">
        <f t="shared" si="91"/>
        <v>3.6920483163466686E-12</v>
      </c>
      <c r="BG101" s="22">
        <f t="shared" si="61"/>
        <v>6.9121814197236049E-12</v>
      </c>
      <c r="BH101" s="62">
        <f t="shared" si="62"/>
        <v>293.33333333334025</v>
      </c>
      <c r="BI101" s="62">
        <f ca="1">AVERAGE(OFFSET($BH$3,0,0,'Données projet'!$E$11+1,1))-AVERAGE(OFFSET($H$3,0,0,'Données projet'!$E$11+1,1))</f>
        <v>209.0958230411249</v>
      </c>
      <c r="BJ101" s="62">
        <f t="shared" si="92"/>
        <v>250.34919671671565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3.6357050703372803E-14</v>
      </c>
      <c r="CA101" s="14">
        <f t="shared" si="93"/>
        <v>6.1445232567661395E-13</v>
      </c>
      <c r="CB101" s="22">
        <f t="shared" si="64"/>
        <v>1.1334929971951436E-12</v>
      </c>
      <c r="CC101" s="62">
        <f t="shared" si="65"/>
        <v>293.33333333333445</v>
      </c>
      <c r="CD101" s="62">
        <f ca="1">AVERAGE(OFFSET($CC$3,0,0,'Données projet'!$E$12+1,1))-AVERAGE(OFFSET($H$3,0,0,'Données projet'!$E$12+1,1))</f>
        <v>152.52712777621315</v>
      </c>
      <c r="CE101" s="62">
        <f t="shared" si="94"/>
        <v>145.25423263217925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2.2737367544323206E-13</v>
      </c>
      <c r="CU101" s="18">
        <f>CT101*VLOOKUP('Données projet'!$B$13,Paramètres!$A$1:$I$89,3,0)*VLOOKUP('Données projet'!$B$13,Paramètres!$A$1:$I$89,5,0)</f>
        <v>1.4897523215040565E-13</v>
      </c>
      <c r="CV101" s="14">
        <f t="shared" si="95"/>
        <v>2.136562777003313E-12</v>
      </c>
      <c r="CW101" s="22">
        <f t="shared" si="67"/>
        <v>3.9806453659427267E-12</v>
      </c>
      <c r="CX101" s="62">
        <f t="shared" si="68"/>
        <v>293.33333333333729</v>
      </c>
      <c r="CY101" s="62">
        <f ca="1">AVERAGE(OFFSET($CX$3,0,0,'Données projet'!$E$13+1,1))-AVERAGE(OFFSET($H$3,0,0,'Données projet'!$E$13+1,1))</f>
        <v>158.23848664370132</v>
      </c>
      <c r="CZ101" s="62">
        <f t="shared" si="96"/>
        <v>172.92355799729972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2">
        <f t="shared" si="86"/>
        <v>23.715875325195146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70">
        <f t="shared" si="56"/>
        <v>485.26896285804821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251.11943999999991</v>
      </c>
      <c r="P102" s="14">
        <f t="shared" si="87"/>
        <v>60.825589713796923</v>
      </c>
      <c r="Q102" s="22">
        <f t="shared" si="107"/>
        <v>543.30426008486279</v>
      </c>
      <c r="R102" s="62">
        <f t="shared" si="55"/>
        <v>836.63759341819605</v>
      </c>
      <c r="S102" s="62">
        <f ca="1">AVERAGE(OFFSET($R$3,0,0,'Données projet'!$E$9+1,1))-AVERAGE(OFFSET($H$3,0,0,'Données projet'!$E$9+1,1))</f>
        <v>223.49015613166239</v>
      </c>
      <c r="T102" s="62">
        <f t="shared" si="88"/>
        <v>136.15898308259307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97.899731390293653</v>
      </c>
      <c r="AO102" s="62">
        <f t="shared" si="90"/>
        <v>310.21833995692549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15.871672831992662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7.4408242773131563E-12</v>
      </c>
      <c r="AX102" s="23">
        <f t="shared" si="60"/>
        <v>15.871672832000103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2.7666828827932479E-13</v>
      </c>
      <c r="BF102" s="14">
        <f t="shared" si="91"/>
        <v>3.6920483163466686E-12</v>
      </c>
      <c r="BG102" s="22">
        <f t="shared" si="61"/>
        <v>6.9121814197236049E-12</v>
      </c>
      <c r="BH102" s="62">
        <f t="shared" si="62"/>
        <v>293.33333333334025</v>
      </c>
      <c r="BI102" s="62">
        <f ca="1">AVERAGE(OFFSET($BH$3,0,0,'Données projet'!$E$11+1,1))-AVERAGE(OFFSET($H$3,0,0,'Données projet'!$E$11+1,1))</f>
        <v>209.0958230411249</v>
      </c>
      <c r="BJ102" s="62">
        <f t="shared" si="92"/>
        <v>250.34919671671565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3.6357050703372803E-14</v>
      </c>
      <c r="CA102" s="14">
        <f t="shared" si="93"/>
        <v>6.1445232567661395E-13</v>
      </c>
      <c r="CB102" s="22">
        <f t="shared" si="64"/>
        <v>1.1334929971951436E-12</v>
      </c>
      <c r="CC102" s="62">
        <f t="shared" si="65"/>
        <v>293.33333333333445</v>
      </c>
      <c r="CD102" s="62">
        <f ca="1">AVERAGE(OFFSET($CC$3,0,0,'Données projet'!$E$12+1,1))-AVERAGE(OFFSET($H$3,0,0,'Données projet'!$E$12+1,1))</f>
        <v>152.52712777621315</v>
      </c>
      <c r="CE102" s="62">
        <f t="shared" si="94"/>
        <v>145.25423263217925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2.2737367544323206E-13</v>
      </c>
      <c r="CU102" s="18">
        <f>CT102*VLOOKUP('Données projet'!$B$13,Paramètres!$A$1:$I$89,3,0)*VLOOKUP('Données projet'!$B$13,Paramètres!$A$1:$I$89,5,0)</f>
        <v>1.4897523215040565E-13</v>
      </c>
      <c r="CV102" s="14">
        <f t="shared" si="95"/>
        <v>2.136562777003313E-12</v>
      </c>
      <c r="CW102" s="22">
        <f t="shared" si="67"/>
        <v>3.9806453659427267E-12</v>
      </c>
      <c r="CX102" s="62">
        <f t="shared" si="68"/>
        <v>293.33333333333729</v>
      </c>
      <c r="CY102" s="62">
        <f ca="1">AVERAGE(OFFSET($CX$3,0,0,'Données projet'!$E$13+1,1))-AVERAGE(OFFSET($H$3,0,0,'Données projet'!$E$13+1,1))</f>
        <v>158.23848664370132</v>
      </c>
      <c r="CZ102" s="62">
        <f t="shared" si="96"/>
        <v>172.92355799729972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2">
        <f t="shared" si="86"/>
        <v>23.927421530185931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70">
        <f t="shared" si="56"/>
        <v>487.15892583174048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255.24719999999988</v>
      </c>
      <c r="P103" s="14">
        <f t="shared" si="87"/>
        <v>61.708187819081218</v>
      </c>
      <c r="Q103" s="22">
        <f t="shared" si="107"/>
        <v>552.03063378489958</v>
      </c>
      <c r="R103" s="62">
        <f t="shared" si="55"/>
        <v>845.36396711823295</v>
      </c>
      <c r="S103" s="62">
        <f ca="1">AVERAGE(OFFSET($R$3,0,0,'Données projet'!$E$9+1,1))-AVERAGE(OFFSET($H$3,0,0,'Données projet'!$E$9+1,1))</f>
        <v>223.49015613166239</v>
      </c>
      <c r="T103" s="62">
        <f t="shared" si="88"/>
        <v>136.15898308259307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97.899731390293653</v>
      </c>
      <c r="AO103" s="62">
        <f t="shared" si="90"/>
        <v>310.21833995692549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15.560439008521817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5.2614573041056247E-12</v>
      </c>
      <c r="AX103" s="23">
        <f t="shared" si="60"/>
        <v>15.560439008527078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2.7666828827932479E-13</v>
      </c>
      <c r="BF103" s="14">
        <f t="shared" si="91"/>
        <v>3.6920483163466686E-12</v>
      </c>
      <c r="BG103" s="22">
        <f t="shared" si="61"/>
        <v>6.9121814197236049E-12</v>
      </c>
      <c r="BH103" s="62">
        <f t="shared" si="62"/>
        <v>293.33333333334025</v>
      </c>
      <c r="BI103" s="62">
        <f ca="1">AVERAGE(OFFSET($BH$3,0,0,'Données projet'!$E$11+1,1))-AVERAGE(OFFSET($H$3,0,0,'Données projet'!$E$11+1,1))</f>
        <v>209.0958230411249</v>
      </c>
      <c r="BJ103" s="62">
        <f t="shared" si="92"/>
        <v>250.34919671671565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3.6357050703372803E-14</v>
      </c>
      <c r="CA103" s="14">
        <f t="shared" si="93"/>
        <v>6.1445232567661395E-13</v>
      </c>
      <c r="CB103" s="22">
        <f t="shared" si="64"/>
        <v>1.1334929971951436E-12</v>
      </c>
      <c r="CC103" s="62">
        <f t="shared" si="65"/>
        <v>293.33333333333445</v>
      </c>
      <c r="CD103" s="62">
        <f ca="1">AVERAGE(OFFSET($CC$3,0,0,'Données projet'!$E$12+1,1))-AVERAGE(OFFSET($H$3,0,0,'Données projet'!$E$12+1,1))</f>
        <v>152.52712777621315</v>
      </c>
      <c r="CE103" s="62">
        <f t="shared" si="94"/>
        <v>145.25423263217925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2.2737367544323206E-13</v>
      </c>
      <c r="CU103" s="18">
        <f>CT103*VLOOKUP('Données projet'!$B$13,Paramètres!$A$1:$I$89,3,0)*VLOOKUP('Données projet'!$B$13,Paramètres!$A$1:$I$89,5,0)</f>
        <v>1.4897523215040565E-13</v>
      </c>
      <c r="CV103" s="14">
        <f t="shared" si="95"/>
        <v>2.136562777003313E-12</v>
      </c>
      <c r="CW103" s="22">
        <f t="shared" si="67"/>
        <v>3.9806453659427267E-12</v>
      </c>
      <c r="CX103" s="62">
        <f t="shared" si="68"/>
        <v>293.33333333333729</v>
      </c>
      <c r="CY103" s="62">
        <f ca="1">AVERAGE(OFFSET($CX$3,0,0,'Données projet'!$E$13+1,1))-AVERAGE(OFFSET($H$3,0,0,'Données projet'!$E$13+1,1))</f>
        <v>158.23848664370132</v>
      </c>
      <c r="CZ103" s="62">
        <f t="shared" si="96"/>
        <v>172.92355799729972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2">
        <f t="shared" si="86"/>
        <v>24.138721634312098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70">
        <f t="shared" si="56"/>
        <v>489.04846017976024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223.57295999999988</v>
      </c>
      <c r="P104" s="14">
        <f t="shared" si="87"/>
        <v>54.890721304299568</v>
      </c>
      <c r="Q104" s="22">
        <f t="shared" si="107"/>
        <v>484.99091160498818</v>
      </c>
      <c r="R104" s="62">
        <f t="shared" si="55"/>
        <v>778.3242449383215</v>
      </c>
      <c r="S104" s="62">
        <f ca="1">AVERAGE(OFFSET($R$3,0,0,'Données projet'!$E$9+1,1))-AVERAGE(OFFSET($H$3,0,0,'Données projet'!$E$9+1,1))</f>
        <v>223.49015613166239</v>
      </c>
      <c r="T104" s="62">
        <f t="shared" si="88"/>
        <v>136.15898308259307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97.899731390293653</v>
      </c>
      <c r="AO104" s="62">
        <f t="shared" si="90"/>
        <v>310.21833995692549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15.255308290495348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3.7204121386565781E-12</v>
      </c>
      <c r="AX104" s="23">
        <f t="shared" si="60"/>
        <v>15.255308290499068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2.7666828827932479E-13</v>
      </c>
      <c r="BF104" s="14">
        <f t="shared" si="91"/>
        <v>3.6920483163466686E-12</v>
      </c>
      <c r="BG104" s="22">
        <f t="shared" si="61"/>
        <v>6.9121814197236049E-12</v>
      </c>
      <c r="BH104" s="62">
        <f t="shared" si="62"/>
        <v>293.33333333334025</v>
      </c>
      <c r="BI104" s="62">
        <f ca="1">AVERAGE(OFFSET($BH$3,0,0,'Données projet'!$E$11+1,1))-AVERAGE(OFFSET($H$3,0,0,'Données projet'!$E$11+1,1))</f>
        <v>209.0958230411249</v>
      </c>
      <c r="BJ104" s="62">
        <f t="shared" si="92"/>
        <v>250.34919671671565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3.6357050703372803E-14</v>
      </c>
      <c r="CA104" s="14">
        <f t="shared" si="93"/>
        <v>6.1445232567661395E-13</v>
      </c>
      <c r="CB104" s="22">
        <f t="shared" si="64"/>
        <v>1.1334929971951436E-12</v>
      </c>
      <c r="CC104" s="62">
        <f t="shared" si="65"/>
        <v>293.33333333333445</v>
      </c>
      <c r="CD104" s="62">
        <f ca="1">AVERAGE(OFFSET($CC$3,0,0,'Données projet'!$E$12+1,1))-AVERAGE(OFFSET($H$3,0,0,'Données projet'!$E$12+1,1))</f>
        <v>152.52712777621315</v>
      </c>
      <c r="CE104" s="62">
        <f t="shared" si="94"/>
        <v>145.25423263217925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2.2737367544323206E-13</v>
      </c>
      <c r="CU104" s="18">
        <f>CT104*VLOOKUP('Données projet'!$B$13,Paramètres!$A$1:$I$89,3,0)*VLOOKUP('Données projet'!$B$13,Paramètres!$A$1:$I$89,5,0)</f>
        <v>1.4897523215040565E-13</v>
      </c>
      <c r="CV104" s="14">
        <f t="shared" si="95"/>
        <v>2.136562777003313E-12</v>
      </c>
      <c r="CW104" s="22">
        <f t="shared" si="67"/>
        <v>3.9806453659427267E-12</v>
      </c>
      <c r="CX104" s="62">
        <f t="shared" si="68"/>
        <v>293.33333333333729</v>
      </c>
      <c r="CY104" s="62">
        <f ca="1">AVERAGE(OFFSET($CX$3,0,0,'Données projet'!$E$13+1,1))-AVERAGE(OFFSET($H$3,0,0,'Données projet'!$E$13+1,1))</f>
        <v>158.23848664370132</v>
      </c>
      <c r="CZ104" s="62">
        <f t="shared" si="96"/>
        <v>172.92355799729972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2">
        <f t="shared" si="86"/>
        <v>24.349778356363352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70">
        <f t="shared" si="56"/>
        <v>490.93757063733278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227.27951999999985</v>
      </c>
      <c r="P105" s="14">
        <f t="shared" si="87"/>
        <v>55.694043418351256</v>
      </c>
      <c r="Q105" s="22">
        <f t="shared" si="107"/>
        <v>492.84562295362815</v>
      </c>
      <c r="R105" s="62">
        <f t="shared" si="55"/>
        <v>786.17895628696147</v>
      </c>
      <c r="S105" s="62">
        <f ca="1">AVERAGE(OFFSET($R$3,0,0,'Données projet'!$E$9+1,1))-AVERAGE(OFFSET($H$3,0,0,'Données projet'!$E$9+1,1))</f>
        <v>223.49015613166239</v>
      </c>
      <c r="T105" s="62">
        <f t="shared" si="88"/>
        <v>136.15898308259307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97.899731390293653</v>
      </c>
      <c r="AO105" s="62">
        <f t="shared" si="90"/>
        <v>310.21833995692549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14.956160999738017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2.6307286520528123E-12</v>
      </c>
      <c r="AX105" s="23">
        <f t="shared" si="60"/>
        <v>14.956160999740648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2.7666828827932479E-13</v>
      </c>
      <c r="BF105" s="14">
        <f t="shared" si="91"/>
        <v>3.6920483163466686E-12</v>
      </c>
      <c r="BG105" s="22">
        <f t="shared" si="61"/>
        <v>6.9121814197236049E-12</v>
      </c>
      <c r="BH105" s="62">
        <f t="shared" si="62"/>
        <v>293.33333333334025</v>
      </c>
      <c r="BI105" s="62">
        <f ca="1">AVERAGE(OFFSET($BH$3,0,0,'Données projet'!$E$11+1,1))-AVERAGE(OFFSET($H$3,0,0,'Données projet'!$E$11+1,1))</f>
        <v>209.0958230411249</v>
      </c>
      <c r="BJ105" s="62">
        <f t="shared" si="92"/>
        <v>250.34919671671565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3.6357050703372803E-14</v>
      </c>
      <c r="CA105" s="14">
        <f t="shared" si="93"/>
        <v>6.1445232567661395E-13</v>
      </c>
      <c r="CB105" s="22">
        <f t="shared" si="64"/>
        <v>1.1334929971951436E-12</v>
      </c>
      <c r="CC105" s="62">
        <f t="shared" si="65"/>
        <v>293.33333333333445</v>
      </c>
      <c r="CD105" s="62">
        <f ca="1">AVERAGE(OFFSET($CC$3,0,0,'Données projet'!$E$12+1,1))-AVERAGE(OFFSET($H$3,0,0,'Données projet'!$E$12+1,1))</f>
        <v>152.52712777621315</v>
      </c>
      <c r="CE105" s="62">
        <f t="shared" si="94"/>
        <v>145.25423263217925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2.2737367544323206E-13</v>
      </c>
      <c r="CU105" s="18">
        <f>CT105*VLOOKUP('Données projet'!$B$13,Paramètres!$A$1:$I$89,3,0)*VLOOKUP('Données projet'!$B$13,Paramètres!$A$1:$I$89,5,0)</f>
        <v>1.4897523215040565E-13</v>
      </c>
      <c r="CV105" s="14">
        <f t="shared" si="95"/>
        <v>2.136562777003313E-12</v>
      </c>
      <c r="CW105" s="22">
        <f t="shared" si="67"/>
        <v>3.9806453659427267E-12</v>
      </c>
      <c r="CX105" s="62">
        <f t="shared" si="68"/>
        <v>293.33333333333729</v>
      </c>
      <c r="CY105" s="62">
        <f ca="1">AVERAGE(OFFSET($CX$3,0,0,'Données projet'!$E$13+1,1))-AVERAGE(OFFSET($H$3,0,0,'Données projet'!$E$13+1,1))</f>
        <v>158.23848664370132</v>
      </c>
      <c r="CZ105" s="62">
        <f t="shared" si="96"/>
        <v>172.92355799729972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2">
        <f t="shared" si="86"/>
        <v>24.560594358746627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70">
        <f t="shared" si="56"/>
        <v>492.82626184148364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230.98607999999982</v>
      </c>
      <c r="P106" s="14">
        <f t="shared" si="87"/>
        <v>56.495841965100745</v>
      </c>
      <c r="Q106" s="22">
        <f t="shared" si="107"/>
        <v>500.69768075588348</v>
      </c>
      <c r="R106" s="62">
        <f t="shared" si="55"/>
        <v>794.0310140892168</v>
      </c>
      <c r="S106" s="62">
        <f ca="1">AVERAGE(OFFSET($R$3,0,0,'Données projet'!$E$9+1,1))-AVERAGE(OFFSET($H$3,0,0,'Données projet'!$E$9+1,1))</f>
        <v>223.49015613166239</v>
      </c>
      <c r="T106" s="62">
        <f t="shared" si="88"/>
        <v>136.15898308259307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97.899731390293653</v>
      </c>
      <c r="AO106" s="62">
        <f t="shared" si="90"/>
        <v>310.21833995692549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14.662879804890606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1.8602060693282891E-12</v>
      </c>
      <c r="AX106" s="23">
        <f t="shared" si="60"/>
        <v>14.662879804892466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2.7666828827932479E-13</v>
      </c>
      <c r="BF106" s="14">
        <f t="shared" si="91"/>
        <v>3.6920483163466686E-12</v>
      </c>
      <c r="BG106" s="22">
        <f t="shared" si="61"/>
        <v>6.9121814197236049E-12</v>
      </c>
      <c r="BH106" s="62">
        <f t="shared" si="62"/>
        <v>293.33333333334025</v>
      </c>
      <c r="BI106" s="62">
        <f ca="1">AVERAGE(OFFSET($BH$3,0,0,'Données projet'!$E$11+1,1))-AVERAGE(OFFSET($H$3,0,0,'Données projet'!$E$11+1,1))</f>
        <v>209.0958230411249</v>
      </c>
      <c r="BJ106" s="62">
        <f t="shared" si="92"/>
        <v>250.34919671671565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3.6357050703372803E-14</v>
      </c>
      <c r="CA106" s="14">
        <f t="shared" si="93"/>
        <v>6.1445232567661395E-13</v>
      </c>
      <c r="CB106" s="22">
        <f t="shared" si="64"/>
        <v>1.1334929971951436E-12</v>
      </c>
      <c r="CC106" s="62">
        <f t="shared" si="65"/>
        <v>293.33333333333445</v>
      </c>
      <c r="CD106" s="62">
        <f ca="1">AVERAGE(OFFSET($CC$3,0,0,'Données projet'!$E$12+1,1))-AVERAGE(OFFSET($H$3,0,0,'Données projet'!$E$12+1,1))</f>
        <v>152.52712777621315</v>
      </c>
      <c r="CE106" s="62">
        <f t="shared" si="94"/>
        <v>145.25423263217925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2.2737367544323206E-13</v>
      </c>
      <c r="CU106" s="18">
        <f>CT106*VLOOKUP('Données projet'!$B$13,Paramètres!$A$1:$I$89,3,0)*VLOOKUP('Données projet'!$B$13,Paramètres!$A$1:$I$89,5,0)</f>
        <v>1.4897523215040565E-13</v>
      </c>
      <c r="CV106" s="14">
        <f t="shared" si="95"/>
        <v>2.136562777003313E-12</v>
      </c>
      <c r="CW106" s="22">
        <f t="shared" si="67"/>
        <v>3.9806453659427267E-12</v>
      </c>
      <c r="CX106" s="62">
        <f t="shared" si="68"/>
        <v>293.33333333333729</v>
      </c>
      <c r="CY106" s="62">
        <f ca="1">AVERAGE(OFFSET($CX$3,0,0,'Données projet'!$E$13+1,1))-AVERAGE(OFFSET($H$3,0,0,'Données projet'!$E$13+1,1))</f>
        <v>158.23848664370132</v>
      </c>
      <c r="CZ106" s="62">
        <f t="shared" si="96"/>
        <v>172.92355799729972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2">
        <f t="shared" si="86"/>
        <v>24.771172249191284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70">
        <f t="shared" si="56"/>
        <v>494.71453833400813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234.69263999999981</v>
      </c>
      <c r="P107" s="14">
        <f t="shared" si="87"/>
        <v>57.29614421540046</v>
      </c>
      <c r="Q107" s="22">
        <f t="shared" si="107"/>
        <v>508.54713250848886</v>
      </c>
      <c r="R107" s="62">
        <f t="shared" si="55"/>
        <v>801.88046584182212</v>
      </c>
      <c r="S107" s="62">
        <f ca="1">AVERAGE(OFFSET($R$3,0,0,'Données projet'!$E$9+1,1))-AVERAGE(OFFSET($H$3,0,0,'Données projet'!$E$9+1,1))</f>
        <v>223.49015613166239</v>
      </c>
      <c r="T107" s="62">
        <f t="shared" si="88"/>
        <v>136.15898308259307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97.899731390293653</v>
      </c>
      <c r="AO107" s="62">
        <f t="shared" si="90"/>
        <v>310.21833995692549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14.375349675390288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1.3153643260264062E-12</v>
      </c>
      <c r="AX107" s="23">
        <f t="shared" si="60"/>
        <v>14.375349675391602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2.7666828827932479E-13</v>
      </c>
      <c r="BF107" s="14">
        <f t="shared" si="91"/>
        <v>3.6920483163466686E-12</v>
      </c>
      <c r="BG107" s="22">
        <f t="shared" si="61"/>
        <v>6.9121814197236049E-12</v>
      </c>
      <c r="BH107" s="62">
        <f t="shared" si="62"/>
        <v>293.33333333334025</v>
      </c>
      <c r="BI107" s="62">
        <f ca="1">AVERAGE(OFFSET($BH$3,0,0,'Données projet'!$E$11+1,1))-AVERAGE(OFFSET($H$3,0,0,'Données projet'!$E$11+1,1))</f>
        <v>209.0958230411249</v>
      </c>
      <c r="BJ107" s="62">
        <f t="shared" si="92"/>
        <v>250.34919671671565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3.6357050703372803E-14</v>
      </c>
      <c r="CA107" s="14">
        <f t="shared" si="93"/>
        <v>6.1445232567661395E-13</v>
      </c>
      <c r="CB107" s="22">
        <f t="shared" si="64"/>
        <v>1.1334929971951436E-12</v>
      </c>
      <c r="CC107" s="62">
        <f t="shared" si="65"/>
        <v>293.33333333333445</v>
      </c>
      <c r="CD107" s="62">
        <f ca="1">AVERAGE(OFFSET($CC$3,0,0,'Données projet'!$E$12+1,1))-AVERAGE(OFFSET($H$3,0,0,'Données projet'!$E$12+1,1))</f>
        <v>152.52712777621315</v>
      </c>
      <c r="CE107" s="62">
        <f t="shared" si="94"/>
        <v>145.25423263217925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2.2737367544323206E-13</v>
      </c>
      <c r="CU107" s="18">
        <f>CT107*VLOOKUP('Données projet'!$B$13,Paramètres!$A$1:$I$89,3,0)*VLOOKUP('Données projet'!$B$13,Paramètres!$A$1:$I$89,5,0)</f>
        <v>1.4897523215040565E-13</v>
      </c>
      <c r="CV107" s="14">
        <f t="shared" si="95"/>
        <v>2.136562777003313E-12</v>
      </c>
      <c r="CW107" s="22">
        <f t="shared" si="67"/>
        <v>3.9806453659427267E-12</v>
      </c>
      <c r="CX107" s="62">
        <f t="shared" si="68"/>
        <v>293.33333333333729</v>
      </c>
      <c r="CY107" s="62">
        <f ca="1">AVERAGE(OFFSET($CX$3,0,0,'Données projet'!$E$13+1,1))-AVERAGE(OFFSET($H$3,0,0,'Données projet'!$E$13+1,1))</f>
        <v>158.23848664370132</v>
      </c>
      <c r="CZ107" s="62">
        <f t="shared" si="96"/>
        <v>172.92355799729972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2">
        <f t="shared" si="86"/>
        <v>24.981514582386563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70">
        <f t="shared" si="56"/>
        <v>496.60240456432325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238.39919999999978</v>
      </c>
      <c r="P108" s="14">
        <f t="shared" si="87"/>
        <v>58.094976529303359</v>
      </c>
      <c r="Q108" s="22">
        <f t="shared" si="107"/>
        <v>516.39402412186962</v>
      </c>
      <c r="R108" s="62">
        <f t="shared" si="55"/>
        <v>809.72735745520299</v>
      </c>
      <c r="S108" s="62">
        <f ca="1">AVERAGE(OFFSET($R$3,0,0,'Données projet'!$E$9+1,1))-AVERAGE(OFFSET($H$3,0,0,'Données projet'!$E$9+1,1))</f>
        <v>223.49015613166239</v>
      </c>
      <c r="T108" s="62">
        <f t="shared" si="88"/>
        <v>136.15898308259307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97.899731390293653</v>
      </c>
      <c r="AO108" s="62">
        <f t="shared" si="90"/>
        <v>310.21833995692549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14.093457836353409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9.3010303466414454E-13</v>
      </c>
      <c r="AX108" s="23">
        <f t="shared" si="60"/>
        <v>14.093457836354339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2.7666828827932479E-13</v>
      </c>
      <c r="BF108" s="14">
        <f t="shared" si="91"/>
        <v>3.6920483163466686E-12</v>
      </c>
      <c r="BG108" s="22">
        <f t="shared" si="61"/>
        <v>6.9121814197236049E-12</v>
      </c>
      <c r="BH108" s="62">
        <f t="shared" si="62"/>
        <v>293.33333333334025</v>
      </c>
      <c r="BI108" s="62">
        <f ca="1">AVERAGE(OFFSET($BH$3,0,0,'Données projet'!$E$11+1,1))-AVERAGE(OFFSET($H$3,0,0,'Données projet'!$E$11+1,1))</f>
        <v>209.0958230411249</v>
      </c>
      <c r="BJ108" s="62">
        <f t="shared" si="92"/>
        <v>250.34919671671565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3.6357050703372803E-14</v>
      </c>
      <c r="CA108" s="14">
        <f t="shared" si="93"/>
        <v>6.1445232567661395E-13</v>
      </c>
      <c r="CB108" s="22">
        <f t="shared" si="64"/>
        <v>1.1334929971951436E-12</v>
      </c>
      <c r="CC108" s="62">
        <f t="shared" si="65"/>
        <v>293.33333333333445</v>
      </c>
      <c r="CD108" s="62">
        <f ca="1">AVERAGE(OFFSET($CC$3,0,0,'Données projet'!$E$12+1,1))-AVERAGE(OFFSET($H$3,0,0,'Données projet'!$E$12+1,1))</f>
        <v>152.52712777621315</v>
      </c>
      <c r="CE108" s="62">
        <f t="shared" si="94"/>
        <v>145.25423263217925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2.2737367544323206E-13</v>
      </c>
      <c r="CU108" s="18">
        <f>CT108*VLOOKUP('Données projet'!$B$13,Paramètres!$A$1:$I$89,3,0)*VLOOKUP('Données projet'!$B$13,Paramètres!$A$1:$I$89,5,0)</f>
        <v>1.4897523215040565E-13</v>
      </c>
      <c r="CV108" s="14">
        <f t="shared" si="95"/>
        <v>2.136562777003313E-12</v>
      </c>
      <c r="CW108" s="22">
        <f t="shared" si="67"/>
        <v>3.9806453659427267E-12</v>
      </c>
      <c r="CX108" s="62">
        <f t="shared" si="68"/>
        <v>293.33333333333729</v>
      </c>
      <c r="CY108" s="62">
        <f ca="1">AVERAGE(OFFSET($CX$3,0,0,'Données projet'!$E$13+1,1))-AVERAGE(OFFSET($H$3,0,0,'Données projet'!$E$13+1,1))</f>
        <v>158.23848664370132</v>
      </c>
      <c r="CZ108" s="62">
        <f t="shared" si="96"/>
        <v>172.92355799729972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2">
        <f t="shared" si="86"/>
        <v>25.191623861555186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70">
        <f t="shared" si="56"/>
        <v>498.48986489220857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242.10575999999978</v>
      </c>
      <c r="P109" s="14">
        <f t="shared" si="87"/>
        <v>58.89236440016068</v>
      </c>
      <c r="Q109" s="22">
        <f t="shared" si="107"/>
        <v>524.2383999969461</v>
      </c>
      <c r="R109" s="62">
        <f t="shared" si="55"/>
        <v>817.57173333027936</v>
      </c>
      <c r="S109" s="62">
        <f ca="1">AVERAGE(OFFSET($R$3,0,0,'Données projet'!$E$9+1,1))-AVERAGE(OFFSET($H$3,0,0,'Données projet'!$E$9+1,1))</f>
        <v>223.49015613166239</v>
      </c>
      <c r="T109" s="62">
        <f t="shared" si="88"/>
        <v>136.15898308259307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97.899731390293653</v>
      </c>
      <c r="AO109" s="62">
        <f t="shared" si="90"/>
        <v>310.21833995692549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13.817093724342998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6.5768216301320308E-13</v>
      </c>
      <c r="AX109" s="23">
        <f t="shared" si="60"/>
        <v>13.817093724343655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2.7666828827932479E-13</v>
      </c>
      <c r="BF109" s="14">
        <f t="shared" si="91"/>
        <v>3.6920483163466686E-12</v>
      </c>
      <c r="BG109" s="22">
        <f t="shared" si="61"/>
        <v>6.9121814197236049E-12</v>
      </c>
      <c r="BH109" s="62">
        <f t="shared" si="62"/>
        <v>293.33333333334025</v>
      </c>
      <c r="BI109" s="62">
        <f ca="1">AVERAGE(OFFSET($BH$3,0,0,'Données projet'!$E$11+1,1))-AVERAGE(OFFSET($H$3,0,0,'Données projet'!$E$11+1,1))</f>
        <v>209.0958230411249</v>
      </c>
      <c r="BJ109" s="62">
        <f t="shared" si="92"/>
        <v>250.34919671671565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3.6357050703372803E-14</v>
      </c>
      <c r="CA109" s="14">
        <f t="shared" si="93"/>
        <v>6.1445232567661395E-13</v>
      </c>
      <c r="CB109" s="22">
        <f t="shared" si="64"/>
        <v>1.1334929971951436E-12</v>
      </c>
      <c r="CC109" s="62">
        <f t="shared" si="65"/>
        <v>293.33333333333445</v>
      </c>
      <c r="CD109" s="62">
        <f ca="1">AVERAGE(OFFSET($CC$3,0,0,'Données projet'!$E$12+1,1))-AVERAGE(OFFSET($H$3,0,0,'Données projet'!$E$12+1,1))</f>
        <v>152.52712777621315</v>
      </c>
      <c r="CE109" s="62">
        <f t="shared" si="94"/>
        <v>145.25423263217925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2.2737367544323206E-13</v>
      </c>
      <c r="CU109" s="18">
        <f>CT109*VLOOKUP('Données projet'!$B$13,Paramètres!$A$1:$I$89,3,0)*VLOOKUP('Données projet'!$B$13,Paramètres!$A$1:$I$89,5,0)</f>
        <v>1.4897523215040565E-13</v>
      </c>
      <c r="CV109" s="14">
        <f t="shared" si="95"/>
        <v>2.136562777003313E-12</v>
      </c>
      <c r="CW109" s="22">
        <f t="shared" si="67"/>
        <v>3.9806453659427267E-12</v>
      </c>
      <c r="CX109" s="62">
        <f t="shared" si="68"/>
        <v>293.33333333333729</v>
      </c>
      <c r="CY109" s="62">
        <f ca="1">AVERAGE(OFFSET($CX$3,0,0,'Données projet'!$E$13+1,1))-AVERAGE(OFFSET($H$3,0,0,'Données projet'!$E$13+1,1))</f>
        <v>158.23848664370132</v>
      </c>
      <c r="CZ109" s="62">
        <f t="shared" si="96"/>
        <v>172.92355799729972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2">
        <f t="shared" si="86"/>
        <v>25.401502539965662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70">
        <f t="shared" si="56"/>
        <v>500.37692359044013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245.81231999999974</v>
      </c>
      <c r="P110" s="14">
        <f t="shared" si="87"/>
        <v>59.68833249594293</v>
      </c>
      <c r="Q110" s="22">
        <f t="shared" si="107"/>
        <v>532.08030309710023</v>
      </c>
      <c r="R110" s="62">
        <f t="shared" si="55"/>
        <v>825.4136364304336</v>
      </c>
      <c r="S110" s="62">
        <f ca="1">AVERAGE(OFFSET($R$3,0,0,'Données projet'!$E$9+1,1))-AVERAGE(OFFSET($H$3,0,0,'Données projet'!$E$9+1,1))</f>
        <v>223.49015613166239</v>
      </c>
      <c r="T110" s="62">
        <f t="shared" si="88"/>
        <v>136.15898308259307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97.899731390293653</v>
      </c>
      <c r="AO110" s="62">
        <f t="shared" si="90"/>
        <v>310.21833995692549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13.546148944003647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4.6505151733207227E-13</v>
      </c>
      <c r="AX110" s="23">
        <f t="shared" si="60"/>
        <v>13.546148944004113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2.7666828827932479E-13</v>
      </c>
      <c r="BF110" s="14">
        <f t="shared" si="91"/>
        <v>3.6920483163466686E-12</v>
      </c>
      <c r="BG110" s="22">
        <f t="shared" si="61"/>
        <v>6.9121814197236049E-12</v>
      </c>
      <c r="BH110" s="62">
        <f t="shared" si="62"/>
        <v>293.33333333334025</v>
      </c>
      <c r="BI110" s="62">
        <f ca="1">AVERAGE(OFFSET($BH$3,0,0,'Données projet'!$E$11+1,1))-AVERAGE(OFFSET($H$3,0,0,'Données projet'!$E$11+1,1))</f>
        <v>209.0958230411249</v>
      </c>
      <c r="BJ110" s="62">
        <f t="shared" si="92"/>
        <v>250.34919671671565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3.6357050703372803E-14</v>
      </c>
      <c r="CA110" s="14">
        <f t="shared" si="93"/>
        <v>6.1445232567661395E-13</v>
      </c>
      <c r="CB110" s="22">
        <f t="shared" si="64"/>
        <v>1.1334929971951436E-12</v>
      </c>
      <c r="CC110" s="62">
        <f t="shared" si="65"/>
        <v>293.33333333333445</v>
      </c>
      <c r="CD110" s="62">
        <f ca="1">AVERAGE(OFFSET($CC$3,0,0,'Données projet'!$E$12+1,1))-AVERAGE(OFFSET($H$3,0,0,'Données projet'!$E$12+1,1))</f>
        <v>152.52712777621315</v>
      </c>
      <c r="CE110" s="62">
        <f t="shared" si="94"/>
        <v>145.25423263217925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2.2737367544323206E-13</v>
      </c>
      <c r="CU110" s="18">
        <f>CT110*VLOOKUP('Données projet'!$B$13,Paramètres!$A$1:$I$89,3,0)*VLOOKUP('Données projet'!$B$13,Paramètres!$A$1:$I$89,5,0)</f>
        <v>1.4897523215040565E-13</v>
      </c>
      <c r="CV110" s="14">
        <f t="shared" si="95"/>
        <v>2.136562777003313E-12</v>
      </c>
      <c r="CW110" s="22">
        <f t="shared" si="67"/>
        <v>3.9806453659427267E-12</v>
      </c>
      <c r="CX110" s="62">
        <f t="shared" si="68"/>
        <v>293.33333333333729</v>
      </c>
      <c r="CY110" s="62">
        <f ca="1">AVERAGE(OFFSET($CX$3,0,0,'Données projet'!$E$13+1,1))-AVERAGE(OFFSET($H$3,0,0,'Données projet'!$E$13+1,1))</f>
        <v>158.23848664370132</v>
      </c>
      <c r="CZ110" s="62">
        <f t="shared" si="96"/>
        <v>172.92355799729972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2">
        <f t="shared" si="86"/>
        <v>25.611153022386461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70">
        <f t="shared" si="56"/>
        <v>502.26358484732305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249.51887999999971</v>
      </c>
      <c r="P111" s="14">
        <f t="shared" si="87"/>
        <v>60.482904697997853</v>
      </c>
      <c r="Q111" s="22">
        <f t="shared" si="107"/>
        <v>539.91977501567897</v>
      </c>
      <c r="R111" s="62">
        <f t="shared" si="55"/>
        <v>833.25310834901234</v>
      </c>
      <c r="S111" s="62">
        <f ca="1">AVERAGE(OFFSET($R$3,0,0,'Données projet'!$E$9+1,1))-AVERAGE(OFFSET($H$3,0,0,'Données projet'!$E$9+1,1))</f>
        <v>223.49015613166239</v>
      </c>
      <c r="T111" s="62">
        <f t="shared" si="88"/>
        <v>136.15898308259307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97.899731390293653</v>
      </c>
      <c r="AO111" s="62">
        <f t="shared" si="90"/>
        <v>310.21833995692549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13.280517225546754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3.2884108150660154E-13</v>
      </c>
      <c r="AX111" s="23">
        <f t="shared" si="60"/>
        <v>13.280517225547083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2.7666828827932479E-13</v>
      </c>
      <c r="BF111" s="14">
        <f t="shared" si="91"/>
        <v>3.6920483163466686E-12</v>
      </c>
      <c r="BG111" s="22">
        <f t="shared" si="61"/>
        <v>6.9121814197236049E-12</v>
      </c>
      <c r="BH111" s="62">
        <f t="shared" si="62"/>
        <v>293.33333333334025</v>
      </c>
      <c r="BI111" s="62">
        <f ca="1">AVERAGE(OFFSET($BH$3,0,0,'Données projet'!$E$11+1,1))-AVERAGE(OFFSET($H$3,0,0,'Données projet'!$E$11+1,1))</f>
        <v>209.0958230411249</v>
      </c>
      <c r="BJ111" s="62">
        <f t="shared" si="92"/>
        <v>250.34919671671565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3.6357050703372803E-14</v>
      </c>
      <c r="CA111" s="14">
        <f t="shared" si="93"/>
        <v>6.1445232567661395E-13</v>
      </c>
      <c r="CB111" s="22">
        <f t="shared" si="64"/>
        <v>1.1334929971951436E-12</v>
      </c>
      <c r="CC111" s="62">
        <f t="shared" si="65"/>
        <v>293.33333333333445</v>
      </c>
      <c r="CD111" s="62">
        <f ca="1">AVERAGE(OFFSET($CC$3,0,0,'Données projet'!$E$12+1,1))-AVERAGE(OFFSET($H$3,0,0,'Données projet'!$E$12+1,1))</f>
        <v>152.52712777621315</v>
      </c>
      <c r="CE111" s="62">
        <f t="shared" si="94"/>
        <v>145.25423263217925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2.2737367544323206E-13</v>
      </c>
      <c r="CU111" s="18">
        <f>CT111*VLOOKUP('Données projet'!$B$13,Paramètres!$A$1:$I$89,3,0)*VLOOKUP('Données projet'!$B$13,Paramètres!$A$1:$I$89,5,0)</f>
        <v>1.4897523215040565E-13</v>
      </c>
      <c r="CV111" s="14">
        <f t="shared" si="95"/>
        <v>2.136562777003313E-12</v>
      </c>
      <c r="CW111" s="22">
        <f t="shared" si="67"/>
        <v>3.9806453659427267E-12</v>
      </c>
      <c r="CX111" s="62">
        <f t="shared" si="68"/>
        <v>293.33333333333729</v>
      </c>
      <c r="CY111" s="62">
        <f ca="1">AVERAGE(OFFSET($CX$3,0,0,'Données projet'!$E$13+1,1))-AVERAGE(OFFSET($H$3,0,0,'Données projet'!$E$13+1,1))</f>
        <v>158.23848664370132</v>
      </c>
      <c r="CZ111" s="62">
        <f t="shared" si="96"/>
        <v>172.92355799729972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2">
        <f t="shared" si="86"/>
        <v>25.820577666484969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70">
        <f t="shared" si="56"/>
        <v>504.1498527691279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253.22543999999971</v>
      </c>
      <c r="P112" s="14">
        <f t="shared" si="87"/>
        <v>61.276104137439418</v>
      </c>
      <c r="Q112" s="22">
        <f t="shared" si="107"/>
        <v>547.75685603937313</v>
      </c>
      <c r="R112" s="62">
        <f t="shared" si="55"/>
        <v>841.09018937270639</v>
      </c>
      <c r="S112" s="62">
        <f ca="1">AVERAGE(OFFSET($R$3,0,0,'Données projet'!$E$9+1,1))-AVERAGE(OFFSET($H$3,0,0,'Données projet'!$E$9+1,1))</f>
        <v>223.49015613166239</v>
      </c>
      <c r="T112" s="62">
        <f t="shared" si="88"/>
        <v>136.15898308259307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97.899731390293653</v>
      </c>
      <c r="AO112" s="62">
        <f t="shared" si="90"/>
        <v>310.21833995692549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13.02009438306945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2.3252575866603613E-13</v>
      </c>
      <c r="AX112" s="23">
        <f t="shared" si="60"/>
        <v>13.020094383069683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2.7666828827932479E-13</v>
      </c>
      <c r="BF112" s="14">
        <f t="shared" si="91"/>
        <v>3.6920483163466686E-12</v>
      </c>
      <c r="BG112" s="22">
        <f t="shared" si="61"/>
        <v>6.9121814197236049E-12</v>
      </c>
      <c r="BH112" s="62">
        <f t="shared" si="62"/>
        <v>293.33333333334025</v>
      </c>
      <c r="BI112" s="62">
        <f ca="1">AVERAGE(OFFSET($BH$3,0,0,'Données projet'!$E$11+1,1))-AVERAGE(OFFSET($H$3,0,0,'Données projet'!$E$11+1,1))</f>
        <v>209.0958230411249</v>
      </c>
      <c r="BJ112" s="62">
        <f t="shared" si="92"/>
        <v>250.34919671671565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3.6357050703372803E-14</v>
      </c>
      <c r="CA112" s="14">
        <f t="shared" si="93"/>
        <v>6.1445232567661395E-13</v>
      </c>
      <c r="CB112" s="22">
        <f t="shared" si="64"/>
        <v>1.1334929971951436E-12</v>
      </c>
      <c r="CC112" s="62">
        <f t="shared" si="65"/>
        <v>293.33333333333445</v>
      </c>
      <c r="CD112" s="62">
        <f ca="1">AVERAGE(OFFSET($CC$3,0,0,'Données projet'!$E$12+1,1))-AVERAGE(OFFSET($H$3,0,0,'Données projet'!$E$12+1,1))</f>
        <v>152.52712777621315</v>
      </c>
      <c r="CE112" s="62">
        <f t="shared" si="94"/>
        <v>145.25423263217925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2.2737367544323206E-13</v>
      </c>
      <c r="CU112" s="18">
        <f>CT112*VLOOKUP('Données projet'!$B$13,Paramètres!$A$1:$I$89,3,0)*VLOOKUP('Données projet'!$B$13,Paramètres!$A$1:$I$89,5,0)</f>
        <v>1.4897523215040565E-13</v>
      </c>
      <c r="CV112" s="14">
        <f t="shared" si="95"/>
        <v>2.136562777003313E-12</v>
      </c>
      <c r="CW112" s="22">
        <f t="shared" si="67"/>
        <v>3.9806453659427267E-12</v>
      </c>
      <c r="CX112" s="62">
        <f t="shared" si="68"/>
        <v>293.33333333333729</v>
      </c>
      <c r="CY112" s="62">
        <f ca="1">AVERAGE(OFFSET($CX$3,0,0,'Données projet'!$E$13+1,1))-AVERAGE(OFFSET($H$3,0,0,'Données projet'!$E$13+1,1))</f>
        <v>158.23848664370132</v>
      </c>
      <c r="CZ112" s="62">
        <f t="shared" si="96"/>
        <v>172.92355799729972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2">
        <f t="shared" si="86"/>
        <v>26.029778784173352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70">
        <f t="shared" si="56"/>
        <v>506.03573138243519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256.93199999999968</v>
      </c>
      <c r="P113" s="14">
        <f t="shared" si="87"/>
        <v>62.0679532293465</v>
      </c>
      <c r="Q113" s="22">
        <f t="shared" si="107"/>
        <v>555.59158520777794</v>
      </c>
      <c r="R113" s="62">
        <f t="shared" si="55"/>
        <v>848.92491854111131</v>
      </c>
      <c r="S113" s="62">
        <f ca="1">AVERAGE(OFFSET($R$3,0,0,'Données projet'!$E$9+1,1))-AVERAGE(OFFSET($H$3,0,0,'Données projet'!$E$9+1,1))</f>
        <v>223.49015613166239</v>
      </c>
      <c r="T113" s="62">
        <f t="shared" si="88"/>
        <v>136.15898308259307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97.899731390293653</v>
      </c>
      <c r="AO113" s="62">
        <f t="shared" si="90"/>
        <v>310.21833995692549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12.764778273690876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1.6442054075330077E-13</v>
      </c>
      <c r="AX113" s="23">
        <f t="shared" si="60"/>
        <v>12.764778273691041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2.7666828827932479E-13</v>
      </c>
      <c r="BF113" s="14">
        <f t="shared" si="91"/>
        <v>3.6920483163466686E-12</v>
      </c>
      <c r="BG113" s="22">
        <f t="shared" si="61"/>
        <v>6.9121814197236049E-12</v>
      </c>
      <c r="BH113" s="62">
        <f t="shared" si="62"/>
        <v>293.33333333334025</v>
      </c>
      <c r="BI113" s="62">
        <f ca="1">AVERAGE(OFFSET($BH$3,0,0,'Données projet'!$E$11+1,1))-AVERAGE(OFFSET($H$3,0,0,'Données projet'!$E$11+1,1))</f>
        <v>209.0958230411249</v>
      </c>
      <c r="BJ113" s="62">
        <f t="shared" si="92"/>
        <v>250.34919671671565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3.6357050703372803E-14</v>
      </c>
      <c r="CA113" s="14">
        <f t="shared" si="93"/>
        <v>6.1445232567661395E-13</v>
      </c>
      <c r="CB113" s="22">
        <f t="shared" si="64"/>
        <v>1.1334929971951436E-12</v>
      </c>
      <c r="CC113" s="62">
        <f t="shared" si="65"/>
        <v>293.33333333333445</v>
      </c>
      <c r="CD113" s="62">
        <f ca="1">AVERAGE(OFFSET($CC$3,0,0,'Données projet'!$E$12+1,1))-AVERAGE(OFFSET($H$3,0,0,'Données projet'!$E$12+1,1))</f>
        <v>152.52712777621315</v>
      </c>
      <c r="CE113" s="62">
        <f t="shared" si="94"/>
        <v>145.25423263217925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2.2737367544323206E-13</v>
      </c>
      <c r="CU113" s="18">
        <f>CT113*VLOOKUP('Données projet'!$B$13,Paramètres!$A$1:$I$89,3,0)*VLOOKUP('Données projet'!$B$13,Paramètres!$A$1:$I$89,5,0)</f>
        <v>1.4897523215040565E-13</v>
      </c>
      <c r="CV113" s="14">
        <f t="shared" si="95"/>
        <v>2.136562777003313E-12</v>
      </c>
      <c r="CW113" s="22">
        <f t="shared" si="67"/>
        <v>3.9806453659427267E-12</v>
      </c>
      <c r="CX113" s="62">
        <f t="shared" si="68"/>
        <v>293.33333333333729</v>
      </c>
      <c r="CY113" s="62">
        <f ca="1">AVERAGE(OFFSET($CX$3,0,0,'Données projet'!$E$13+1,1))-AVERAGE(OFFSET($H$3,0,0,'Données projet'!$E$13+1,1))</f>
        <v>158.23848664370132</v>
      </c>
      <c r="CZ113" s="62">
        <f t="shared" si="96"/>
        <v>172.92355799729972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2">
        <f t="shared" si="86"/>
        <v>26.238758642904312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70">
        <f t="shared" si="56"/>
        <v>507.92122463639157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227.19527999999966</v>
      </c>
      <c r="P114" s="14">
        <f t="shared" si="87"/>
        <v>55.675803122401177</v>
      </c>
      <c r="Q114" s="22">
        <f t="shared" si="107"/>
        <v>492.66713643818139</v>
      </c>
      <c r="R114" s="62">
        <f t="shared" si="55"/>
        <v>786.00046977151464</v>
      </c>
      <c r="S114" s="62">
        <f ca="1">AVERAGE(OFFSET($R$3,0,0,'Données projet'!$E$9+1,1))-AVERAGE(OFFSET($H$3,0,0,'Données projet'!$E$9+1,1))</f>
        <v>223.49015613166239</v>
      </c>
      <c r="T114" s="62">
        <f t="shared" si="88"/>
        <v>136.15898308259307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97.899731390293653</v>
      </c>
      <c r="AO114" s="62">
        <f t="shared" si="90"/>
        <v>310.21833995692549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12.514468757489766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1.1626287933301807E-13</v>
      </c>
      <c r="AX114" s="23">
        <f t="shared" si="60"/>
        <v>12.514468757489881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2.7666828827932479E-13</v>
      </c>
      <c r="BF114" s="14">
        <f t="shared" si="91"/>
        <v>3.6920483163466686E-12</v>
      </c>
      <c r="BG114" s="22">
        <f t="shared" si="61"/>
        <v>6.9121814197236049E-12</v>
      </c>
      <c r="BH114" s="62">
        <f t="shared" si="62"/>
        <v>293.33333333334025</v>
      </c>
      <c r="BI114" s="62">
        <f ca="1">AVERAGE(OFFSET($BH$3,0,0,'Données projet'!$E$11+1,1))-AVERAGE(OFFSET($H$3,0,0,'Données projet'!$E$11+1,1))</f>
        <v>209.0958230411249</v>
      </c>
      <c r="BJ114" s="62">
        <f t="shared" si="92"/>
        <v>250.34919671671565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3.6357050703372803E-14</v>
      </c>
      <c r="CA114" s="14">
        <f t="shared" si="93"/>
        <v>6.1445232567661395E-13</v>
      </c>
      <c r="CB114" s="22">
        <f t="shared" si="64"/>
        <v>1.1334929971951436E-12</v>
      </c>
      <c r="CC114" s="62">
        <f t="shared" si="65"/>
        <v>293.33333333333445</v>
      </c>
      <c r="CD114" s="62">
        <f ca="1">AVERAGE(OFFSET($CC$3,0,0,'Données projet'!$E$12+1,1))-AVERAGE(OFFSET($H$3,0,0,'Données projet'!$E$12+1,1))</f>
        <v>152.52712777621315</v>
      </c>
      <c r="CE114" s="62">
        <f t="shared" si="94"/>
        <v>145.25423263217925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2.2737367544323206E-13</v>
      </c>
      <c r="CU114" s="18">
        <f>CT114*VLOOKUP('Données projet'!$B$13,Paramètres!$A$1:$I$89,3,0)*VLOOKUP('Données projet'!$B$13,Paramètres!$A$1:$I$89,5,0)</f>
        <v>1.4897523215040565E-13</v>
      </c>
      <c r="CV114" s="14">
        <f t="shared" si="95"/>
        <v>2.136562777003313E-12</v>
      </c>
      <c r="CW114" s="22">
        <f t="shared" si="67"/>
        <v>3.9806453659427267E-12</v>
      </c>
      <c r="CX114" s="62">
        <f t="shared" si="68"/>
        <v>293.33333333333729</v>
      </c>
      <c r="CY114" s="62">
        <f ca="1">AVERAGE(OFFSET($CX$3,0,0,'Données projet'!$E$13+1,1))-AVERAGE(OFFSET($H$3,0,0,'Données projet'!$E$13+1,1))</f>
        <v>158.23848664370132</v>
      </c>
      <c r="CZ114" s="62">
        <f t="shared" si="96"/>
        <v>172.92355799729972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2">
        <f t="shared" si="86"/>
        <v>26.447519466918756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70">
        <f t="shared" si="56"/>
        <v>509.80633640488338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230.31215999999969</v>
      </c>
      <c r="P115" s="14">
        <f t="shared" si="87"/>
        <v>56.350172492598332</v>
      </c>
      <c r="Q115" s="22">
        <f t="shared" si="107"/>
        <v>499.27022909127487</v>
      </c>
      <c r="R115" s="62">
        <f t="shared" si="55"/>
        <v>792.60356242460819</v>
      </c>
      <c r="S115" s="62">
        <f ca="1">AVERAGE(OFFSET($R$3,0,0,'Données projet'!$E$9+1,1))-AVERAGE(OFFSET($H$3,0,0,'Données projet'!$E$9+1,1))</f>
        <v>223.49015613166239</v>
      </c>
      <c r="T115" s="62">
        <f t="shared" si="88"/>
        <v>136.15898308259307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97.899731390293653</v>
      </c>
      <c r="AO115" s="62">
        <f t="shared" si="90"/>
        <v>310.21833995692549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12.26906765822763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8.2210270376650386E-14</v>
      </c>
      <c r="AX115" s="23">
        <f t="shared" si="60"/>
        <v>12.269067658227712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2.7666828827932479E-13</v>
      </c>
      <c r="BF115" s="14">
        <f t="shared" si="91"/>
        <v>3.6920483163466686E-12</v>
      </c>
      <c r="BG115" s="22">
        <f t="shared" si="61"/>
        <v>6.9121814197236049E-12</v>
      </c>
      <c r="BH115" s="62">
        <f t="shared" si="62"/>
        <v>293.33333333334025</v>
      </c>
      <c r="BI115" s="62">
        <f ca="1">AVERAGE(OFFSET($BH$3,0,0,'Données projet'!$E$11+1,1))-AVERAGE(OFFSET($H$3,0,0,'Données projet'!$E$11+1,1))</f>
        <v>209.0958230411249</v>
      </c>
      <c r="BJ115" s="62">
        <f t="shared" si="92"/>
        <v>250.34919671671565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3.6357050703372803E-14</v>
      </c>
      <c r="CA115" s="14">
        <f t="shared" si="93"/>
        <v>6.1445232567661395E-13</v>
      </c>
      <c r="CB115" s="22">
        <f t="shared" si="64"/>
        <v>1.1334929971951436E-12</v>
      </c>
      <c r="CC115" s="62">
        <f t="shared" si="65"/>
        <v>293.33333333333445</v>
      </c>
      <c r="CD115" s="62">
        <f ca="1">AVERAGE(OFFSET($CC$3,0,0,'Données projet'!$E$12+1,1))-AVERAGE(OFFSET($H$3,0,0,'Données projet'!$E$12+1,1))</f>
        <v>152.52712777621315</v>
      </c>
      <c r="CE115" s="62">
        <f t="shared" si="94"/>
        <v>145.25423263217925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2.2737367544323206E-13</v>
      </c>
      <c r="CU115" s="18">
        <f>CT115*VLOOKUP('Données projet'!$B$13,Paramètres!$A$1:$I$89,3,0)*VLOOKUP('Données projet'!$B$13,Paramètres!$A$1:$I$89,5,0)</f>
        <v>1.4897523215040565E-13</v>
      </c>
      <c r="CV115" s="14">
        <f t="shared" si="95"/>
        <v>2.136562777003313E-12</v>
      </c>
      <c r="CW115" s="22">
        <f t="shared" si="67"/>
        <v>3.9806453659427267E-12</v>
      </c>
      <c r="CX115" s="62">
        <f t="shared" si="68"/>
        <v>293.33333333333729</v>
      </c>
      <c r="CY115" s="62">
        <f ca="1">AVERAGE(OFFSET($CX$3,0,0,'Données projet'!$E$13+1,1))-AVERAGE(OFFSET($H$3,0,0,'Données projet'!$E$13+1,1))</f>
        <v>158.23848664370132</v>
      </c>
      <c r="CZ115" s="62">
        <f t="shared" si="96"/>
        <v>172.92355799729972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2">
        <f t="shared" si="86"/>
        <v>26.656063438447475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70">
        <f t="shared" si="56"/>
        <v>511.69107048862929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233.42903999999967</v>
      </c>
      <c r="P116" s="14">
        <f t="shared" si="87"/>
        <v>57.023480348060083</v>
      </c>
      <c r="Q116" s="22">
        <f t="shared" si="107"/>
        <v>505.87147293953734</v>
      </c>
      <c r="R116" s="62">
        <f t="shared" si="55"/>
        <v>799.20480627287066</v>
      </c>
      <c r="S116" s="62">
        <f ca="1">AVERAGE(OFFSET($R$3,0,0,'Données projet'!$E$9+1,1))-AVERAGE(OFFSET($H$3,0,0,'Données projet'!$E$9+1,1))</f>
        <v>223.49015613166239</v>
      </c>
      <c r="T116" s="62">
        <f t="shared" si="88"/>
        <v>136.15898308259307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97.899731390293653</v>
      </c>
      <c r="AO116" s="62">
        <f t="shared" si="90"/>
        <v>310.21833995692549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12.028478724842135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5.8131439666509034E-14</v>
      </c>
      <c r="AX116" s="23">
        <f t="shared" si="60"/>
        <v>12.028478724842193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2.7666828827932479E-13</v>
      </c>
      <c r="BF116" s="14">
        <f t="shared" si="91"/>
        <v>3.6920483163466686E-12</v>
      </c>
      <c r="BG116" s="22">
        <f t="shared" si="61"/>
        <v>6.9121814197236049E-12</v>
      </c>
      <c r="BH116" s="62">
        <f t="shared" si="62"/>
        <v>293.33333333334025</v>
      </c>
      <c r="BI116" s="62">
        <f ca="1">AVERAGE(OFFSET($BH$3,0,0,'Données projet'!$E$11+1,1))-AVERAGE(OFFSET($H$3,0,0,'Données projet'!$E$11+1,1))</f>
        <v>209.0958230411249</v>
      </c>
      <c r="BJ116" s="62">
        <f t="shared" si="92"/>
        <v>250.34919671671565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3.6357050703372803E-14</v>
      </c>
      <c r="CA116" s="14">
        <f t="shared" si="93"/>
        <v>6.1445232567661395E-13</v>
      </c>
      <c r="CB116" s="22">
        <f t="shared" si="64"/>
        <v>1.1334929971951436E-12</v>
      </c>
      <c r="CC116" s="62">
        <f t="shared" si="65"/>
        <v>293.33333333333445</v>
      </c>
      <c r="CD116" s="62">
        <f ca="1">AVERAGE(OFFSET($CC$3,0,0,'Données projet'!$E$12+1,1))-AVERAGE(OFFSET($H$3,0,0,'Données projet'!$E$12+1,1))</f>
        <v>152.52712777621315</v>
      </c>
      <c r="CE116" s="62">
        <f t="shared" si="94"/>
        <v>145.25423263217925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2.2737367544323206E-13</v>
      </c>
      <c r="CU116" s="18">
        <f>CT116*VLOOKUP('Données projet'!$B$13,Paramètres!$A$1:$I$89,3,0)*VLOOKUP('Données projet'!$B$13,Paramètres!$A$1:$I$89,5,0)</f>
        <v>1.4897523215040565E-13</v>
      </c>
      <c r="CV116" s="14">
        <f t="shared" si="95"/>
        <v>2.136562777003313E-12</v>
      </c>
      <c r="CW116" s="22">
        <f t="shared" si="67"/>
        <v>3.9806453659427267E-12</v>
      </c>
      <c r="CX116" s="62">
        <f t="shared" si="68"/>
        <v>293.33333333333729</v>
      </c>
      <c r="CY116" s="62">
        <f ca="1">AVERAGE(OFFSET($CX$3,0,0,'Données projet'!$E$13+1,1))-AVERAGE(OFFSET($H$3,0,0,'Données projet'!$E$13+1,1))</f>
        <v>158.23848664370132</v>
      </c>
      <c r="CZ116" s="62">
        <f t="shared" si="96"/>
        <v>172.92355799729972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2">
        <f t="shared" si="86"/>
        <v>26.864392698869324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70">
        <f t="shared" si="56"/>
        <v>513.5754306171973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236.54591999999965</v>
      </c>
      <c r="P117" s="14">
        <f t="shared" si="87"/>
        <v>57.695742501250976</v>
      </c>
      <c r="Q117" s="22">
        <f t="shared" si="107"/>
        <v>512.47089552301156</v>
      </c>
      <c r="R117" s="62">
        <f t="shared" si="55"/>
        <v>805.80422885634493</v>
      </c>
      <c r="S117" s="62">
        <f ca="1">AVERAGE(OFFSET($R$3,0,0,'Données projet'!$E$9+1,1))-AVERAGE(OFFSET($H$3,0,0,'Données projet'!$E$9+1,1))</f>
        <v>223.49015613166239</v>
      </c>
      <c r="T117" s="62">
        <f t="shared" si="88"/>
        <v>136.15898308259307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97.899731390293653</v>
      </c>
      <c r="AO117" s="62">
        <f t="shared" si="90"/>
        <v>310.21833995692549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11.792607593695569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4.1105135188325193E-14</v>
      </c>
      <c r="AX117" s="23">
        <f t="shared" si="60"/>
        <v>11.79260759369561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2.7666828827932479E-13</v>
      </c>
      <c r="BF117" s="14">
        <f t="shared" si="91"/>
        <v>3.6920483163466686E-12</v>
      </c>
      <c r="BG117" s="22">
        <f t="shared" si="61"/>
        <v>6.9121814197236049E-12</v>
      </c>
      <c r="BH117" s="62">
        <f t="shared" si="62"/>
        <v>293.33333333334025</v>
      </c>
      <c r="BI117" s="62">
        <f ca="1">AVERAGE(OFFSET($BH$3,0,0,'Données projet'!$E$11+1,1))-AVERAGE(OFFSET($H$3,0,0,'Données projet'!$E$11+1,1))</f>
        <v>209.0958230411249</v>
      </c>
      <c r="BJ117" s="62">
        <f t="shared" si="92"/>
        <v>250.34919671671565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3.6357050703372803E-14</v>
      </c>
      <c r="CA117" s="14">
        <f t="shared" si="93"/>
        <v>6.1445232567661395E-13</v>
      </c>
      <c r="CB117" s="22">
        <f t="shared" si="64"/>
        <v>1.1334929971951436E-12</v>
      </c>
      <c r="CC117" s="62">
        <f t="shared" si="65"/>
        <v>293.33333333333445</v>
      </c>
      <c r="CD117" s="62">
        <f ca="1">AVERAGE(OFFSET($CC$3,0,0,'Données projet'!$E$12+1,1))-AVERAGE(OFFSET($H$3,0,0,'Données projet'!$E$12+1,1))</f>
        <v>152.52712777621315</v>
      </c>
      <c r="CE117" s="62">
        <f t="shared" si="94"/>
        <v>145.25423263217925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2.2737367544323206E-13</v>
      </c>
      <c r="CU117" s="18">
        <f>CT117*VLOOKUP('Données projet'!$B$13,Paramètres!$A$1:$I$89,3,0)*VLOOKUP('Données projet'!$B$13,Paramètres!$A$1:$I$89,5,0)</f>
        <v>1.4897523215040565E-13</v>
      </c>
      <c r="CV117" s="14">
        <f t="shared" si="95"/>
        <v>2.136562777003313E-12</v>
      </c>
      <c r="CW117" s="22">
        <f t="shared" si="67"/>
        <v>3.9806453659427267E-12</v>
      </c>
      <c r="CX117" s="62">
        <f t="shared" si="68"/>
        <v>293.33333333333729</v>
      </c>
      <c r="CY117" s="62">
        <f ca="1">AVERAGE(OFFSET($CX$3,0,0,'Données projet'!$E$13+1,1))-AVERAGE(OFFSET($H$3,0,0,'Données projet'!$E$13+1,1))</f>
        <v>158.23848664370132</v>
      </c>
      <c r="CZ117" s="62">
        <f t="shared" si="96"/>
        <v>172.92355799729972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2">
        <f t="shared" si="86"/>
        <v>27.072509349827456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70">
        <f t="shared" si="56"/>
        <v>515.45942045094944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239.66279999999963</v>
      </c>
      <c r="P118" s="14">
        <f t="shared" si="87"/>
        <v>58.366974323972691</v>
      </c>
      <c r="Q118" s="22">
        <f t="shared" si="107"/>
        <v>519.06852361425183</v>
      </c>
      <c r="R118" s="62">
        <f t="shared" si="55"/>
        <v>812.4018569475852</v>
      </c>
      <c r="S118" s="62">
        <f ca="1">AVERAGE(OFFSET($R$3,0,0,'Données projet'!$E$9+1,1))-AVERAGE(OFFSET($H$3,0,0,'Données projet'!$E$9+1,1))</f>
        <v>223.49015613166239</v>
      </c>
      <c r="T118" s="62">
        <f t="shared" si="88"/>
        <v>136.15898308259307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97.899731390293653</v>
      </c>
      <c r="AO118" s="62">
        <f t="shared" si="90"/>
        <v>310.21833995692549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11.561361751563604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2.9065719833254517E-14</v>
      </c>
      <c r="AX118" s="23">
        <f t="shared" si="60"/>
        <v>11.561361751563632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2.7666828827932479E-13</v>
      </c>
      <c r="BF118" s="14">
        <f t="shared" si="91"/>
        <v>3.6920483163466686E-12</v>
      </c>
      <c r="BG118" s="22">
        <f t="shared" si="61"/>
        <v>6.9121814197236049E-12</v>
      </c>
      <c r="BH118" s="62">
        <f t="shared" si="62"/>
        <v>293.33333333334025</v>
      </c>
      <c r="BI118" s="62">
        <f ca="1">AVERAGE(OFFSET($BH$3,0,0,'Données projet'!$E$11+1,1))-AVERAGE(OFFSET($H$3,0,0,'Données projet'!$E$11+1,1))</f>
        <v>209.0958230411249</v>
      </c>
      <c r="BJ118" s="62">
        <f t="shared" si="92"/>
        <v>250.34919671671565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3.6357050703372803E-14</v>
      </c>
      <c r="CA118" s="14">
        <f t="shared" si="93"/>
        <v>6.1445232567661395E-13</v>
      </c>
      <c r="CB118" s="22">
        <f t="shared" si="64"/>
        <v>1.1334929971951436E-12</v>
      </c>
      <c r="CC118" s="62">
        <f t="shared" si="65"/>
        <v>293.33333333333445</v>
      </c>
      <c r="CD118" s="62">
        <f ca="1">AVERAGE(OFFSET($CC$3,0,0,'Données projet'!$E$12+1,1))-AVERAGE(OFFSET($H$3,0,0,'Données projet'!$E$12+1,1))</f>
        <v>152.52712777621315</v>
      </c>
      <c r="CE118" s="62">
        <f t="shared" si="94"/>
        <v>145.25423263217925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2.2737367544323206E-13</v>
      </c>
      <c r="CU118" s="18">
        <f>CT118*VLOOKUP('Données projet'!$B$13,Paramètres!$A$1:$I$89,3,0)*VLOOKUP('Données projet'!$B$13,Paramètres!$A$1:$I$89,5,0)</f>
        <v>1.4897523215040565E-13</v>
      </c>
      <c r="CV118" s="14">
        <f t="shared" si="95"/>
        <v>2.136562777003313E-12</v>
      </c>
      <c r="CW118" s="22">
        <f t="shared" si="67"/>
        <v>3.9806453659427267E-12</v>
      </c>
      <c r="CX118" s="62">
        <f t="shared" si="68"/>
        <v>293.33333333333729</v>
      </c>
      <c r="CY118" s="62">
        <f ca="1">AVERAGE(OFFSET($CX$3,0,0,'Données projet'!$E$13+1,1))-AVERAGE(OFFSET($H$3,0,0,'Données projet'!$E$13+1,1))</f>
        <v>158.23848664370132</v>
      </c>
      <c r="CZ118" s="62">
        <f t="shared" si="96"/>
        <v>172.92355799729972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2">
        <f t="shared" si="86"/>
        <v>27.28041545430554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70">
        <f t="shared" si="56"/>
        <v>517.34304358291536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242.77967999999964</v>
      </c>
      <c r="P119" s="14">
        <f t="shared" si="87"/>
        <v>59.037190765212706</v>
      </c>
      <c r="Q119" s="22">
        <f t="shared" si="107"/>
        <v>525.66438324941146</v>
      </c>
      <c r="R119" s="62">
        <f t="shared" si="55"/>
        <v>818.99771658274472</v>
      </c>
      <c r="S119" s="62">
        <f ca="1">AVERAGE(OFFSET($R$3,0,0,'Données projet'!$E$9+1,1))-AVERAGE(OFFSET($H$3,0,0,'Données projet'!$E$9+1,1))</f>
        <v>223.49015613166239</v>
      </c>
      <c r="T119" s="62">
        <f t="shared" si="88"/>
        <v>136.15898308259307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97.899731390293653</v>
      </c>
      <c r="AO119" s="62">
        <f t="shared" si="90"/>
        <v>310.21833995692549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11.334650499349809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2.0552567594162596E-14</v>
      </c>
      <c r="AX119" s="23">
        <f t="shared" si="60"/>
        <v>11.334650499349831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2.7666828827932479E-13</v>
      </c>
      <c r="BF119" s="14">
        <f t="shared" si="91"/>
        <v>3.6920483163466686E-12</v>
      </c>
      <c r="BG119" s="22">
        <f t="shared" si="61"/>
        <v>6.9121814197236049E-12</v>
      </c>
      <c r="BH119" s="62">
        <f t="shared" si="62"/>
        <v>293.33333333334025</v>
      </c>
      <c r="BI119" s="62">
        <f ca="1">AVERAGE(OFFSET($BH$3,0,0,'Données projet'!$E$11+1,1))-AVERAGE(OFFSET($H$3,0,0,'Données projet'!$E$11+1,1))</f>
        <v>209.0958230411249</v>
      </c>
      <c r="BJ119" s="62">
        <f t="shared" si="92"/>
        <v>250.34919671671565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3.6357050703372803E-14</v>
      </c>
      <c r="CA119" s="14">
        <f t="shared" si="93"/>
        <v>6.1445232567661395E-13</v>
      </c>
      <c r="CB119" s="22">
        <f t="shared" si="64"/>
        <v>1.1334929971951436E-12</v>
      </c>
      <c r="CC119" s="62">
        <f t="shared" si="65"/>
        <v>293.33333333333445</v>
      </c>
      <c r="CD119" s="62">
        <f ca="1">AVERAGE(OFFSET($CC$3,0,0,'Données projet'!$E$12+1,1))-AVERAGE(OFFSET($H$3,0,0,'Données projet'!$E$12+1,1))</f>
        <v>152.52712777621315</v>
      </c>
      <c r="CE119" s="62">
        <f t="shared" si="94"/>
        <v>145.25423263217925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2.2737367544323206E-13</v>
      </c>
      <c r="CU119" s="18">
        <f>CT119*VLOOKUP('Données projet'!$B$13,Paramètres!$A$1:$I$89,3,0)*VLOOKUP('Données projet'!$B$13,Paramètres!$A$1:$I$89,5,0)</f>
        <v>1.4897523215040565E-13</v>
      </c>
      <c r="CV119" s="14">
        <f t="shared" si="95"/>
        <v>2.136562777003313E-12</v>
      </c>
      <c r="CW119" s="22">
        <f t="shared" si="67"/>
        <v>3.9806453659427267E-12</v>
      </c>
      <c r="CX119" s="62">
        <f t="shared" si="68"/>
        <v>293.33333333333729</v>
      </c>
      <c r="CY119" s="62">
        <f ca="1">AVERAGE(OFFSET($CX$3,0,0,'Données projet'!$E$13+1,1))-AVERAGE(OFFSET($H$3,0,0,'Données projet'!$E$13+1,1))</f>
        <v>158.23848664370132</v>
      </c>
      <c r="CZ119" s="62">
        <f t="shared" si="96"/>
        <v>172.92355799729972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2">
        <f t="shared" si="86"/>
        <v>27.488113037666018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70">
        <f t="shared" si="56"/>
        <v>519.22630354060152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245.89655999999962</v>
      </c>
      <c r="P120" s="14">
        <f t="shared" si="87"/>
        <v>59.706406368049571</v>
      </c>
      <c r="Q120" s="22">
        <f t="shared" si="107"/>
        <v>532.25849975768563</v>
      </c>
      <c r="R120" s="62">
        <f t="shared" si="55"/>
        <v>825.591833091019</v>
      </c>
      <c r="S120" s="62">
        <f ca="1">AVERAGE(OFFSET($R$3,0,0,'Données projet'!$E$9+1,1))-AVERAGE(OFFSET($H$3,0,0,'Données projet'!$E$9+1,1))</f>
        <v>223.49015613166239</v>
      </c>
      <c r="T120" s="62">
        <f t="shared" si="88"/>
        <v>136.15898308259307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97.899731390293653</v>
      </c>
      <c r="AO120" s="62">
        <f t="shared" si="90"/>
        <v>310.21833995692549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11.112384916511717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1.4532859916627258E-14</v>
      </c>
      <c r="AX120" s="23">
        <f t="shared" si="60"/>
        <v>11.112384916511731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2.7666828827932479E-13</v>
      </c>
      <c r="BF120" s="14">
        <f t="shared" si="91"/>
        <v>3.6920483163466686E-12</v>
      </c>
      <c r="BG120" s="22">
        <f t="shared" si="61"/>
        <v>6.9121814197236049E-12</v>
      </c>
      <c r="BH120" s="62">
        <f t="shared" si="62"/>
        <v>293.33333333334025</v>
      </c>
      <c r="BI120" s="62">
        <f ca="1">AVERAGE(OFFSET($BH$3,0,0,'Données projet'!$E$11+1,1))-AVERAGE(OFFSET($H$3,0,0,'Données projet'!$E$11+1,1))</f>
        <v>209.0958230411249</v>
      </c>
      <c r="BJ120" s="62">
        <f t="shared" si="92"/>
        <v>250.34919671671565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3.6357050703372803E-14</v>
      </c>
      <c r="CA120" s="14">
        <f t="shared" si="93"/>
        <v>6.1445232567661395E-13</v>
      </c>
      <c r="CB120" s="22">
        <f t="shared" si="64"/>
        <v>1.1334929971951436E-12</v>
      </c>
      <c r="CC120" s="62">
        <f t="shared" si="65"/>
        <v>293.33333333333445</v>
      </c>
      <c r="CD120" s="62">
        <f ca="1">AVERAGE(OFFSET($CC$3,0,0,'Données projet'!$E$12+1,1))-AVERAGE(OFFSET($H$3,0,0,'Données projet'!$E$12+1,1))</f>
        <v>152.52712777621315</v>
      </c>
      <c r="CE120" s="62">
        <f t="shared" si="94"/>
        <v>145.25423263217925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2.2737367544323206E-13</v>
      </c>
      <c r="CU120" s="18">
        <f>CT120*VLOOKUP('Données projet'!$B$13,Paramètres!$A$1:$I$89,3,0)*VLOOKUP('Données projet'!$B$13,Paramètres!$A$1:$I$89,5,0)</f>
        <v>1.4897523215040565E-13</v>
      </c>
      <c r="CV120" s="14">
        <f t="shared" si="95"/>
        <v>2.136562777003313E-12</v>
      </c>
      <c r="CW120" s="22">
        <f t="shared" si="67"/>
        <v>3.9806453659427267E-12</v>
      </c>
      <c r="CX120" s="62">
        <f t="shared" si="68"/>
        <v>293.33333333333729</v>
      </c>
      <c r="CY120" s="62">
        <f ca="1">AVERAGE(OFFSET($CX$3,0,0,'Données projet'!$E$13+1,1))-AVERAGE(OFFSET($H$3,0,0,'Données projet'!$E$13+1,1))</f>
        <v>158.23848664370132</v>
      </c>
      <c r="CZ120" s="62">
        <f t="shared" si="96"/>
        <v>172.92355799729972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2">
        <f t="shared" si="86"/>
        <v>27.69560408865161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70">
        <f t="shared" si="56"/>
        <v>521.10920378773471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249.0134399999996</v>
      </c>
      <c r="P121" s="14">
        <f t="shared" si="87"/>
        <v>60.374635285677471</v>
      </c>
      <c r="Q121" s="22">
        <f t="shared" si="107"/>
        <v>538.85089778922088</v>
      </c>
      <c r="R121" s="62">
        <f t="shared" si="55"/>
        <v>832.18423112255414</v>
      </c>
      <c r="S121" s="62">
        <f ca="1">AVERAGE(OFFSET($R$3,0,0,'Données projet'!$E$9+1,1))-AVERAGE(OFFSET($H$3,0,0,'Données projet'!$E$9+1,1))</f>
        <v>223.49015613166239</v>
      </c>
      <c r="T121" s="62">
        <f t="shared" si="88"/>
        <v>136.15898308259307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97.899731390293653</v>
      </c>
      <c r="AO121" s="62">
        <f t="shared" si="90"/>
        <v>310.21833995692549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10.89447782618446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1.0276283797081298E-14</v>
      </c>
      <c r="AX121" s="23">
        <f t="shared" si="60"/>
        <v>10.89447782618447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2.7666828827932479E-13</v>
      </c>
      <c r="BF121" s="14">
        <f t="shared" si="91"/>
        <v>3.6920483163466686E-12</v>
      </c>
      <c r="BG121" s="22">
        <f t="shared" si="61"/>
        <v>6.9121814197236049E-12</v>
      </c>
      <c r="BH121" s="62">
        <f t="shared" si="62"/>
        <v>293.33333333334025</v>
      </c>
      <c r="BI121" s="62">
        <f ca="1">AVERAGE(OFFSET($BH$3,0,0,'Données projet'!$E$11+1,1))-AVERAGE(OFFSET($H$3,0,0,'Données projet'!$E$11+1,1))</f>
        <v>209.0958230411249</v>
      </c>
      <c r="BJ121" s="62">
        <f t="shared" si="92"/>
        <v>250.34919671671565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3.6357050703372803E-14</v>
      </c>
      <c r="CA121" s="14">
        <f t="shared" si="93"/>
        <v>6.1445232567661395E-13</v>
      </c>
      <c r="CB121" s="22">
        <f t="shared" si="64"/>
        <v>1.1334929971951436E-12</v>
      </c>
      <c r="CC121" s="62">
        <f t="shared" si="65"/>
        <v>293.33333333333445</v>
      </c>
      <c r="CD121" s="62">
        <f ca="1">AVERAGE(OFFSET($CC$3,0,0,'Données projet'!$E$12+1,1))-AVERAGE(OFFSET($H$3,0,0,'Données projet'!$E$12+1,1))</f>
        <v>152.52712777621315</v>
      </c>
      <c r="CE121" s="62">
        <f t="shared" si="94"/>
        <v>145.25423263217925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2.2737367544323206E-13</v>
      </c>
      <c r="CU121" s="18">
        <f>CT121*VLOOKUP('Données projet'!$B$13,Paramètres!$A$1:$I$89,3,0)*VLOOKUP('Données projet'!$B$13,Paramètres!$A$1:$I$89,5,0)</f>
        <v>1.4897523215040565E-13</v>
      </c>
      <c r="CV121" s="14">
        <f t="shared" si="95"/>
        <v>2.136562777003313E-12</v>
      </c>
      <c r="CW121" s="22">
        <f t="shared" si="67"/>
        <v>3.9806453659427267E-12</v>
      </c>
      <c r="CX121" s="62">
        <f t="shared" si="68"/>
        <v>293.33333333333729</v>
      </c>
      <c r="CY121" s="62">
        <f ca="1">AVERAGE(OFFSET($CX$3,0,0,'Données projet'!$E$13+1,1))-AVERAGE(OFFSET($H$3,0,0,'Données projet'!$E$13+1,1))</f>
        <v>158.23848664370132</v>
      </c>
      <c r="CZ121" s="62">
        <f t="shared" si="96"/>
        <v>172.92355799729972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2">
        <f t="shared" si="86"/>
        <v>27.902890560352166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70">
        <f t="shared" si="56"/>
        <v>522.99174772594654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252.13031999999959</v>
      </c>
      <c r="P122" s="14">
        <f t="shared" si="87"/>
        <v>61.041891296605009</v>
      </c>
      <c r="Q122" s="22">
        <f t="shared" si="107"/>
        <v>545.44160134158631</v>
      </c>
      <c r="R122" s="62">
        <f t="shared" si="55"/>
        <v>838.77493467491968</v>
      </c>
      <c r="S122" s="62">
        <f ca="1">AVERAGE(OFFSET($R$3,0,0,'Données projet'!$E$9+1,1))-AVERAGE(OFFSET($H$3,0,0,'Données projet'!$E$9+1,1))</f>
        <v>223.49015613166239</v>
      </c>
      <c r="T122" s="62">
        <f t="shared" si="88"/>
        <v>136.15898308259307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97.899731390293653</v>
      </c>
      <c r="AO122" s="62">
        <f t="shared" si="90"/>
        <v>310.21833995692549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10.680843760988319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7.2664299583136292E-15</v>
      </c>
      <c r="AX122" s="23">
        <f t="shared" si="60"/>
        <v>10.680843760988326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2.7666828827932479E-13</v>
      </c>
      <c r="BF122" s="14">
        <f t="shared" si="91"/>
        <v>3.6920483163466686E-12</v>
      </c>
      <c r="BG122" s="22">
        <f t="shared" si="61"/>
        <v>6.9121814197236049E-12</v>
      </c>
      <c r="BH122" s="62">
        <f t="shared" si="62"/>
        <v>293.33333333334025</v>
      </c>
      <c r="BI122" s="62">
        <f ca="1">AVERAGE(OFFSET($BH$3,0,0,'Données projet'!$E$11+1,1))-AVERAGE(OFFSET($H$3,0,0,'Données projet'!$E$11+1,1))</f>
        <v>209.0958230411249</v>
      </c>
      <c r="BJ122" s="62">
        <f t="shared" si="92"/>
        <v>250.34919671671565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3.6357050703372803E-14</v>
      </c>
      <c r="CA122" s="14">
        <f t="shared" si="93"/>
        <v>6.1445232567661395E-13</v>
      </c>
      <c r="CB122" s="22">
        <f t="shared" si="64"/>
        <v>1.1334929971951436E-12</v>
      </c>
      <c r="CC122" s="62">
        <f t="shared" si="65"/>
        <v>293.33333333333445</v>
      </c>
      <c r="CD122" s="62">
        <f ca="1">AVERAGE(OFFSET($CC$3,0,0,'Données projet'!$E$12+1,1))-AVERAGE(OFFSET($H$3,0,0,'Données projet'!$E$12+1,1))</f>
        <v>152.52712777621315</v>
      </c>
      <c r="CE122" s="62">
        <f t="shared" si="94"/>
        <v>145.25423263217925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2.2737367544323206E-13</v>
      </c>
      <c r="CU122" s="18">
        <f>CT122*VLOOKUP('Données projet'!$B$13,Paramètres!$A$1:$I$89,3,0)*VLOOKUP('Données projet'!$B$13,Paramètres!$A$1:$I$89,5,0)</f>
        <v>1.4897523215040565E-13</v>
      </c>
      <c r="CV122" s="14">
        <f t="shared" si="95"/>
        <v>2.136562777003313E-12</v>
      </c>
      <c r="CW122" s="22">
        <f t="shared" si="67"/>
        <v>3.9806453659427267E-12</v>
      </c>
      <c r="CX122" s="62">
        <f t="shared" si="68"/>
        <v>293.33333333333729</v>
      </c>
      <c r="CY122" s="62">
        <f ca="1">AVERAGE(OFFSET($CX$3,0,0,'Données projet'!$E$13+1,1))-AVERAGE(OFFSET($H$3,0,0,'Données projet'!$E$13+1,1))</f>
        <v>158.23848664370132</v>
      </c>
      <c r="CZ122" s="62">
        <f t="shared" si="96"/>
        <v>172.92355799729972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2">
        <f t="shared" si="86"/>
        <v>28.109974371137692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70">
        <f t="shared" si="56"/>
        <v>524.873938696398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255.24719999999957</v>
      </c>
      <c r="P123" s="14">
        <f t="shared" si="87"/>
        <v>61.708187819081161</v>
      </c>
      <c r="Q123" s="22">
        <f t="shared" si="107"/>
        <v>552.0306337848989</v>
      </c>
      <c r="R123" s="62">
        <f t="shared" si="55"/>
        <v>845.36396711823227</v>
      </c>
      <c r="S123" s="62">
        <f ca="1">AVERAGE(OFFSET($R$3,0,0,'Données projet'!$E$9+1,1))-AVERAGE(OFFSET($H$3,0,0,'Données projet'!$E$9+1,1))</f>
        <v>223.49015613166239</v>
      </c>
      <c r="T123" s="62">
        <f t="shared" si="88"/>
        <v>136.15898308259307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97.899731390293653</v>
      </c>
      <c r="AO123" s="62">
        <f t="shared" si="90"/>
        <v>310.21833995692549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10.471398929506762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5.1381418985406491E-15</v>
      </c>
      <c r="AX123" s="23">
        <f t="shared" si="60"/>
        <v>10.471398929506767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2.7666828827932479E-13</v>
      </c>
      <c r="BF123" s="14">
        <f t="shared" si="91"/>
        <v>3.6920483163466686E-12</v>
      </c>
      <c r="BG123" s="22">
        <f t="shared" si="61"/>
        <v>6.9121814197236049E-12</v>
      </c>
      <c r="BH123" s="62">
        <f t="shared" si="62"/>
        <v>293.33333333334025</v>
      </c>
      <c r="BI123" s="62">
        <f ca="1">AVERAGE(OFFSET($BH$3,0,0,'Données projet'!$E$11+1,1))-AVERAGE(OFFSET($H$3,0,0,'Données projet'!$E$11+1,1))</f>
        <v>209.0958230411249</v>
      </c>
      <c r="BJ123" s="62">
        <f t="shared" si="92"/>
        <v>250.34919671671565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3.6357050703372803E-14</v>
      </c>
      <c r="CA123" s="14">
        <f t="shared" si="93"/>
        <v>6.1445232567661395E-13</v>
      </c>
      <c r="CB123" s="22">
        <f t="shared" si="64"/>
        <v>1.1334929971951436E-12</v>
      </c>
      <c r="CC123" s="62">
        <f t="shared" si="65"/>
        <v>293.33333333333445</v>
      </c>
      <c r="CD123" s="62">
        <f ca="1">AVERAGE(OFFSET($CC$3,0,0,'Données projet'!$E$12+1,1))-AVERAGE(OFFSET($H$3,0,0,'Données projet'!$E$12+1,1))</f>
        <v>152.52712777621315</v>
      </c>
      <c r="CE123" s="62">
        <f t="shared" si="94"/>
        <v>145.25423263217925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2.2737367544323206E-13</v>
      </c>
      <c r="CU123" s="18">
        <f>CT123*VLOOKUP('Données projet'!$B$13,Paramètres!$A$1:$I$89,3,0)*VLOOKUP('Données projet'!$B$13,Paramètres!$A$1:$I$89,5,0)</f>
        <v>1.4897523215040565E-13</v>
      </c>
      <c r="CV123" s="14">
        <f t="shared" si="95"/>
        <v>2.136562777003313E-12</v>
      </c>
      <c r="CW123" s="22">
        <f t="shared" si="67"/>
        <v>3.9806453659427267E-12</v>
      </c>
      <c r="CX123" s="62">
        <f t="shared" si="68"/>
        <v>293.33333333333729</v>
      </c>
      <c r="CY123" s="62">
        <f ca="1">AVERAGE(OFFSET($CX$3,0,0,'Données projet'!$E$13+1,1))-AVERAGE(OFFSET($H$3,0,0,'Données projet'!$E$13+1,1))</f>
        <v>158.23848664370132</v>
      </c>
      <c r="CZ123" s="62">
        <f t="shared" si="96"/>
        <v>172.92355799729972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2">
        <f t="shared" si="86"/>
        <v>28.316857405559968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70">
        <f t="shared" si="56"/>
        <v>526.75577998135009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228.45887999999957</v>
      </c>
      <c r="P124" s="14">
        <f t="shared" si="87"/>
        <v>55.949325082237735</v>
      </c>
      <c r="Q124" s="22">
        <f t="shared" si="107"/>
        <v>495.34429051823003</v>
      </c>
      <c r="R124" s="62">
        <f t="shared" si="55"/>
        <v>788.67762385156334</v>
      </c>
      <c r="S124" s="62">
        <f ca="1">AVERAGE(OFFSET($R$3,0,0,'Données projet'!$E$9+1,1))-AVERAGE(OFFSET($H$3,0,0,'Données projet'!$E$9+1,1))</f>
        <v>223.49015613166239</v>
      </c>
      <c r="T124" s="62">
        <f t="shared" si="88"/>
        <v>136.15898308259307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97.899731390293653</v>
      </c>
      <c r="AO124" s="62">
        <f t="shared" si="90"/>
        <v>310.21833995692549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10.266061183421826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3.6332149791568146E-15</v>
      </c>
      <c r="AX124" s="23">
        <f t="shared" si="60"/>
        <v>10.266061183421829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2.7666828827932479E-13</v>
      </c>
      <c r="BF124" s="14">
        <f t="shared" si="91"/>
        <v>3.6920483163466686E-12</v>
      </c>
      <c r="BG124" s="22">
        <f t="shared" si="61"/>
        <v>6.9121814197236049E-12</v>
      </c>
      <c r="BH124" s="62">
        <f t="shared" si="62"/>
        <v>293.33333333334025</v>
      </c>
      <c r="BI124" s="62">
        <f ca="1">AVERAGE(OFFSET($BH$3,0,0,'Données projet'!$E$11+1,1))-AVERAGE(OFFSET($H$3,0,0,'Données projet'!$E$11+1,1))</f>
        <v>209.0958230411249</v>
      </c>
      <c r="BJ124" s="62">
        <f t="shared" si="92"/>
        <v>250.34919671671565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3.6357050703372803E-14</v>
      </c>
      <c r="CA124" s="14">
        <f t="shared" si="93"/>
        <v>6.1445232567661395E-13</v>
      </c>
      <c r="CB124" s="22">
        <f t="shared" si="64"/>
        <v>1.1334929971951436E-12</v>
      </c>
      <c r="CC124" s="62">
        <f t="shared" si="65"/>
        <v>293.33333333333445</v>
      </c>
      <c r="CD124" s="62">
        <f ca="1">AVERAGE(OFFSET($CC$3,0,0,'Données projet'!$E$12+1,1))-AVERAGE(OFFSET($H$3,0,0,'Données projet'!$E$12+1,1))</f>
        <v>152.52712777621315</v>
      </c>
      <c r="CE124" s="62">
        <f t="shared" si="94"/>
        <v>145.25423263217925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2.2737367544323206E-13</v>
      </c>
      <c r="CU124" s="18">
        <f>CT124*VLOOKUP('Données projet'!$B$13,Paramètres!$A$1:$I$89,3,0)*VLOOKUP('Données projet'!$B$13,Paramètres!$A$1:$I$89,5,0)</f>
        <v>1.4897523215040565E-13</v>
      </c>
      <c r="CV124" s="14">
        <f t="shared" si="95"/>
        <v>2.136562777003313E-12</v>
      </c>
      <c r="CW124" s="22">
        <f t="shared" si="67"/>
        <v>3.9806453659427267E-12</v>
      </c>
      <c r="CX124" s="62">
        <f t="shared" si="68"/>
        <v>293.33333333333729</v>
      </c>
      <c r="CY124" s="62">
        <f ca="1">AVERAGE(OFFSET($CX$3,0,0,'Données projet'!$E$13+1,1))-AVERAGE(OFFSET($H$3,0,0,'Données projet'!$E$13+1,1))</f>
        <v>158.23848664370132</v>
      </c>
      <c r="CZ124" s="62">
        <f t="shared" si="96"/>
        <v>172.92355799729972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2">
        <f t="shared" si="86"/>
        <v>28.523541515222913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70">
        <f t="shared" si="56"/>
        <v>528.63727480567968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231.15455999999958</v>
      </c>
      <c r="P125" s="14">
        <f t="shared" si="87"/>
        <v>56.532251598510435</v>
      </c>
      <c r="Q125" s="22">
        <f t="shared" si="107"/>
        <v>501.05453020073833</v>
      </c>
      <c r="R125" s="62">
        <f t="shared" si="55"/>
        <v>794.38786353407158</v>
      </c>
      <c r="S125" s="62">
        <f ca="1">AVERAGE(OFFSET($R$3,0,0,'Données projet'!$E$9+1,1))-AVERAGE(OFFSET($H$3,0,0,'Données projet'!$E$9+1,1))</f>
        <v>223.49015613166239</v>
      </c>
      <c r="T125" s="62">
        <f t="shared" si="88"/>
        <v>136.15898308259307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97.899731390293653</v>
      </c>
      <c r="AO125" s="62">
        <f t="shared" si="90"/>
        <v>310.21833995692549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10.064749985293956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2.5690709492703245E-15</v>
      </c>
      <c r="AX125" s="23">
        <f t="shared" si="60"/>
        <v>10.064749985293957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2.7666828827932479E-13</v>
      </c>
      <c r="BF125" s="14">
        <f t="shared" si="91"/>
        <v>3.6920483163466686E-12</v>
      </c>
      <c r="BG125" s="22">
        <f t="shared" si="61"/>
        <v>6.9121814197236049E-12</v>
      </c>
      <c r="BH125" s="62">
        <f t="shared" si="62"/>
        <v>293.33333333334025</v>
      </c>
      <c r="BI125" s="62">
        <f ca="1">AVERAGE(OFFSET($BH$3,0,0,'Données projet'!$E$11+1,1))-AVERAGE(OFFSET($H$3,0,0,'Données projet'!$E$11+1,1))</f>
        <v>209.0958230411249</v>
      </c>
      <c r="BJ125" s="62">
        <f t="shared" si="92"/>
        <v>250.34919671671565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3.6357050703372803E-14</v>
      </c>
      <c r="CA125" s="14">
        <f t="shared" si="93"/>
        <v>6.1445232567661395E-13</v>
      </c>
      <c r="CB125" s="22">
        <f t="shared" si="64"/>
        <v>1.1334929971951436E-12</v>
      </c>
      <c r="CC125" s="62">
        <f t="shared" si="65"/>
        <v>293.33333333333445</v>
      </c>
      <c r="CD125" s="62">
        <f ca="1">AVERAGE(OFFSET($CC$3,0,0,'Données projet'!$E$12+1,1))-AVERAGE(OFFSET($H$3,0,0,'Données projet'!$E$12+1,1))</f>
        <v>152.52712777621315</v>
      </c>
      <c r="CE125" s="62">
        <f t="shared" si="94"/>
        <v>145.25423263217925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2.2737367544323206E-13</v>
      </c>
      <c r="CU125" s="18">
        <f>CT125*VLOOKUP('Données projet'!$B$13,Paramètres!$A$1:$I$89,3,0)*VLOOKUP('Données projet'!$B$13,Paramètres!$A$1:$I$89,5,0)</f>
        <v>1.4897523215040565E-13</v>
      </c>
      <c r="CV125" s="14">
        <f t="shared" si="95"/>
        <v>2.136562777003313E-12</v>
      </c>
      <c r="CW125" s="22">
        <f t="shared" si="67"/>
        <v>3.9806453659427267E-12</v>
      </c>
      <c r="CX125" s="62">
        <f t="shared" si="68"/>
        <v>293.33333333333729</v>
      </c>
      <c r="CY125" s="62">
        <f ca="1">AVERAGE(OFFSET($CX$3,0,0,'Données projet'!$E$13+1,1))-AVERAGE(OFFSET($H$3,0,0,'Données projet'!$E$13+1,1))</f>
        <v>158.23848664370132</v>
      </c>
      <c r="CZ125" s="62">
        <f t="shared" si="96"/>
        <v>172.92355799729972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2">
        <f t="shared" si="86"/>
        <v>28.730028519623875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70">
        <f t="shared" si="56"/>
        <v>530.51842633834474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233.85023999999956</v>
      </c>
      <c r="P126" s="14">
        <f t="shared" si="87"/>
        <v>57.114387348136688</v>
      </c>
      <c r="Q126" s="22">
        <f t="shared" si="107"/>
        <v>506.76339263133724</v>
      </c>
      <c r="R126" s="62">
        <f t="shared" si="55"/>
        <v>800.09672596467055</v>
      </c>
      <c r="S126" s="62">
        <f ca="1">AVERAGE(OFFSET($R$3,0,0,'Données projet'!$E$9+1,1))-AVERAGE(OFFSET($H$3,0,0,'Données projet'!$E$9+1,1))</f>
        <v>223.49015613166239</v>
      </c>
      <c r="T126" s="62">
        <f t="shared" si="88"/>
        <v>136.15898308259307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97.899731390293653</v>
      </c>
      <c r="AO126" s="62">
        <f t="shared" si="90"/>
        <v>310.21833995692549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9.8673863769736663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1.8166074895784073E-15</v>
      </c>
      <c r="AX126" s="23">
        <f t="shared" si="60"/>
        <v>9.867386376973668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2.7666828827932479E-13</v>
      </c>
      <c r="BF126" s="14">
        <f t="shared" si="91"/>
        <v>3.6920483163466686E-12</v>
      </c>
      <c r="BG126" s="22">
        <f t="shared" si="61"/>
        <v>6.9121814197236049E-12</v>
      </c>
      <c r="BH126" s="62">
        <f t="shared" si="62"/>
        <v>293.33333333334025</v>
      </c>
      <c r="BI126" s="62">
        <f ca="1">AVERAGE(OFFSET($BH$3,0,0,'Données projet'!$E$11+1,1))-AVERAGE(OFFSET($H$3,0,0,'Données projet'!$E$11+1,1))</f>
        <v>209.0958230411249</v>
      </c>
      <c r="BJ126" s="62">
        <f t="shared" si="92"/>
        <v>250.34919671671565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3.6357050703372803E-14</v>
      </c>
      <c r="CA126" s="14">
        <f t="shared" si="93"/>
        <v>6.1445232567661395E-13</v>
      </c>
      <c r="CB126" s="22">
        <f t="shared" si="64"/>
        <v>1.1334929971951436E-12</v>
      </c>
      <c r="CC126" s="62">
        <f t="shared" si="65"/>
        <v>293.33333333333445</v>
      </c>
      <c r="CD126" s="62">
        <f ca="1">AVERAGE(OFFSET($CC$3,0,0,'Données projet'!$E$12+1,1))-AVERAGE(OFFSET($H$3,0,0,'Données projet'!$E$12+1,1))</f>
        <v>152.52712777621315</v>
      </c>
      <c r="CE126" s="62">
        <f t="shared" si="94"/>
        <v>145.25423263217925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2.2737367544323206E-13</v>
      </c>
      <c r="CU126" s="18">
        <f>CT126*VLOOKUP('Données projet'!$B$13,Paramètres!$A$1:$I$89,3,0)*VLOOKUP('Données projet'!$B$13,Paramètres!$A$1:$I$89,5,0)</f>
        <v>1.4897523215040565E-13</v>
      </c>
      <c r="CV126" s="14">
        <f t="shared" si="95"/>
        <v>2.136562777003313E-12</v>
      </c>
      <c r="CW126" s="22">
        <f t="shared" si="67"/>
        <v>3.9806453659427267E-12</v>
      </c>
      <c r="CX126" s="62">
        <f t="shared" si="68"/>
        <v>293.33333333333729</v>
      </c>
      <c r="CY126" s="62">
        <f ca="1">AVERAGE(OFFSET($CX$3,0,0,'Données projet'!$E$13+1,1))-AVERAGE(OFFSET($H$3,0,0,'Données projet'!$E$13+1,1))</f>
        <v>158.23848664370132</v>
      </c>
      <c r="CZ126" s="62">
        <f t="shared" si="96"/>
        <v>172.92355799729972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2">
        <f t="shared" si="86"/>
        <v>28.936320206966858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70">
        <f t="shared" si="56"/>
        <v>532.39923769380039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236.54591999999957</v>
      </c>
      <c r="P127" s="14">
        <f t="shared" si="87"/>
        <v>57.695742501250926</v>
      </c>
      <c r="Q127" s="22">
        <f t="shared" si="107"/>
        <v>512.47089552301134</v>
      </c>
      <c r="R127" s="62">
        <f t="shared" si="55"/>
        <v>805.80422885634471</v>
      </c>
      <c r="S127" s="62">
        <f ca="1">AVERAGE(OFFSET($R$3,0,0,'Données projet'!$E$9+1,1))-AVERAGE(OFFSET($H$3,0,0,'Données projet'!$E$9+1,1))</f>
        <v>223.49015613166239</v>
      </c>
      <c r="T127" s="62">
        <f t="shared" si="88"/>
        <v>136.15898308259307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97.899731390293653</v>
      </c>
      <c r="AO127" s="62">
        <f t="shared" si="90"/>
        <v>310.21833995692549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9.6738929486326235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1.2845354746351623E-15</v>
      </c>
      <c r="AX127" s="23">
        <f t="shared" si="60"/>
        <v>9.6738929486326253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2.7666828827932479E-13</v>
      </c>
      <c r="BF127" s="14">
        <f t="shared" si="91"/>
        <v>3.6920483163466686E-12</v>
      </c>
      <c r="BG127" s="22">
        <f t="shared" si="61"/>
        <v>6.9121814197236049E-12</v>
      </c>
      <c r="BH127" s="62">
        <f t="shared" si="62"/>
        <v>293.33333333334025</v>
      </c>
      <c r="BI127" s="62">
        <f ca="1">AVERAGE(OFFSET($BH$3,0,0,'Données projet'!$E$11+1,1))-AVERAGE(OFFSET($H$3,0,0,'Données projet'!$E$11+1,1))</f>
        <v>209.0958230411249</v>
      </c>
      <c r="BJ127" s="62">
        <f t="shared" si="92"/>
        <v>250.34919671671565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3.6357050703372803E-14</v>
      </c>
      <c r="CA127" s="14">
        <f t="shared" si="93"/>
        <v>6.1445232567661395E-13</v>
      </c>
      <c r="CB127" s="22">
        <f t="shared" si="64"/>
        <v>1.1334929971951436E-12</v>
      </c>
      <c r="CC127" s="62">
        <f t="shared" si="65"/>
        <v>293.33333333333445</v>
      </c>
      <c r="CD127" s="62">
        <f ca="1">AVERAGE(OFFSET($CC$3,0,0,'Données projet'!$E$12+1,1))-AVERAGE(OFFSET($H$3,0,0,'Données projet'!$E$12+1,1))</f>
        <v>152.52712777621315</v>
      </c>
      <c r="CE127" s="62">
        <f t="shared" si="94"/>
        <v>145.25423263217925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2.2737367544323206E-13</v>
      </c>
      <c r="CU127" s="18">
        <f>CT127*VLOOKUP('Données projet'!$B$13,Paramètres!$A$1:$I$89,3,0)*VLOOKUP('Données projet'!$B$13,Paramètres!$A$1:$I$89,5,0)</f>
        <v>1.4897523215040565E-13</v>
      </c>
      <c r="CV127" s="14">
        <f t="shared" si="95"/>
        <v>2.136562777003313E-12</v>
      </c>
      <c r="CW127" s="22">
        <f t="shared" si="67"/>
        <v>3.9806453659427267E-12</v>
      </c>
      <c r="CX127" s="62">
        <f t="shared" si="68"/>
        <v>293.33333333333729</v>
      </c>
      <c r="CY127" s="62">
        <f ca="1">AVERAGE(OFFSET($CX$3,0,0,'Données projet'!$E$13+1,1))-AVERAGE(OFFSET($H$3,0,0,'Données projet'!$E$13+1,1))</f>
        <v>158.23848664370132</v>
      </c>
      <c r="CZ127" s="62">
        <f t="shared" si="96"/>
        <v>172.92355799729972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2">
        <f t="shared" si="86"/>
        <v>29.142418334948587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70">
        <f t="shared" si="56"/>
        <v>534.27971193336862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239.24159999999955</v>
      </c>
      <c r="P128" s="14">
        <f t="shared" si="87"/>
        <v>58.276326982845731</v>
      </c>
      <c r="Q128" s="22">
        <f t="shared" si="107"/>
        <v>518.17705616178876</v>
      </c>
      <c r="R128" s="62">
        <f t="shared" si="55"/>
        <v>811.51038949512213</v>
      </c>
      <c r="S128" s="62">
        <f ca="1">AVERAGE(OFFSET($R$3,0,0,'Données projet'!$E$9+1,1))-AVERAGE(OFFSET($H$3,0,0,'Données projet'!$E$9+1,1))</f>
        <v>223.49015613166239</v>
      </c>
      <c r="T128" s="62">
        <f t="shared" si="88"/>
        <v>136.15898308259307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97.899731390293653</v>
      </c>
      <c r="AO128" s="62">
        <f t="shared" si="90"/>
        <v>310.21833995692549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9.4841938084020114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9.0830374478920365E-16</v>
      </c>
      <c r="AX128" s="23">
        <f t="shared" si="60"/>
        <v>9.4841938084020132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2.7666828827932479E-13</v>
      </c>
      <c r="BF128" s="14">
        <f t="shared" si="91"/>
        <v>3.6920483163466686E-12</v>
      </c>
      <c r="BG128" s="22">
        <f t="shared" si="61"/>
        <v>6.9121814197236049E-12</v>
      </c>
      <c r="BH128" s="62">
        <f t="shared" si="62"/>
        <v>293.33333333334025</v>
      </c>
      <c r="BI128" s="62">
        <f ca="1">AVERAGE(OFFSET($BH$3,0,0,'Données projet'!$E$11+1,1))-AVERAGE(OFFSET($H$3,0,0,'Données projet'!$E$11+1,1))</f>
        <v>209.0958230411249</v>
      </c>
      <c r="BJ128" s="62">
        <f t="shared" si="92"/>
        <v>250.34919671671565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3.6357050703372803E-14</v>
      </c>
      <c r="CA128" s="14">
        <f t="shared" si="93"/>
        <v>6.1445232567661395E-13</v>
      </c>
      <c r="CB128" s="22">
        <f t="shared" si="64"/>
        <v>1.1334929971951436E-12</v>
      </c>
      <c r="CC128" s="62">
        <f t="shared" si="65"/>
        <v>293.33333333333445</v>
      </c>
      <c r="CD128" s="62">
        <f ca="1">AVERAGE(OFFSET($CC$3,0,0,'Données projet'!$E$12+1,1))-AVERAGE(OFFSET($H$3,0,0,'Données projet'!$E$12+1,1))</f>
        <v>152.52712777621315</v>
      </c>
      <c r="CE128" s="62">
        <f t="shared" si="94"/>
        <v>145.25423263217925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2.2737367544323206E-13</v>
      </c>
      <c r="CU128" s="18">
        <f>CT128*VLOOKUP('Données projet'!$B$13,Paramètres!$A$1:$I$89,3,0)*VLOOKUP('Données projet'!$B$13,Paramètres!$A$1:$I$89,5,0)</f>
        <v>1.4897523215040565E-13</v>
      </c>
      <c r="CV128" s="14">
        <f t="shared" si="95"/>
        <v>2.136562777003313E-12</v>
      </c>
      <c r="CW128" s="22">
        <f t="shared" si="67"/>
        <v>3.9806453659427267E-12</v>
      </c>
      <c r="CX128" s="62">
        <f t="shared" si="68"/>
        <v>293.33333333333729</v>
      </c>
      <c r="CY128" s="62">
        <f ca="1">AVERAGE(OFFSET($CX$3,0,0,'Données projet'!$E$13+1,1))-AVERAGE(OFFSET($H$3,0,0,'Données projet'!$E$13+1,1))</f>
        <v>158.23848664370132</v>
      </c>
      <c r="CZ128" s="62">
        <f t="shared" si="96"/>
        <v>172.92355799729972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2">
        <f t="shared" si="86"/>
        <v>29.348324631518803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70">
        <f t="shared" si="56"/>
        <v>536.15985206656171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241.93727999999956</v>
      </c>
      <c r="P129" s="14">
        <f t="shared" si="87"/>
        <v>58.85615048137516</v>
      </c>
      <c r="Q129" s="22">
        <f t="shared" si="107"/>
        <v>523.88189142172769</v>
      </c>
      <c r="R129" s="62">
        <f t="shared" si="55"/>
        <v>817.21522475506094</v>
      </c>
      <c r="S129" s="62">
        <f ca="1">AVERAGE(OFFSET($R$3,0,0,'Données projet'!$E$9+1,1))-AVERAGE(OFFSET($H$3,0,0,'Données projet'!$E$9+1,1))</f>
        <v>223.49015613166239</v>
      </c>
      <c r="T129" s="62">
        <f t="shared" si="88"/>
        <v>136.15898308259307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97.899731390293653</v>
      </c>
      <c r="AO129" s="62">
        <f t="shared" si="90"/>
        <v>310.21833995692549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9.2982145526062716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6.4226773731758114E-16</v>
      </c>
      <c r="AX129" s="23">
        <f t="shared" si="60"/>
        <v>9.2982145526062716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2.7666828827932479E-13</v>
      </c>
      <c r="BF129" s="14">
        <f t="shared" si="91"/>
        <v>3.6920483163466686E-12</v>
      </c>
      <c r="BG129" s="22">
        <f t="shared" si="61"/>
        <v>6.9121814197236049E-12</v>
      </c>
      <c r="BH129" s="62">
        <f t="shared" si="62"/>
        <v>293.33333333334025</v>
      </c>
      <c r="BI129" s="62">
        <f ca="1">AVERAGE(OFFSET($BH$3,0,0,'Données projet'!$E$11+1,1))-AVERAGE(OFFSET($H$3,0,0,'Données projet'!$E$11+1,1))</f>
        <v>209.0958230411249</v>
      </c>
      <c r="BJ129" s="62">
        <f t="shared" si="92"/>
        <v>250.34919671671565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3.6357050703372803E-14</v>
      </c>
      <c r="CA129" s="14">
        <f t="shared" si="93"/>
        <v>6.1445232567661395E-13</v>
      </c>
      <c r="CB129" s="22">
        <f t="shared" si="64"/>
        <v>1.1334929971951436E-12</v>
      </c>
      <c r="CC129" s="62">
        <f t="shared" si="65"/>
        <v>293.33333333333445</v>
      </c>
      <c r="CD129" s="62">
        <f ca="1">AVERAGE(OFFSET($CC$3,0,0,'Données projet'!$E$12+1,1))-AVERAGE(OFFSET($H$3,0,0,'Données projet'!$E$12+1,1))</f>
        <v>152.52712777621315</v>
      </c>
      <c r="CE129" s="62">
        <f t="shared" si="94"/>
        <v>145.25423263217925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2.2737367544323206E-13</v>
      </c>
      <c r="CU129" s="18">
        <f>CT129*VLOOKUP('Données projet'!$B$13,Paramètres!$A$1:$I$89,3,0)*VLOOKUP('Données projet'!$B$13,Paramètres!$A$1:$I$89,5,0)</f>
        <v>1.4897523215040565E-13</v>
      </c>
      <c r="CV129" s="14">
        <f t="shared" si="95"/>
        <v>2.136562777003313E-12</v>
      </c>
      <c r="CW129" s="22">
        <f t="shared" si="67"/>
        <v>3.9806453659427267E-12</v>
      </c>
      <c r="CX129" s="62">
        <f t="shared" si="68"/>
        <v>293.33333333333729</v>
      </c>
      <c r="CY129" s="62">
        <f ca="1">AVERAGE(OFFSET($CX$3,0,0,'Données projet'!$E$13+1,1))-AVERAGE(OFFSET($H$3,0,0,'Données projet'!$E$13+1,1))</f>
        <v>158.23848664370132</v>
      </c>
      <c r="CZ129" s="62">
        <f t="shared" si="96"/>
        <v>172.92355799729972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2">
        <f t="shared" si="86"/>
        <v>29.554040795615606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70">
        <f t="shared" si="56"/>
        <v>538.03966105236361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244.63295999999951</v>
      </c>
      <c r="P130" s="14">
        <f t="shared" si="87"/>
        <v>59.435222456963182</v>
      </c>
      <c r="Q130" s="22">
        <f t="shared" si="107"/>
        <v>529.58541777920993</v>
      </c>
      <c r="R130" s="62">
        <f t="shared" si="55"/>
        <v>822.9187511125433</v>
      </c>
      <c r="S130" s="62">
        <f ca="1">AVERAGE(OFFSET($R$3,0,0,'Données projet'!$E$9+1,1))-AVERAGE(OFFSET($H$3,0,0,'Données projet'!$E$9+1,1))</f>
        <v>223.49015613166239</v>
      </c>
      <c r="T130" s="62">
        <f t="shared" si="88"/>
        <v>136.15898308259307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97.899731390293653</v>
      </c>
      <c r="AO130" s="62">
        <f t="shared" si="90"/>
        <v>310.21833995692549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9.115882236580541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4.5415187239460182E-16</v>
      </c>
      <c r="AX130" s="23">
        <f t="shared" si="60"/>
        <v>9.115882236580541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2.7666828827932479E-13</v>
      </c>
      <c r="BF130" s="14">
        <f t="shared" si="91"/>
        <v>3.6920483163466686E-12</v>
      </c>
      <c r="BG130" s="22">
        <f t="shared" si="61"/>
        <v>6.9121814197236049E-12</v>
      </c>
      <c r="BH130" s="62">
        <f t="shared" si="62"/>
        <v>293.33333333334025</v>
      </c>
      <c r="BI130" s="62">
        <f ca="1">AVERAGE(OFFSET($BH$3,0,0,'Données projet'!$E$11+1,1))-AVERAGE(OFFSET($H$3,0,0,'Données projet'!$E$11+1,1))</f>
        <v>209.0958230411249</v>
      </c>
      <c r="BJ130" s="62">
        <f t="shared" si="92"/>
        <v>250.34919671671565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3.6357050703372803E-14</v>
      </c>
      <c r="CA130" s="14">
        <f t="shared" si="93"/>
        <v>6.1445232567661395E-13</v>
      </c>
      <c r="CB130" s="22">
        <f t="shared" si="64"/>
        <v>1.1334929971951436E-12</v>
      </c>
      <c r="CC130" s="62">
        <f t="shared" si="65"/>
        <v>293.33333333333445</v>
      </c>
      <c r="CD130" s="62">
        <f ca="1">AVERAGE(OFFSET($CC$3,0,0,'Données projet'!$E$12+1,1))-AVERAGE(OFFSET($H$3,0,0,'Données projet'!$E$12+1,1))</f>
        <v>152.52712777621315</v>
      </c>
      <c r="CE130" s="62">
        <f t="shared" si="94"/>
        <v>145.25423263217925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2.2737367544323206E-13</v>
      </c>
      <c r="CU130" s="18">
        <f>CT130*VLOOKUP('Données projet'!$B$13,Paramètres!$A$1:$I$89,3,0)*VLOOKUP('Données projet'!$B$13,Paramètres!$A$1:$I$89,5,0)</f>
        <v>1.4897523215040565E-13</v>
      </c>
      <c r="CV130" s="14">
        <f t="shared" si="95"/>
        <v>2.136562777003313E-12</v>
      </c>
      <c r="CW130" s="22">
        <f t="shared" si="67"/>
        <v>3.9806453659427267E-12</v>
      </c>
      <c r="CX130" s="62">
        <f t="shared" si="68"/>
        <v>293.33333333333729</v>
      </c>
      <c r="CY130" s="62">
        <f ca="1">AVERAGE(OFFSET($CX$3,0,0,'Données projet'!$E$13+1,1))-AVERAGE(OFFSET($H$3,0,0,'Données projet'!$E$13+1,1))</f>
        <v>158.23848664370132</v>
      </c>
      <c r="CZ130" s="62">
        <f t="shared" si="96"/>
        <v>172.92355799729972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2">
        <f t="shared" si="86"/>
        <v>29.759568497877233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70">
        <f t="shared" si="56"/>
        <v>539.91914180046933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247.32863999999952</v>
      </c>
      <c r="P131" s="14">
        <f t="shared" si="87"/>
        <v>60.013552149240361</v>
      </c>
      <c r="Q131" s="22">
        <f t="shared" ref="Q131:Q153" si="108">(O131+P131)*0.475*44/12</f>
        <v>535.28765132659282</v>
      </c>
      <c r="R131" s="62">
        <f t="shared" ref="R131:R194" si="109">Q131+(I131+J131)*44/12</f>
        <v>828.62098465992608</v>
      </c>
      <c r="S131" s="62">
        <f ca="1">AVERAGE(OFFSET($R$3,0,0,'Données projet'!$E$9+1,1))-AVERAGE(OFFSET($H$3,0,0,'Données projet'!$E$9+1,1))</f>
        <v>223.49015613166239</v>
      </c>
      <c r="T131" s="62">
        <f t="shared" si="88"/>
        <v>136.15898308259307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97.899731390293653</v>
      </c>
      <c r="AO131" s="62">
        <f t="shared" si="90"/>
        <v>310.21833995692549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8.937125346060343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3.2113386865879057E-16</v>
      </c>
      <c r="AX131" s="23">
        <f t="shared" si="60"/>
        <v>8.937125346060343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2.7666828827932479E-13</v>
      </c>
      <c r="BF131" s="14">
        <f t="shared" si="91"/>
        <v>3.6920483163466686E-12</v>
      </c>
      <c r="BG131" s="22">
        <f t="shared" si="61"/>
        <v>6.9121814197236049E-12</v>
      </c>
      <c r="BH131" s="62">
        <f t="shared" si="62"/>
        <v>293.33333333334025</v>
      </c>
      <c r="BI131" s="62">
        <f ca="1">AVERAGE(OFFSET($BH$3,0,0,'Données projet'!$E$11+1,1))-AVERAGE(OFFSET($H$3,0,0,'Données projet'!$E$11+1,1))</f>
        <v>209.0958230411249</v>
      </c>
      <c r="BJ131" s="62">
        <f t="shared" si="92"/>
        <v>250.34919671671565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3.6357050703372803E-14</v>
      </c>
      <c r="CA131" s="14">
        <f t="shared" si="93"/>
        <v>6.1445232567661395E-13</v>
      </c>
      <c r="CB131" s="22">
        <f t="shared" si="64"/>
        <v>1.1334929971951436E-12</v>
      </c>
      <c r="CC131" s="62">
        <f t="shared" si="65"/>
        <v>293.33333333333445</v>
      </c>
      <c r="CD131" s="62">
        <f ca="1">AVERAGE(OFFSET($CC$3,0,0,'Données projet'!$E$12+1,1))-AVERAGE(OFFSET($H$3,0,0,'Données projet'!$E$12+1,1))</f>
        <v>152.52712777621315</v>
      </c>
      <c r="CE131" s="62">
        <f t="shared" si="94"/>
        <v>145.25423263217925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2.2737367544323206E-13</v>
      </c>
      <c r="CU131" s="18">
        <f>CT131*VLOOKUP('Données projet'!$B$13,Paramètres!$A$1:$I$89,3,0)*VLOOKUP('Données projet'!$B$13,Paramètres!$A$1:$I$89,5,0)</f>
        <v>1.4897523215040565E-13</v>
      </c>
      <c r="CV131" s="14">
        <f t="shared" si="95"/>
        <v>2.136562777003313E-12</v>
      </c>
      <c r="CW131" s="22">
        <f t="shared" si="67"/>
        <v>3.9806453659427267E-12</v>
      </c>
      <c r="CX131" s="62">
        <f t="shared" si="68"/>
        <v>293.33333333333729</v>
      </c>
      <c r="CY131" s="62">
        <f ca="1">AVERAGE(OFFSET($CX$3,0,0,'Données projet'!$E$13+1,1))-AVERAGE(OFFSET($H$3,0,0,'Données projet'!$E$13+1,1))</f>
        <v>158.23848664370132</v>
      </c>
      <c r="CZ131" s="62">
        <f t="shared" si="96"/>
        <v>172.92355799729972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2">
        <f t="shared" si="86"/>
        <v>29.964909381330607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70">
        <f t="shared" ref="H132:H195" si="110">(B132+E132+F132)*44/12+(C132+D132)*0.475*44/12</f>
        <v>541.7982971724839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250.02431999999951</v>
      </c>
      <c r="P132" s="14">
        <f t="shared" si="87"/>
        <v>60.591148584829156</v>
      </c>
      <c r="Q132" s="22">
        <f t="shared" si="108"/>
        <v>540.98860778524329</v>
      </c>
      <c r="R132" s="62">
        <f t="shared" si="109"/>
        <v>834.32194111857666</v>
      </c>
      <c r="S132" s="62">
        <f ca="1">AVERAGE(OFFSET($R$3,0,0,'Données projet'!$E$9+1,1))-AVERAGE(OFFSET($H$3,0,0,'Données projet'!$E$9+1,1))</f>
        <v>223.49015613166239</v>
      </c>
      <c r="T132" s="62">
        <f t="shared" si="88"/>
        <v>136.15898308259307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97.899731390293653</v>
      </c>
      <c r="AO132" s="62">
        <f t="shared" si="90"/>
        <v>310.21833995692549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8.7618737691323094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2.2707593619730091E-16</v>
      </c>
      <c r="AX132" s="23">
        <f t="shared" ref="AX132:AX153" si="114">SUM(AU132:AW132)</f>
        <v>8.7618737691323094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2.7666828827932479E-13</v>
      </c>
      <c r="BF132" s="14">
        <f t="shared" si="91"/>
        <v>3.6920483163466686E-12</v>
      </c>
      <c r="BG132" s="22">
        <f t="shared" ref="BG132:BG153" si="115">(BE132+BF132)*0.475*44/12</f>
        <v>6.9121814197236049E-12</v>
      </c>
      <c r="BH132" s="62">
        <f t="shared" ref="BH132:BH195" si="116">BG132+(AY132+AZ132)*44/12</f>
        <v>293.33333333334025</v>
      </c>
      <c r="BI132" s="62">
        <f ca="1">AVERAGE(OFFSET($BH$3,0,0,'Données projet'!$E$11+1,1))-AVERAGE(OFFSET($H$3,0,0,'Données projet'!$E$11+1,1))</f>
        <v>209.0958230411249</v>
      </c>
      <c r="BJ132" s="62">
        <f t="shared" si="92"/>
        <v>250.34919671671565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3.6357050703372803E-14</v>
      </c>
      <c r="CA132" s="14">
        <f t="shared" si="93"/>
        <v>6.1445232567661395E-13</v>
      </c>
      <c r="CB132" s="22">
        <f t="shared" ref="CB132:CB153" si="118">(BZ132+CA132)*0.475*44/12</f>
        <v>1.1334929971951436E-12</v>
      </c>
      <c r="CC132" s="62">
        <f t="shared" ref="CC132:CC195" si="119">CB132+(BT132+BU132)*44/12</f>
        <v>293.33333333333445</v>
      </c>
      <c r="CD132" s="62">
        <f ca="1">AVERAGE(OFFSET($CC$3,0,0,'Données projet'!$E$12+1,1))-AVERAGE(OFFSET($H$3,0,0,'Données projet'!$E$12+1,1))</f>
        <v>152.52712777621315</v>
      </c>
      <c r="CE132" s="62">
        <f t="shared" si="94"/>
        <v>145.25423263217925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2.2737367544323206E-13</v>
      </c>
      <c r="CU132" s="18">
        <f>CT132*VLOOKUP('Données projet'!$B$13,Paramètres!$A$1:$I$89,3,0)*VLOOKUP('Données projet'!$B$13,Paramètres!$A$1:$I$89,5,0)</f>
        <v>1.4897523215040565E-13</v>
      </c>
      <c r="CV132" s="14">
        <f t="shared" si="95"/>
        <v>2.136562777003313E-12</v>
      </c>
      <c r="CW132" s="22">
        <f t="shared" ref="CW132:CW153" si="121">(CU132+CV132)*0.475*44/12</f>
        <v>3.9806453659427267E-12</v>
      </c>
      <c r="CX132" s="62">
        <f t="shared" ref="CX132:CX195" si="122">CW132+(CO132+CP132)*44/12</f>
        <v>293.33333333333729</v>
      </c>
      <c r="CY132" s="62">
        <f ca="1">AVERAGE(OFFSET($CX$3,0,0,'Données projet'!$E$13+1,1))-AVERAGE(OFFSET($H$3,0,0,'Données projet'!$E$13+1,1))</f>
        <v>158.23848664370132</v>
      </c>
      <c r="CZ132" s="62">
        <f t="shared" si="96"/>
        <v>172.92355799729972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2">
        <f t="shared" ref="D133:D196" si="140">IFERROR(EXP(-1.0587+0.8836*LN(C133)+0.284),0)</f>
        <v>30.170065062058185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70">
        <f t="shared" si="110"/>
        <v>543.67712998308446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252.71999999999949</v>
      </c>
      <c r="P133" s="14">
        <f t="shared" ref="P133:P196" si="141">EXP(-1.0587+0.8836*LN(O133)+0.284)</f>
        <v>61.168020584496766</v>
      </c>
      <c r="Q133" s="22">
        <f t="shared" si="108"/>
        <v>546.68830251799761</v>
      </c>
      <c r="R133" s="62">
        <f t="shared" si="109"/>
        <v>840.02163585133098</v>
      </c>
      <c r="S133" s="62">
        <f ca="1">AVERAGE(OFFSET($R$3,0,0,'Données projet'!$E$9+1,1))-AVERAGE(OFFSET($H$3,0,0,'Données projet'!$E$9+1,1))</f>
        <v>223.49015613166239</v>
      </c>
      <c r="T133" s="62">
        <f t="shared" ref="T133:T196" si="142">$T$3</f>
        <v>136.15898308259307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97.899731390293653</v>
      </c>
      <c r="AO133" s="62">
        <f t="shared" ref="AO133:AO196" si="144">$AO$3</f>
        <v>310.21833995692549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8.5900587687349272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1.6056693432939528E-16</v>
      </c>
      <c r="AX133" s="23">
        <f t="shared" si="114"/>
        <v>8.5900587687349272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2.7666828827932479E-13</v>
      </c>
      <c r="BF133" s="14">
        <f t="shared" ref="BF133:BF153" si="145">EXP(-1.0587+0.8836*LN(BE133)+0.284)</f>
        <v>3.6920483163466686E-12</v>
      </c>
      <c r="BG133" s="22">
        <f t="shared" si="115"/>
        <v>6.9121814197236049E-12</v>
      </c>
      <c r="BH133" s="62">
        <f t="shared" si="116"/>
        <v>293.33333333334025</v>
      </c>
      <c r="BI133" s="62">
        <f ca="1">AVERAGE(OFFSET($BH$3,0,0,'Données projet'!$E$11+1,1))-AVERAGE(OFFSET($H$3,0,0,'Données projet'!$E$11+1,1))</f>
        <v>209.0958230411249</v>
      </c>
      <c r="BJ133" s="62">
        <f t="shared" ref="BJ133:BJ196" si="146">$BJ$3</f>
        <v>250.34919671671565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3.6357050703372803E-14</v>
      </c>
      <c r="CA133" s="14">
        <f t="shared" ref="CA133:CA153" si="147">EXP(-1.0587+0.8836*LN(BZ133)+0.284)</f>
        <v>6.1445232567661395E-13</v>
      </c>
      <c r="CB133" s="22">
        <f t="shared" si="118"/>
        <v>1.1334929971951436E-12</v>
      </c>
      <c r="CC133" s="62">
        <f t="shared" si="119"/>
        <v>293.33333333333445</v>
      </c>
      <c r="CD133" s="62">
        <f ca="1">AVERAGE(OFFSET($CC$3,0,0,'Données projet'!$E$12+1,1))-AVERAGE(OFFSET($H$3,0,0,'Données projet'!$E$12+1,1))</f>
        <v>152.52712777621315</v>
      </c>
      <c r="CE133" s="62">
        <f t="shared" ref="CE133:CE196" si="148">$CE$3</f>
        <v>145.25423263217925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2.2737367544323206E-13</v>
      </c>
      <c r="CU133" s="18">
        <f>CT133*VLOOKUP('Données projet'!$B$13,Paramètres!$A$1:$I$89,3,0)*VLOOKUP('Données projet'!$B$13,Paramètres!$A$1:$I$89,5,0)</f>
        <v>1.4897523215040565E-13</v>
      </c>
      <c r="CV133" s="14">
        <f t="shared" ref="CV133:CV153" si="149">EXP(-1.0587+0.8836*LN(CU133)+0.284)</f>
        <v>2.136562777003313E-12</v>
      </c>
      <c r="CW133" s="22">
        <f t="shared" si="121"/>
        <v>3.9806453659427267E-12</v>
      </c>
      <c r="CX133" s="62">
        <f t="shared" si="122"/>
        <v>293.33333333333729</v>
      </c>
      <c r="CY133" s="62">
        <f ca="1">AVERAGE(OFFSET($CX$3,0,0,'Données projet'!$E$13+1,1))-AVERAGE(OFFSET($H$3,0,0,'Données projet'!$E$13+1,1))</f>
        <v>158.23848664370132</v>
      </c>
      <c r="CZ133" s="62">
        <f t="shared" ref="CZ133:CZ196" si="150">$CZ$3</f>
        <v>172.92355799729972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2">
        <f t="shared" si="140"/>
        <v>30.37503712984369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70">
        <f t="shared" si="110"/>
        <v>545.55564300114418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228.88007999999951</v>
      </c>
      <c r="P134" s="14">
        <f t="shared" si="141"/>
        <v>56.040459895408119</v>
      </c>
      <c r="Q134" s="22">
        <f t="shared" si="108"/>
        <v>496.23660698450158</v>
      </c>
      <c r="R134" s="62">
        <f t="shared" si="109"/>
        <v>789.56994031783483</v>
      </c>
      <c r="S134" s="62">
        <f ca="1">AVERAGE(OFFSET($R$3,0,0,'Données projet'!$E$9+1,1))-AVERAGE(OFFSET($H$3,0,0,'Données projet'!$E$9+1,1))</f>
        <v>223.49015613166239</v>
      </c>
      <c r="T134" s="62">
        <f t="shared" si="142"/>
        <v>136.15898308259307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97.899731390293653</v>
      </c>
      <c r="AO134" s="62">
        <f t="shared" si="144"/>
        <v>310.21833995692549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8.4216129556985351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1.1353796809865046E-16</v>
      </c>
      <c r="AX134" s="23">
        <f t="shared" si="114"/>
        <v>8.4216129556985351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2.7666828827932479E-13</v>
      </c>
      <c r="BF134" s="14">
        <f t="shared" si="145"/>
        <v>3.6920483163466686E-12</v>
      </c>
      <c r="BG134" s="22">
        <f t="shared" si="115"/>
        <v>6.9121814197236049E-12</v>
      </c>
      <c r="BH134" s="62">
        <f t="shared" si="116"/>
        <v>293.33333333334025</v>
      </c>
      <c r="BI134" s="62">
        <f ca="1">AVERAGE(OFFSET($BH$3,0,0,'Données projet'!$E$11+1,1))-AVERAGE(OFFSET($H$3,0,0,'Données projet'!$E$11+1,1))</f>
        <v>209.0958230411249</v>
      </c>
      <c r="BJ134" s="62">
        <f t="shared" si="146"/>
        <v>250.34919671671565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3.6357050703372803E-14</v>
      </c>
      <c r="CA134" s="14">
        <f t="shared" si="147"/>
        <v>6.1445232567661395E-13</v>
      </c>
      <c r="CB134" s="22">
        <f t="shared" si="118"/>
        <v>1.1334929971951436E-12</v>
      </c>
      <c r="CC134" s="62">
        <f t="shared" si="119"/>
        <v>293.33333333333445</v>
      </c>
      <c r="CD134" s="62">
        <f ca="1">AVERAGE(OFFSET($CC$3,0,0,'Données projet'!$E$12+1,1))-AVERAGE(OFFSET($H$3,0,0,'Données projet'!$E$12+1,1))</f>
        <v>152.52712777621315</v>
      </c>
      <c r="CE134" s="62">
        <f t="shared" si="148"/>
        <v>145.25423263217925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2.2737367544323206E-13</v>
      </c>
      <c r="CU134" s="18">
        <f>CT134*VLOOKUP('Données projet'!$B$13,Paramètres!$A$1:$I$89,3,0)*VLOOKUP('Données projet'!$B$13,Paramètres!$A$1:$I$89,5,0)</f>
        <v>1.4897523215040565E-13</v>
      </c>
      <c r="CV134" s="14">
        <f t="shared" si="149"/>
        <v>2.136562777003313E-12</v>
      </c>
      <c r="CW134" s="22">
        <f t="shared" si="121"/>
        <v>3.9806453659427267E-12</v>
      </c>
      <c r="CX134" s="62">
        <f t="shared" si="122"/>
        <v>293.33333333333729</v>
      </c>
      <c r="CY134" s="62">
        <f ca="1">AVERAGE(OFFSET($CX$3,0,0,'Données projet'!$E$13+1,1))-AVERAGE(OFFSET($H$3,0,0,'Données projet'!$E$13+1,1))</f>
        <v>158.23848664370132</v>
      </c>
      <c r="CZ134" s="62">
        <f t="shared" si="150"/>
        <v>172.92355799729972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2">
        <f t="shared" si="140"/>
        <v>30.579827148797293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70">
        <f t="shared" si="110"/>
        <v>547.43383895082161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231.15455999999946</v>
      </c>
      <c r="P135" s="14">
        <f t="shared" si="141"/>
        <v>56.532251598510435</v>
      </c>
      <c r="Q135" s="22">
        <f t="shared" si="108"/>
        <v>501.0545302007381</v>
      </c>
      <c r="R135" s="62">
        <f t="shared" si="109"/>
        <v>794.38786353407136</v>
      </c>
      <c r="S135" s="62">
        <f ca="1">AVERAGE(OFFSET($R$3,0,0,'Données projet'!$E$9+1,1))-AVERAGE(OFFSET($H$3,0,0,'Données projet'!$E$9+1,1))</f>
        <v>223.49015613166239</v>
      </c>
      <c r="T135" s="62">
        <f t="shared" si="142"/>
        <v>136.15898308259307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97.899731390293653</v>
      </c>
      <c r="AO135" s="62">
        <f t="shared" si="144"/>
        <v>310.21833995692549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8.2564702623139858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8.0283467164697642E-17</v>
      </c>
      <c r="AX135" s="23">
        <f t="shared" si="114"/>
        <v>8.2564702623139858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2.7666828827932479E-13</v>
      </c>
      <c r="BF135" s="14">
        <f t="shared" si="145"/>
        <v>3.6920483163466686E-12</v>
      </c>
      <c r="BG135" s="22">
        <f t="shared" si="115"/>
        <v>6.9121814197236049E-12</v>
      </c>
      <c r="BH135" s="62">
        <f t="shared" si="116"/>
        <v>293.33333333334025</v>
      </c>
      <c r="BI135" s="62">
        <f ca="1">AVERAGE(OFFSET($BH$3,0,0,'Données projet'!$E$11+1,1))-AVERAGE(OFFSET($H$3,0,0,'Données projet'!$E$11+1,1))</f>
        <v>209.0958230411249</v>
      </c>
      <c r="BJ135" s="62">
        <f t="shared" si="146"/>
        <v>250.34919671671565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3.6357050703372803E-14</v>
      </c>
      <c r="CA135" s="14">
        <f t="shared" si="147"/>
        <v>6.1445232567661395E-13</v>
      </c>
      <c r="CB135" s="22">
        <f t="shared" si="118"/>
        <v>1.1334929971951436E-12</v>
      </c>
      <c r="CC135" s="62">
        <f t="shared" si="119"/>
        <v>293.33333333333445</v>
      </c>
      <c r="CD135" s="62">
        <f ca="1">AVERAGE(OFFSET($CC$3,0,0,'Données projet'!$E$12+1,1))-AVERAGE(OFFSET($H$3,0,0,'Données projet'!$E$12+1,1))</f>
        <v>152.52712777621315</v>
      </c>
      <c r="CE135" s="62">
        <f t="shared" si="148"/>
        <v>145.25423263217925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2.2737367544323206E-13</v>
      </c>
      <c r="CU135" s="18">
        <f>CT135*VLOOKUP('Données projet'!$B$13,Paramètres!$A$1:$I$89,3,0)*VLOOKUP('Données projet'!$B$13,Paramètres!$A$1:$I$89,5,0)</f>
        <v>1.4897523215040565E-13</v>
      </c>
      <c r="CV135" s="14">
        <f t="shared" si="149"/>
        <v>2.136562777003313E-12</v>
      </c>
      <c r="CW135" s="22">
        <f t="shared" si="121"/>
        <v>3.9806453659427267E-12</v>
      </c>
      <c r="CX135" s="62">
        <f t="shared" si="122"/>
        <v>293.33333333333729</v>
      </c>
      <c r="CY135" s="62">
        <f ca="1">AVERAGE(OFFSET($CX$3,0,0,'Données projet'!$E$13+1,1))-AVERAGE(OFFSET($H$3,0,0,'Données projet'!$E$13+1,1))</f>
        <v>158.23848664370132</v>
      </c>
      <c r="CZ135" s="62">
        <f t="shared" si="150"/>
        <v>172.92355799729972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2">
        <f t="shared" si="140"/>
        <v>30.784436657961677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70">
        <f t="shared" si="110"/>
        <v>549.31172051261638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233.42903999999945</v>
      </c>
      <c r="P136" s="14">
        <f t="shared" si="141"/>
        <v>57.023480348060033</v>
      </c>
      <c r="Q136" s="22">
        <f t="shared" si="108"/>
        <v>505.87147293953677</v>
      </c>
      <c r="R136" s="62">
        <f t="shared" si="109"/>
        <v>799.20480627287009</v>
      </c>
      <c r="S136" s="62">
        <f ca="1">AVERAGE(OFFSET($R$3,0,0,'Données projet'!$E$9+1,1))-AVERAGE(OFFSET($H$3,0,0,'Données projet'!$E$9+1,1))</f>
        <v>223.49015613166239</v>
      </c>
      <c r="T136" s="62">
        <f t="shared" si="142"/>
        <v>136.15898308259307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97.899731390293653</v>
      </c>
      <c r="AO136" s="62">
        <f t="shared" si="144"/>
        <v>310.21833995692549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8.0945659164196098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5.6768984049325228E-17</v>
      </c>
      <c r="AX136" s="23">
        <f t="shared" si="114"/>
        <v>8.0945659164196098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2.7666828827932479E-13</v>
      </c>
      <c r="BF136" s="14">
        <f t="shared" si="145"/>
        <v>3.6920483163466686E-12</v>
      </c>
      <c r="BG136" s="22">
        <f t="shared" si="115"/>
        <v>6.9121814197236049E-12</v>
      </c>
      <c r="BH136" s="62">
        <f t="shared" si="116"/>
        <v>293.33333333334025</v>
      </c>
      <c r="BI136" s="62">
        <f ca="1">AVERAGE(OFFSET($BH$3,0,0,'Données projet'!$E$11+1,1))-AVERAGE(OFFSET($H$3,0,0,'Données projet'!$E$11+1,1))</f>
        <v>209.0958230411249</v>
      </c>
      <c r="BJ136" s="62">
        <f t="shared" si="146"/>
        <v>250.34919671671565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3.6357050703372803E-14</v>
      </c>
      <c r="CA136" s="14">
        <f t="shared" si="147"/>
        <v>6.1445232567661395E-13</v>
      </c>
      <c r="CB136" s="22">
        <f t="shared" si="118"/>
        <v>1.1334929971951436E-12</v>
      </c>
      <c r="CC136" s="62">
        <f t="shared" si="119"/>
        <v>293.33333333333445</v>
      </c>
      <c r="CD136" s="62">
        <f ca="1">AVERAGE(OFFSET($CC$3,0,0,'Données projet'!$E$12+1,1))-AVERAGE(OFFSET($H$3,0,0,'Données projet'!$E$12+1,1))</f>
        <v>152.52712777621315</v>
      </c>
      <c r="CE136" s="62">
        <f t="shared" si="148"/>
        <v>145.25423263217925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2.2737367544323206E-13</v>
      </c>
      <c r="CU136" s="18">
        <f>CT136*VLOOKUP('Données projet'!$B$13,Paramètres!$A$1:$I$89,3,0)*VLOOKUP('Données projet'!$B$13,Paramètres!$A$1:$I$89,5,0)</f>
        <v>1.4897523215040565E-13</v>
      </c>
      <c r="CV136" s="14">
        <f t="shared" si="149"/>
        <v>2.136562777003313E-12</v>
      </c>
      <c r="CW136" s="22">
        <f t="shared" si="121"/>
        <v>3.9806453659427267E-12</v>
      </c>
      <c r="CX136" s="62">
        <f t="shared" si="122"/>
        <v>293.33333333333729</v>
      </c>
      <c r="CY136" s="62">
        <f ca="1">AVERAGE(OFFSET($CX$3,0,0,'Données projet'!$E$13+1,1))-AVERAGE(OFFSET($H$3,0,0,'Données projet'!$E$13+1,1))</f>
        <v>158.23848664370132</v>
      </c>
      <c r="CZ136" s="62">
        <f t="shared" si="150"/>
        <v>172.92355799729972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2">
        <f t="shared" si="140"/>
        <v>30.988867171899123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70">
        <f t="shared" si="110"/>
        <v>551.18929032439075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235.70351999999946</v>
      </c>
      <c r="P137" s="14">
        <f t="shared" si="141"/>
        <v>57.51415226456087</v>
      </c>
      <c r="Q137" s="22">
        <f t="shared" si="108"/>
        <v>510.68744586077599</v>
      </c>
      <c r="R137" s="62">
        <f t="shared" si="109"/>
        <v>804.02077919410931</v>
      </c>
      <c r="S137" s="62">
        <f ca="1">AVERAGE(OFFSET($R$3,0,0,'Données projet'!$E$9+1,1))-AVERAGE(OFFSET($H$3,0,0,'Données projet'!$E$9+1,1))</f>
        <v>223.49015613166239</v>
      </c>
      <c r="T137" s="62">
        <f t="shared" si="142"/>
        <v>136.15898308259307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97.899731390293653</v>
      </c>
      <c r="AO137" s="62">
        <f t="shared" si="144"/>
        <v>310.21833995692549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7.9358364159963228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4.0141733582348821E-17</v>
      </c>
      <c r="AX137" s="23">
        <f t="shared" si="114"/>
        <v>7.9358364159963228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2.7666828827932479E-13</v>
      </c>
      <c r="BF137" s="14">
        <f t="shared" si="145"/>
        <v>3.6920483163466686E-12</v>
      </c>
      <c r="BG137" s="22">
        <f t="shared" si="115"/>
        <v>6.9121814197236049E-12</v>
      </c>
      <c r="BH137" s="62">
        <f t="shared" si="116"/>
        <v>293.33333333334025</v>
      </c>
      <c r="BI137" s="62">
        <f ca="1">AVERAGE(OFFSET($BH$3,0,0,'Données projet'!$E$11+1,1))-AVERAGE(OFFSET($H$3,0,0,'Données projet'!$E$11+1,1))</f>
        <v>209.0958230411249</v>
      </c>
      <c r="BJ137" s="62">
        <f t="shared" si="146"/>
        <v>250.34919671671565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3.6357050703372803E-14</v>
      </c>
      <c r="CA137" s="14">
        <f t="shared" si="147"/>
        <v>6.1445232567661395E-13</v>
      </c>
      <c r="CB137" s="22">
        <f t="shared" si="118"/>
        <v>1.1334929971951436E-12</v>
      </c>
      <c r="CC137" s="62">
        <f t="shared" si="119"/>
        <v>293.33333333333445</v>
      </c>
      <c r="CD137" s="62">
        <f ca="1">AVERAGE(OFFSET($CC$3,0,0,'Données projet'!$E$12+1,1))-AVERAGE(OFFSET($H$3,0,0,'Données projet'!$E$12+1,1))</f>
        <v>152.52712777621315</v>
      </c>
      <c r="CE137" s="62">
        <f t="shared" si="148"/>
        <v>145.25423263217925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2.2737367544323206E-13</v>
      </c>
      <c r="CU137" s="18">
        <f>CT137*VLOOKUP('Données projet'!$B$13,Paramètres!$A$1:$I$89,3,0)*VLOOKUP('Données projet'!$B$13,Paramètres!$A$1:$I$89,5,0)</f>
        <v>1.4897523215040565E-13</v>
      </c>
      <c r="CV137" s="14">
        <f t="shared" si="149"/>
        <v>2.136562777003313E-12</v>
      </c>
      <c r="CW137" s="22">
        <f t="shared" si="121"/>
        <v>3.9806453659427267E-12</v>
      </c>
      <c r="CX137" s="62">
        <f t="shared" si="122"/>
        <v>293.33333333333729</v>
      </c>
      <c r="CY137" s="62">
        <f ca="1">AVERAGE(OFFSET($CX$3,0,0,'Données projet'!$E$13+1,1))-AVERAGE(OFFSET($H$3,0,0,'Données projet'!$E$13+1,1))</f>
        <v>158.23848664370132</v>
      </c>
      <c r="CZ137" s="62">
        <f t="shared" si="150"/>
        <v>172.92355799729972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2">
        <f t="shared" si="140"/>
        <v>31.193120181260472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70">
        <f t="shared" si="110"/>
        <v>553.06655098236172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237.97799999999944</v>
      </c>
      <c r="P138" s="14">
        <f t="shared" si="141"/>
        <v>58.004273343583726</v>
      </c>
      <c r="Q138" s="22">
        <f t="shared" si="108"/>
        <v>515.50245940674063</v>
      </c>
      <c r="R138" s="62">
        <f t="shared" si="109"/>
        <v>808.83579274007388</v>
      </c>
      <c r="S138" s="62">
        <f ca="1">AVERAGE(OFFSET($R$3,0,0,'Données projet'!$E$9+1,1))-AVERAGE(OFFSET($H$3,0,0,'Données projet'!$E$9+1,1))</f>
        <v>223.49015613166239</v>
      </c>
      <c r="T138" s="62">
        <f t="shared" si="142"/>
        <v>136.15898308259307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97.899731390293653</v>
      </c>
      <c r="AO138" s="62">
        <f t="shared" si="144"/>
        <v>310.21833995692549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7.7802195042609004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2.8384492024662614E-17</v>
      </c>
      <c r="AX138" s="23">
        <f t="shared" si="114"/>
        <v>7.7802195042609004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2.7666828827932479E-13</v>
      </c>
      <c r="BF138" s="14">
        <f t="shared" si="145"/>
        <v>3.6920483163466686E-12</v>
      </c>
      <c r="BG138" s="22">
        <f t="shared" si="115"/>
        <v>6.9121814197236049E-12</v>
      </c>
      <c r="BH138" s="62">
        <f t="shared" si="116"/>
        <v>293.33333333334025</v>
      </c>
      <c r="BI138" s="62">
        <f ca="1">AVERAGE(OFFSET($BH$3,0,0,'Données projet'!$E$11+1,1))-AVERAGE(OFFSET($H$3,0,0,'Données projet'!$E$11+1,1))</f>
        <v>209.0958230411249</v>
      </c>
      <c r="BJ138" s="62">
        <f t="shared" si="146"/>
        <v>250.34919671671565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3.6357050703372803E-14</v>
      </c>
      <c r="CA138" s="14">
        <f t="shared" si="147"/>
        <v>6.1445232567661395E-13</v>
      </c>
      <c r="CB138" s="22">
        <f t="shared" si="118"/>
        <v>1.1334929971951436E-12</v>
      </c>
      <c r="CC138" s="62">
        <f t="shared" si="119"/>
        <v>293.33333333333445</v>
      </c>
      <c r="CD138" s="62">
        <f ca="1">AVERAGE(OFFSET($CC$3,0,0,'Données projet'!$E$12+1,1))-AVERAGE(OFFSET($H$3,0,0,'Données projet'!$E$12+1,1))</f>
        <v>152.52712777621315</v>
      </c>
      <c r="CE138" s="62">
        <f t="shared" si="148"/>
        <v>145.25423263217925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2.2737367544323206E-13</v>
      </c>
      <c r="CU138" s="18">
        <f>CT138*VLOOKUP('Données projet'!$B$13,Paramètres!$A$1:$I$89,3,0)*VLOOKUP('Données projet'!$B$13,Paramètres!$A$1:$I$89,5,0)</f>
        <v>1.4897523215040565E-13</v>
      </c>
      <c r="CV138" s="14">
        <f t="shared" si="149"/>
        <v>2.136562777003313E-12</v>
      </c>
      <c r="CW138" s="22">
        <f t="shared" si="121"/>
        <v>3.9806453659427267E-12</v>
      </c>
      <c r="CX138" s="62">
        <f t="shared" si="122"/>
        <v>293.33333333333729</v>
      </c>
      <c r="CY138" s="62">
        <f ca="1">AVERAGE(OFFSET($CX$3,0,0,'Données projet'!$E$13+1,1))-AVERAGE(OFFSET($H$3,0,0,'Données projet'!$E$13+1,1))</f>
        <v>158.23848664370132</v>
      </c>
      <c r="CZ138" s="62">
        <f t="shared" si="150"/>
        <v>172.92355799729972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2">
        <f t="shared" si="140"/>
        <v>31.397197153337192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70">
        <f t="shared" si="110"/>
        <v>554.94350504206204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240.25247999999945</v>
      </c>
      <c r="P139" s="14">
        <f t="shared" si="141"/>
        <v>58.493849459485787</v>
      </c>
      <c r="Q139" s="22">
        <f t="shared" si="108"/>
        <v>520.31652380860351</v>
      </c>
      <c r="R139" s="62">
        <f t="shared" si="109"/>
        <v>813.64985714193676</v>
      </c>
      <c r="S139" s="62">
        <f ca="1">AVERAGE(OFFSET($R$3,0,0,'Données projet'!$E$9+1,1))-AVERAGE(OFFSET($H$3,0,0,'Données projet'!$E$9+1,1))</f>
        <v>223.49015613166239</v>
      </c>
      <c r="T139" s="62">
        <f t="shared" si="142"/>
        <v>136.15898308259307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97.899731390293653</v>
      </c>
      <c r="AO139" s="62">
        <f t="shared" si="144"/>
        <v>310.21833995692549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7.6276541452476661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2.0070866791174411E-17</v>
      </c>
      <c r="AX139" s="23">
        <f t="shared" si="114"/>
        <v>7.6276541452476661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2.7666828827932479E-13</v>
      </c>
      <c r="BF139" s="14">
        <f t="shared" si="145"/>
        <v>3.6920483163466686E-12</v>
      </c>
      <c r="BG139" s="22">
        <f t="shared" si="115"/>
        <v>6.9121814197236049E-12</v>
      </c>
      <c r="BH139" s="62">
        <f t="shared" si="116"/>
        <v>293.33333333334025</v>
      </c>
      <c r="BI139" s="62">
        <f ca="1">AVERAGE(OFFSET($BH$3,0,0,'Données projet'!$E$11+1,1))-AVERAGE(OFFSET($H$3,0,0,'Données projet'!$E$11+1,1))</f>
        <v>209.0958230411249</v>
      </c>
      <c r="BJ139" s="62">
        <f t="shared" si="146"/>
        <v>250.34919671671565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3.6357050703372803E-14</v>
      </c>
      <c r="CA139" s="14">
        <f t="shared" si="147"/>
        <v>6.1445232567661395E-13</v>
      </c>
      <c r="CB139" s="22">
        <f t="shared" si="118"/>
        <v>1.1334929971951436E-12</v>
      </c>
      <c r="CC139" s="62">
        <f t="shared" si="119"/>
        <v>293.33333333333445</v>
      </c>
      <c r="CD139" s="62">
        <f ca="1">AVERAGE(OFFSET($CC$3,0,0,'Données projet'!$E$12+1,1))-AVERAGE(OFFSET($H$3,0,0,'Données projet'!$E$12+1,1))</f>
        <v>152.52712777621315</v>
      </c>
      <c r="CE139" s="62">
        <f t="shared" si="148"/>
        <v>145.25423263217925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2.2737367544323206E-13</v>
      </c>
      <c r="CU139" s="18">
        <f>CT139*VLOOKUP('Données projet'!$B$13,Paramètres!$A$1:$I$89,3,0)*VLOOKUP('Données projet'!$B$13,Paramètres!$A$1:$I$89,5,0)</f>
        <v>1.4897523215040565E-13</v>
      </c>
      <c r="CV139" s="14">
        <f t="shared" si="149"/>
        <v>2.136562777003313E-12</v>
      </c>
      <c r="CW139" s="22">
        <f t="shared" si="121"/>
        <v>3.9806453659427267E-12</v>
      </c>
      <c r="CX139" s="62">
        <f t="shared" si="122"/>
        <v>293.33333333333729</v>
      </c>
      <c r="CY139" s="62">
        <f ca="1">AVERAGE(OFFSET($CX$3,0,0,'Données projet'!$E$13+1,1))-AVERAGE(OFFSET($H$3,0,0,'Données projet'!$E$13+1,1))</f>
        <v>158.23848664370132</v>
      </c>
      <c r="CZ139" s="62">
        <f t="shared" si="150"/>
        <v>172.92355799729972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2">
        <f t="shared" si="140"/>
        <v>31.601099532596137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70">
        <f t="shared" si="110"/>
        <v>556.8201550192714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242.52695999999943</v>
      </c>
      <c r="P140" s="14">
        <f t="shared" si="141"/>
        <v>58.982886368985021</v>
      </c>
      <c r="Q140" s="22">
        <f t="shared" si="108"/>
        <v>525.12964909264781</v>
      </c>
      <c r="R140" s="62">
        <f t="shared" si="109"/>
        <v>818.46298242598118</v>
      </c>
      <c r="S140" s="62">
        <f ca="1">AVERAGE(OFFSET($R$3,0,0,'Données projet'!$E$9+1,1))-AVERAGE(OFFSET($H$3,0,0,'Données projet'!$E$9+1,1))</f>
        <v>223.49015613166239</v>
      </c>
      <c r="T140" s="62">
        <f t="shared" si="142"/>
        <v>136.15898308259307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97.899731390293653</v>
      </c>
      <c r="AO140" s="62">
        <f t="shared" si="144"/>
        <v>310.21833995692549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7.4780804998690007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1.4192246012331307E-17</v>
      </c>
      <c r="AX140" s="23">
        <f t="shared" si="114"/>
        <v>7.4780804998690007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2.7666828827932479E-13</v>
      </c>
      <c r="BF140" s="14">
        <f t="shared" si="145"/>
        <v>3.6920483163466686E-12</v>
      </c>
      <c r="BG140" s="22">
        <f t="shared" si="115"/>
        <v>6.9121814197236049E-12</v>
      </c>
      <c r="BH140" s="62">
        <f t="shared" si="116"/>
        <v>293.33333333334025</v>
      </c>
      <c r="BI140" s="62">
        <f ca="1">AVERAGE(OFFSET($BH$3,0,0,'Données projet'!$E$11+1,1))-AVERAGE(OFFSET($H$3,0,0,'Données projet'!$E$11+1,1))</f>
        <v>209.0958230411249</v>
      </c>
      <c r="BJ140" s="62">
        <f t="shared" si="146"/>
        <v>250.34919671671565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3.6357050703372803E-14</v>
      </c>
      <c r="CA140" s="14">
        <f t="shared" si="147"/>
        <v>6.1445232567661395E-13</v>
      </c>
      <c r="CB140" s="22">
        <f t="shared" si="118"/>
        <v>1.1334929971951436E-12</v>
      </c>
      <c r="CC140" s="62">
        <f t="shared" si="119"/>
        <v>293.33333333333445</v>
      </c>
      <c r="CD140" s="62">
        <f ca="1">AVERAGE(OFFSET($CC$3,0,0,'Données projet'!$E$12+1,1))-AVERAGE(OFFSET($H$3,0,0,'Données projet'!$E$12+1,1))</f>
        <v>152.52712777621315</v>
      </c>
      <c r="CE140" s="62">
        <f t="shared" si="148"/>
        <v>145.25423263217925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2.2737367544323206E-13</v>
      </c>
      <c r="CU140" s="18">
        <f>CT140*VLOOKUP('Données projet'!$B$13,Paramètres!$A$1:$I$89,3,0)*VLOOKUP('Données projet'!$B$13,Paramètres!$A$1:$I$89,5,0)</f>
        <v>1.4897523215040565E-13</v>
      </c>
      <c r="CV140" s="14">
        <f t="shared" si="149"/>
        <v>2.136562777003313E-12</v>
      </c>
      <c r="CW140" s="22">
        <f t="shared" si="121"/>
        <v>3.9806453659427267E-12</v>
      </c>
      <c r="CX140" s="62">
        <f t="shared" si="122"/>
        <v>293.33333333333729</v>
      </c>
      <c r="CY140" s="62">
        <f ca="1">AVERAGE(OFFSET($CX$3,0,0,'Données projet'!$E$13+1,1))-AVERAGE(OFFSET($H$3,0,0,'Données projet'!$E$13+1,1))</f>
        <v>158.23848664370132</v>
      </c>
      <c r="CZ140" s="62">
        <f t="shared" si="150"/>
        <v>172.92355799729972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2">
        <f t="shared" si="140"/>
        <v>31.804828741198751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70">
        <f t="shared" si="110"/>
        <v>558.69650339092095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244.80143999999945</v>
      </c>
      <c r="P141" s="14">
        <f t="shared" si="141"/>
        <v>59.471389714596469</v>
      </c>
      <c r="Q141" s="22">
        <f t="shared" si="108"/>
        <v>529.94184508625449</v>
      </c>
      <c r="R141" s="62">
        <f t="shared" si="109"/>
        <v>823.27517841958775</v>
      </c>
      <c r="S141" s="62">
        <f ca="1">AVERAGE(OFFSET($R$3,0,0,'Données projet'!$E$9+1,1))-AVERAGE(OFFSET($H$3,0,0,'Données projet'!$E$9+1,1))</f>
        <v>223.49015613166239</v>
      </c>
      <c r="T141" s="62">
        <f t="shared" si="142"/>
        <v>136.15898308259307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97.899731390293653</v>
      </c>
      <c r="AO141" s="62">
        <f t="shared" si="144"/>
        <v>310.21833995692549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7.3314399024452959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1.0035433395587205E-17</v>
      </c>
      <c r="AX141" s="23">
        <f t="shared" si="114"/>
        <v>7.3314399024452959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2.7666828827932479E-13</v>
      </c>
      <c r="BF141" s="14">
        <f t="shared" si="145"/>
        <v>3.6920483163466686E-12</v>
      </c>
      <c r="BG141" s="22">
        <f t="shared" si="115"/>
        <v>6.9121814197236049E-12</v>
      </c>
      <c r="BH141" s="62">
        <f t="shared" si="116"/>
        <v>293.33333333334025</v>
      </c>
      <c r="BI141" s="62">
        <f ca="1">AVERAGE(OFFSET($BH$3,0,0,'Données projet'!$E$11+1,1))-AVERAGE(OFFSET($H$3,0,0,'Données projet'!$E$11+1,1))</f>
        <v>209.0958230411249</v>
      </c>
      <c r="BJ141" s="62">
        <f t="shared" si="146"/>
        <v>250.34919671671565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3.6357050703372803E-14</v>
      </c>
      <c r="CA141" s="14">
        <f t="shared" si="147"/>
        <v>6.1445232567661395E-13</v>
      </c>
      <c r="CB141" s="22">
        <f t="shared" si="118"/>
        <v>1.1334929971951436E-12</v>
      </c>
      <c r="CC141" s="62">
        <f t="shared" si="119"/>
        <v>293.33333333333445</v>
      </c>
      <c r="CD141" s="62">
        <f ca="1">AVERAGE(OFFSET($CC$3,0,0,'Données projet'!$E$12+1,1))-AVERAGE(OFFSET($H$3,0,0,'Données projet'!$E$12+1,1))</f>
        <v>152.52712777621315</v>
      </c>
      <c r="CE141" s="62">
        <f t="shared" si="148"/>
        <v>145.25423263217925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2.2737367544323206E-13</v>
      </c>
      <c r="CU141" s="18">
        <f>CT141*VLOOKUP('Données projet'!$B$13,Paramètres!$A$1:$I$89,3,0)*VLOOKUP('Données projet'!$B$13,Paramètres!$A$1:$I$89,5,0)</f>
        <v>1.4897523215040565E-13</v>
      </c>
      <c r="CV141" s="14">
        <f t="shared" si="149"/>
        <v>2.136562777003313E-12</v>
      </c>
      <c r="CW141" s="22">
        <f t="shared" si="121"/>
        <v>3.9806453659427267E-12</v>
      </c>
      <c r="CX141" s="62">
        <f t="shared" si="122"/>
        <v>293.33333333333729</v>
      </c>
      <c r="CY141" s="62">
        <f ca="1">AVERAGE(OFFSET($CX$3,0,0,'Données projet'!$E$13+1,1))-AVERAGE(OFFSET($H$3,0,0,'Données projet'!$E$13+1,1))</f>
        <v>158.23848664370132</v>
      </c>
      <c r="CZ141" s="62">
        <f t="shared" si="150"/>
        <v>172.92355799729972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2">
        <f t="shared" si="140"/>
        <v>32.008386179504427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70">
        <f t="shared" si="110"/>
        <v>560.57255259596991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247.0759199999994</v>
      </c>
      <c r="P142" s="14">
        <f t="shared" si="141"/>
        <v>59.959365027937501</v>
      </c>
      <c r="Q142" s="22">
        <f t="shared" si="108"/>
        <v>534.75312142365681</v>
      </c>
      <c r="R142" s="62">
        <f t="shared" si="109"/>
        <v>828.08645475699018</v>
      </c>
      <c r="S142" s="62">
        <f ca="1">AVERAGE(OFFSET($R$3,0,0,'Données projet'!$E$9+1,1))-AVERAGE(OFFSET($H$3,0,0,'Données projet'!$E$9+1,1))</f>
        <v>223.49015613166239</v>
      </c>
      <c r="T142" s="62">
        <f t="shared" si="142"/>
        <v>136.15898308259307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97.899731390293653</v>
      </c>
      <c r="AO142" s="62">
        <f t="shared" si="144"/>
        <v>310.21833995692549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7.1876748376951367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7.0961230061656535E-18</v>
      </c>
      <c r="AX142" s="23">
        <f t="shared" si="114"/>
        <v>7.1876748376951367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2.7666828827932479E-13</v>
      </c>
      <c r="BF142" s="14">
        <f t="shared" si="145"/>
        <v>3.6920483163466686E-12</v>
      </c>
      <c r="BG142" s="22">
        <f t="shared" si="115"/>
        <v>6.9121814197236049E-12</v>
      </c>
      <c r="BH142" s="62">
        <f t="shared" si="116"/>
        <v>293.33333333334025</v>
      </c>
      <c r="BI142" s="62">
        <f ca="1">AVERAGE(OFFSET($BH$3,0,0,'Données projet'!$E$11+1,1))-AVERAGE(OFFSET($H$3,0,0,'Données projet'!$E$11+1,1))</f>
        <v>209.0958230411249</v>
      </c>
      <c r="BJ142" s="62">
        <f t="shared" si="146"/>
        <v>250.34919671671565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3.6357050703372803E-14</v>
      </c>
      <c r="CA142" s="14">
        <f t="shared" si="147"/>
        <v>6.1445232567661395E-13</v>
      </c>
      <c r="CB142" s="22">
        <f t="shared" si="118"/>
        <v>1.1334929971951436E-12</v>
      </c>
      <c r="CC142" s="62">
        <f t="shared" si="119"/>
        <v>293.33333333333445</v>
      </c>
      <c r="CD142" s="62">
        <f ca="1">AVERAGE(OFFSET($CC$3,0,0,'Données projet'!$E$12+1,1))-AVERAGE(OFFSET($H$3,0,0,'Données projet'!$E$12+1,1))</f>
        <v>152.52712777621315</v>
      </c>
      <c r="CE142" s="62">
        <f t="shared" si="148"/>
        <v>145.25423263217925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2.2737367544323206E-13</v>
      </c>
      <c r="CU142" s="18">
        <f>CT142*VLOOKUP('Données projet'!$B$13,Paramètres!$A$1:$I$89,3,0)*VLOOKUP('Données projet'!$B$13,Paramètres!$A$1:$I$89,5,0)</f>
        <v>1.4897523215040565E-13</v>
      </c>
      <c r="CV142" s="14">
        <f t="shared" si="149"/>
        <v>2.136562777003313E-12</v>
      </c>
      <c r="CW142" s="22">
        <f t="shared" si="121"/>
        <v>3.9806453659427267E-12</v>
      </c>
      <c r="CX142" s="62">
        <f t="shared" si="122"/>
        <v>293.33333333333729</v>
      </c>
      <c r="CY142" s="62">
        <f ca="1">AVERAGE(OFFSET($CX$3,0,0,'Données projet'!$E$13+1,1))-AVERAGE(OFFSET($H$3,0,0,'Données projet'!$E$13+1,1))</f>
        <v>158.23848664370132</v>
      </c>
      <c r="CZ142" s="62">
        <f t="shared" si="150"/>
        <v>172.92355799729972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2">
        <f t="shared" si="140"/>
        <v>32.211773226559345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70">
        <f t="shared" si="110"/>
        <v>562.44830503625724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249.35039999999938</v>
      </c>
      <c r="P143" s="14">
        <f t="shared" si="141"/>
        <v>60.446817732908059</v>
      </c>
      <c r="Q143" s="22">
        <f t="shared" si="108"/>
        <v>539.56348755148042</v>
      </c>
      <c r="R143" s="62">
        <f t="shared" si="109"/>
        <v>832.89682088481368</v>
      </c>
      <c r="S143" s="62">
        <f ca="1">AVERAGE(OFFSET($R$3,0,0,'Données projet'!$E$9+1,1))-AVERAGE(OFFSET($H$3,0,0,'Données projet'!$E$9+1,1))</f>
        <v>223.49015613166239</v>
      </c>
      <c r="T143" s="62">
        <f t="shared" si="142"/>
        <v>136.15898308259307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97.899731390293653</v>
      </c>
      <c r="AO143" s="62">
        <f t="shared" si="144"/>
        <v>310.21833995692549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7.0467289181766972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5.0177166977936026E-18</v>
      </c>
      <c r="AX143" s="23">
        <f t="shared" si="114"/>
        <v>7.0467289181766972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2.7666828827932479E-13</v>
      </c>
      <c r="BF143" s="14">
        <f t="shared" si="145"/>
        <v>3.6920483163466686E-12</v>
      </c>
      <c r="BG143" s="22">
        <f t="shared" si="115"/>
        <v>6.9121814197236049E-12</v>
      </c>
      <c r="BH143" s="62">
        <f t="shared" si="116"/>
        <v>293.33333333334025</v>
      </c>
      <c r="BI143" s="62">
        <f ca="1">AVERAGE(OFFSET($BH$3,0,0,'Données projet'!$E$11+1,1))-AVERAGE(OFFSET($H$3,0,0,'Données projet'!$E$11+1,1))</f>
        <v>209.0958230411249</v>
      </c>
      <c r="BJ143" s="62">
        <f t="shared" si="146"/>
        <v>250.34919671671565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3.6357050703372803E-14</v>
      </c>
      <c r="CA143" s="14">
        <f t="shared" si="147"/>
        <v>6.1445232567661395E-13</v>
      </c>
      <c r="CB143" s="22">
        <f t="shared" si="118"/>
        <v>1.1334929971951436E-12</v>
      </c>
      <c r="CC143" s="62">
        <f t="shared" si="119"/>
        <v>293.33333333333445</v>
      </c>
      <c r="CD143" s="62">
        <f ca="1">AVERAGE(OFFSET($CC$3,0,0,'Données projet'!$E$12+1,1))-AVERAGE(OFFSET($H$3,0,0,'Données projet'!$E$12+1,1))</f>
        <v>152.52712777621315</v>
      </c>
      <c r="CE143" s="62">
        <f t="shared" si="148"/>
        <v>145.25423263217925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2.2737367544323206E-13</v>
      </c>
      <c r="CU143" s="18">
        <f>CT143*VLOOKUP('Données projet'!$B$13,Paramètres!$A$1:$I$89,3,0)*VLOOKUP('Données projet'!$B$13,Paramètres!$A$1:$I$89,5,0)</f>
        <v>1.4897523215040565E-13</v>
      </c>
      <c r="CV143" s="14">
        <f t="shared" si="149"/>
        <v>2.136562777003313E-12</v>
      </c>
      <c r="CW143" s="22">
        <f t="shared" si="121"/>
        <v>3.9806453659427267E-12</v>
      </c>
      <c r="CX143" s="62">
        <f t="shared" si="122"/>
        <v>293.33333333333729</v>
      </c>
      <c r="CY143" s="62">
        <f ca="1">AVERAGE(OFFSET($CX$3,0,0,'Données projet'!$E$13+1,1))-AVERAGE(OFFSET($H$3,0,0,'Données projet'!$E$13+1,1))</f>
        <v>158.23848664370132</v>
      </c>
      <c r="CZ143" s="62">
        <f t="shared" si="150"/>
        <v>172.92355799729972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2">
        <f t="shared" si="140"/>
        <v>32.414991240570387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70">
        <f t="shared" si="110"/>
        <v>564.32376307732648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228.62735999999936</v>
      </c>
      <c r="P144" s="14">
        <f t="shared" si="141"/>
        <v>55.985781352428546</v>
      </c>
      <c r="Q144" s="22">
        <f t="shared" si="108"/>
        <v>495.70122118881187</v>
      </c>
      <c r="R144" s="62">
        <f t="shared" si="109"/>
        <v>789.03455452214519</v>
      </c>
      <c r="S144" s="62">
        <f ca="1">AVERAGE(OFFSET($R$3,0,0,'Données projet'!$E$9+1,1))-AVERAGE(OFFSET($H$3,0,0,'Données projet'!$E$9+1,1))</f>
        <v>223.49015613166239</v>
      </c>
      <c r="T144" s="62">
        <f t="shared" si="142"/>
        <v>136.15898308259307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97.899731390293653</v>
      </c>
      <c r="AO144" s="62">
        <f t="shared" si="144"/>
        <v>310.21833995692549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6.9085468621714918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3.5480615030828268E-18</v>
      </c>
      <c r="AX144" s="23">
        <f t="shared" si="114"/>
        <v>6.9085468621714918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2.7666828827932479E-13</v>
      </c>
      <c r="BF144" s="14">
        <f t="shared" si="145"/>
        <v>3.6920483163466686E-12</v>
      </c>
      <c r="BG144" s="22">
        <f t="shared" si="115"/>
        <v>6.9121814197236049E-12</v>
      </c>
      <c r="BH144" s="62">
        <f t="shared" si="116"/>
        <v>293.33333333334025</v>
      </c>
      <c r="BI144" s="62">
        <f ca="1">AVERAGE(OFFSET($BH$3,0,0,'Données projet'!$E$11+1,1))-AVERAGE(OFFSET($H$3,0,0,'Données projet'!$E$11+1,1))</f>
        <v>209.0958230411249</v>
      </c>
      <c r="BJ144" s="62">
        <f t="shared" si="146"/>
        <v>250.34919671671565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3.6357050703372803E-14</v>
      </c>
      <c r="CA144" s="14">
        <f t="shared" si="147"/>
        <v>6.1445232567661395E-13</v>
      </c>
      <c r="CB144" s="22">
        <f t="shared" si="118"/>
        <v>1.1334929971951436E-12</v>
      </c>
      <c r="CC144" s="62">
        <f t="shared" si="119"/>
        <v>293.33333333333445</v>
      </c>
      <c r="CD144" s="62">
        <f ca="1">AVERAGE(OFFSET($CC$3,0,0,'Données projet'!$E$12+1,1))-AVERAGE(OFFSET($H$3,0,0,'Données projet'!$E$12+1,1))</f>
        <v>152.52712777621315</v>
      </c>
      <c r="CE144" s="62">
        <f t="shared" si="148"/>
        <v>145.25423263217925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2.2737367544323206E-13</v>
      </c>
      <c r="CU144" s="18">
        <f>CT144*VLOOKUP('Données projet'!$B$13,Paramètres!$A$1:$I$89,3,0)*VLOOKUP('Données projet'!$B$13,Paramètres!$A$1:$I$89,5,0)</f>
        <v>1.4897523215040565E-13</v>
      </c>
      <c r="CV144" s="14">
        <f t="shared" si="149"/>
        <v>2.136562777003313E-12</v>
      </c>
      <c r="CW144" s="22">
        <f t="shared" si="121"/>
        <v>3.9806453659427267E-12</v>
      </c>
      <c r="CX144" s="62">
        <f t="shared" si="122"/>
        <v>293.33333333333729</v>
      </c>
      <c r="CY144" s="62">
        <f ca="1">AVERAGE(OFFSET($CX$3,0,0,'Données projet'!$E$13+1,1))-AVERAGE(OFFSET($H$3,0,0,'Données projet'!$E$13+1,1))</f>
        <v>158.23848664370132</v>
      </c>
      <c r="CZ144" s="62">
        <f t="shared" si="150"/>
        <v>172.92355799729972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2">
        <f t="shared" si="140"/>
        <v>32.618041559365949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70">
        <f t="shared" si="110"/>
        <v>566.1989290492287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230.64911999999936</v>
      </c>
      <c r="P145" s="14">
        <f t="shared" si="141"/>
        <v>56.423013421666433</v>
      </c>
      <c r="Q145" s="22">
        <f t="shared" si="108"/>
        <v>499.98396570940122</v>
      </c>
      <c r="R145" s="62">
        <f t="shared" si="109"/>
        <v>793.31729904273448</v>
      </c>
      <c r="S145" s="62">
        <f ca="1">AVERAGE(OFFSET($R$3,0,0,'Données projet'!$E$9+1,1))-AVERAGE(OFFSET($H$3,0,0,'Données projet'!$E$9+1,1))</f>
        <v>223.49015613166239</v>
      </c>
      <c r="T145" s="62">
        <f t="shared" si="142"/>
        <v>136.15898308259307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97.899731390293653</v>
      </c>
      <c r="AO145" s="62">
        <f t="shared" si="144"/>
        <v>310.21833995692549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6.7730744720018166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2.5088583488968013E-18</v>
      </c>
      <c r="AX145" s="23">
        <f t="shared" si="114"/>
        <v>6.7730744720018166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2.7666828827932479E-13</v>
      </c>
      <c r="BF145" s="14">
        <f t="shared" si="145"/>
        <v>3.6920483163466686E-12</v>
      </c>
      <c r="BG145" s="22">
        <f t="shared" si="115"/>
        <v>6.9121814197236049E-12</v>
      </c>
      <c r="BH145" s="62">
        <f t="shared" si="116"/>
        <v>293.33333333334025</v>
      </c>
      <c r="BI145" s="62">
        <f ca="1">AVERAGE(OFFSET($BH$3,0,0,'Données projet'!$E$11+1,1))-AVERAGE(OFFSET($H$3,0,0,'Données projet'!$E$11+1,1))</f>
        <v>209.0958230411249</v>
      </c>
      <c r="BJ145" s="62">
        <f t="shared" si="146"/>
        <v>250.34919671671565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3.6357050703372803E-14</v>
      </c>
      <c r="CA145" s="14">
        <f t="shared" si="147"/>
        <v>6.1445232567661395E-13</v>
      </c>
      <c r="CB145" s="22">
        <f t="shared" si="118"/>
        <v>1.1334929971951436E-12</v>
      </c>
      <c r="CC145" s="62">
        <f t="shared" si="119"/>
        <v>293.33333333333445</v>
      </c>
      <c r="CD145" s="62">
        <f ca="1">AVERAGE(OFFSET($CC$3,0,0,'Données projet'!$E$12+1,1))-AVERAGE(OFFSET($H$3,0,0,'Données projet'!$E$12+1,1))</f>
        <v>152.52712777621315</v>
      </c>
      <c r="CE145" s="62">
        <f t="shared" si="148"/>
        <v>145.25423263217925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2.2737367544323206E-13</v>
      </c>
      <c r="CU145" s="18">
        <f>CT145*VLOOKUP('Données projet'!$B$13,Paramètres!$A$1:$I$89,3,0)*VLOOKUP('Données projet'!$B$13,Paramètres!$A$1:$I$89,5,0)</f>
        <v>1.4897523215040565E-13</v>
      </c>
      <c r="CV145" s="14">
        <f t="shared" si="149"/>
        <v>2.136562777003313E-12</v>
      </c>
      <c r="CW145" s="22">
        <f t="shared" si="121"/>
        <v>3.9806453659427267E-12</v>
      </c>
      <c r="CX145" s="62">
        <f t="shared" si="122"/>
        <v>293.33333333333729</v>
      </c>
      <c r="CY145" s="62">
        <f ca="1">AVERAGE(OFFSET($CX$3,0,0,'Données projet'!$E$13+1,1))-AVERAGE(OFFSET($H$3,0,0,'Données projet'!$E$13+1,1))</f>
        <v>158.23848664370132</v>
      </c>
      <c r="CZ145" s="62">
        <f t="shared" si="150"/>
        <v>172.92355799729972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2">
        <f t="shared" si="140"/>
        <v>32.820925500842684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70">
        <f t="shared" si="110"/>
        <v>568.0738052473007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232.67087999999933</v>
      </c>
      <c r="P146" s="14">
        <f t="shared" si="141"/>
        <v>56.859799601522155</v>
      </c>
      <c r="Q146" s="22">
        <f t="shared" si="108"/>
        <v>504.26593363931647</v>
      </c>
      <c r="R146" s="62">
        <f t="shared" si="109"/>
        <v>797.59926697264973</v>
      </c>
      <c r="S146" s="62">
        <f ca="1">AVERAGE(OFFSET($R$3,0,0,'Données projet'!$E$9+1,1))-AVERAGE(OFFSET($H$3,0,0,'Données projet'!$E$9+1,1))</f>
        <v>223.49015613166239</v>
      </c>
      <c r="T146" s="62">
        <f t="shared" si="142"/>
        <v>136.15898308259307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97.899731390293653</v>
      </c>
      <c r="AO146" s="62">
        <f t="shared" si="144"/>
        <v>310.21833995692549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6.64025861277337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1.7740307515414134E-18</v>
      </c>
      <c r="AX146" s="23">
        <f t="shared" si="114"/>
        <v>6.64025861277337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2.7666828827932479E-13</v>
      </c>
      <c r="BF146" s="14">
        <f t="shared" si="145"/>
        <v>3.6920483163466686E-12</v>
      </c>
      <c r="BG146" s="22">
        <f t="shared" si="115"/>
        <v>6.9121814197236049E-12</v>
      </c>
      <c r="BH146" s="62">
        <f t="shared" si="116"/>
        <v>293.33333333334025</v>
      </c>
      <c r="BI146" s="62">
        <f ca="1">AVERAGE(OFFSET($BH$3,0,0,'Données projet'!$E$11+1,1))-AVERAGE(OFFSET($H$3,0,0,'Données projet'!$E$11+1,1))</f>
        <v>209.0958230411249</v>
      </c>
      <c r="BJ146" s="62">
        <f t="shared" si="146"/>
        <v>250.34919671671565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3.6357050703372803E-14</v>
      </c>
      <c r="CA146" s="14">
        <f t="shared" si="147"/>
        <v>6.1445232567661395E-13</v>
      </c>
      <c r="CB146" s="22">
        <f t="shared" si="118"/>
        <v>1.1334929971951436E-12</v>
      </c>
      <c r="CC146" s="62">
        <f t="shared" si="119"/>
        <v>293.33333333333445</v>
      </c>
      <c r="CD146" s="62">
        <f ca="1">AVERAGE(OFFSET($CC$3,0,0,'Données projet'!$E$12+1,1))-AVERAGE(OFFSET($H$3,0,0,'Données projet'!$E$12+1,1))</f>
        <v>152.52712777621315</v>
      </c>
      <c r="CE146" s="62">
        <f t="shared" si="148"/>
        <v>145.25423263217925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2.2737367544323206E-13</v>
      </c>
      <c r="CU146" s="18">
        <f>CT146*VLOOKUP('Données projet'!$B$13,Paramètres!$A$1:$I$89,3,0)*VLOOKUP('Données projet'!$B$13,Paramètres!$A$1:$I$89,5,0)</f>
        <v>1.4897523215040565E-13</v>
      </c>
      <c r="CV146" s="14">
        <f t="shared" si="149"/>
        <v>2.136562777003313E-12</v>
      </c>
      <c r="CW146" s="22">
        <f t="shared" si="121"/>
        <v>3.9806453659427267E-12</v>
      </c>
      <c r="CX146" s="62">
        <f t="shared" si="122"/>
        <v>293.33333333333729</v>
      </c>
      <c r="CY146" s="62">
        <f ca="1">AVERAGE(OFFSET($CX$3,0,0,'Données projet'!$E$13+1,1))-AVERAGE(OFFSET($H$3,0,0,'Données projet'!$E$13+1,1))</f>
        <v>158.23848664370132</v>
      </c>
      <c r="CZ146" s="62">
        <f t="shared" si="150"/>
        <v>172.92355799729972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2">
        <f t="shared" si="140"/>
        <v>33.023644363399924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70">
        <f t="shared" si="110"/>
        <v>569.94839393292125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234.69263999999933</v>
      </c>
      <c r="P147" s="14">
        <f t="shared" si="141"/>
        <v>57.296144215400361</v>
      </c>
      <c r="Q147" s="22">
        <f t="shared" si="108"/>
        <v>508.54713250848772</v>
      </c>
      <c r="R147" s="62">
        <f t="shared" si="109"/>
        <v>801.88046584182098</v>
      </c>
      <c r="S147" s="62">
        <f ca="1">AVERAGE(OFFSET($R$3,0,0,'Données projet'!$E$9+1,1))-AVERAGE(OFFSET($H$3,0,0,'Données projet'!$E$9+1,1))</f>
        <v>223.49015613166239</v>
      </c>
      <c r="T147" s="62">
        <f t="shared" si="142"/>
        <v>136.15898308259307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97.899731390293653</v>
      </c>
      <c r="AO147" s="62">
        <f t="shared" si="144"/>
        <v>310.21833995692549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6.510047191534718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1.2544291744484007E-18</v>
      </c>
      <c r="AX147" s="23">
        <f t="shared" si="114"/>
        <v>6.510047191534718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2.7666828827932479E-13</v>
      </c>
      <c r="BF147" s="14">
        <f t="shared" si="145"/>
        <v>3.6920483163466686E-12</v>
      </c>
      <c r="BG147" s="22">
        <f t="shared" si="115"/>
        <v>6.9121814197236049E-12</v>
      </c>
      <c r="BH147" s="62">
        <f t="shared" si="116"/>
        <v>293.33333333334025</v>
      </c>
      <c r="BI147" s="62">
        <f ca="1">AVERAGE(OFFSET($BH$3,0,0,'Données projet'!$E$11+1,1))-AVERAGE(OFFSET($H$3,0,0,'Données projet'!$E$11+1,1))</f>
        <v>209.0958230411249</v>
      </c>
      <c r="BJ147" s="62">
        <f t="shared" si="146"/>
        <v>250.34919671671565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3.6357050703372803E-14</v>
      </c>
      <c r="CA147" s="14">
        <f t="shared" si="147"/>
        <v>6.1445232567661395E-13</v>
      </c>
      <c r="CB147" s="22">
        <f t="shared" si="118"/>
        <v>1.1334929971951436E-12</v>
      </c>
      <c r="CC147" s="62">
        <f t="shared" si="119"/>
        <v>293.33333333333445</v>
      </c>
      <c r="CD147" s="62">
        <f ca="1">AVERAGE(OFFSET($CC$3,0,0,'Données projet'!$E$12+1,1))-AVERAGE(OFFSET($H$3,0,0,'Données projet'!$E$12+1,1))</f>
        <v>152.52712777621315</v>
      </c>
      <c r="CE147" s="62">
        <f t="shared" si="148"/>
        <v>145.25423263217925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2.2737367544323206E-13</v>
      </c>
      <c r="CU147" s="18">
        <f>CT147*VLOOKUP('Données projet'!$B$13,Paramètres!$A$1:$I$89,3,0)*VLOOKUP('Données projet'!$B$13,Paramètres!$A$1:$I$89,5,0)</f>
        <v>1.4897523215040565E-13</v>
      </c>
      <c r="CV147" s="14">
        <f t="shared" si="149"/>
        <v>2.136562777003313E-12</v>
      </c>
      <c r="CW147" s="22">
        <f t="shared" si="121"/>
        <v>3.9806453659427267E-12</v>
      </c>
      <c r="CX147" s="62">
        <f t="shared" si="122"/>
        <v>293.33333333333729</v>
      </c>
      <c r="CY147" s="62">
        <f ca="1">AVERAGE(OFFSET($CX$3,0,0,'Données projet'!$E$13+1,1))-AVERAGE(OFFSET($H$3,0,0,'Données projet'!$E$13+1,1))</f>
        <v>158.23848664370132</v>
      </c>
      <c r="CZ147" s="62">
        <f t="shared" si="150"/>
        <v>172.92355799729972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2">
        <f t="shared" si="140"/>
        <v>33.226199426361291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70">
        <f t="shared" si="110"/>
        <v>571.82269733424562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236.7143999999993</v>
      </c>
      <c r="P148" s="14">
        <f t="shared" si="141"/>
        <v>57.732051507919145</v>
      </c>
      <c r="Q148" s="22">
        <f t="shared" si="108"/>
        <v>512.82756970962453</v>
      </c>
      <c r="R148" s="62">
        <f t="shared" si="109"/>
        <v>806.1609030429579</v>
      </c>
      <c r="S148" s="62">
        <f ca="1">AVERAGE(OFFSET($R$3,0,0,'Données projet'!$E$9+1,1))-AVERAGE(OFFSET($H$3,0,0,'Données projet'!$E$9+1,1))</f>
        <v>223.49015613166239</v>
      </c>
      <c r="T148" s="62">
        <f t="shared" si="142"/>
        <v>136.15898308259307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97.899731390293653</v>
      </c>
      <c r="AO148" s="62">
        <f t="shared" si="144"/>
        <v>310.21833995692549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6.3823891368454317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8.8701537577070669E-19</v>
      </c>
      <c r="AX148" s="23">
        <f t="shared" si="114"/>
        <v>6.3823891368454317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2.7666828827932479E-13</v>
      </c>
      <c r="BF148" s="14">
        <f t="shared" si="145"/>
        <v>3.6920483163466686E-12</v>
      </c>
      <c r="BG148" s="22">
        <f t="shared" si="115"/>
        <v>6.9121814197236049E-12</v>
      </c>
      <c r="BH148" s="62">
        <f t="shared" si="116"/>
        <v>293.33333333334025</v>
      </c>
      <c r="BI148" s="62">
        <f ca="1">AVERAGE(OFFSET($BH$3,0,0,'Données projet'!$E$11+1,1))-AVERAGE(OFFSET($H$3,0,0,'Données projet'!$E$11+1,1))</f>
        <v>209.0958230411249</v>
      </c>
      <c r="BJ148" s="62">
        <f t="shared" si="146"/>
        <v>250.34919671671565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3.6357050703372803E-14</v>
      </c>
      <c r="CA148" s="14">
        <f t="shared" si="147"/>
        <v>6.1445232567661395E-13</v>
      </c>
      <c r="CB148" s="22">
        <f t="shared" si="118"/>
        <v>1.1334929971951436E-12</v>
      </c>
      <c r="CC148" s="62">
        <f t="shared" si="119"/>
        <v>293.33333333333445</v>
      </c>
      <c r="CD148" s="62">
        <f ca="1">AVERAGE(OFFSET($CC$3,0,0,'Données projet'!$E$12+1,1))-AVERAGE(OFFSET($H$3,0,0,'Données projet'!$E$12+1,1))</f>
        <v>152.52712777621315</v>
      </c>
      <c r="CE148" s="62">
        <f t="shared" si="148"/>
        <v>145.25423263217925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2.2737367544323206E-13</v>
      </c>
      <c r="CU148" s="18">
        <f>CT148*VLOOKUP('Données projet'!$B$13,Paramètres!$A$1:$I$89,3,0)*VLOOKUP('Données projet'!$B$13,Paramètres!$A$1:$I$89,5,0)</f>
        <v>1.4897523215040565E-13</v>
      </c>
      <c r="CV148" s="14">
        <f t="shared" si="149"/>
        <v>2.136562777003313E-12</v>
      </c>
      <c r="CW148" s="22">
        <f t="shared" si="121"/>
        <v>3.9806453659427267E-12</v>
      </c>
      <c r="CX148" s="62">
        <f t="shared" si="122"/>
        <v>293.33333333333729</v>
      </c>
      <c r="CY148" s="62">
        <f ca="1">AVERAGE(OFFSET($CX$3,0,0,'Données projet'!$E$13+1,1))-AVERAGE(OFFSET($H$3,0,0,'Données projet'!$E$13+1,1))</f>
        <v>158.23848664370132</v>
      </c>
      <c r="CZ148" s="62">
        <f t="shared" si="150"/>
        <v>172.92355799729972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2">
        <f t="shared" si="140"/>
        <v>33.428591950384771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70">
        <f t="shared" si="110"/>
        <v>573.69671764691986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238.7361599999993</v>
      </c>
      <c r="P149" s="14">
        <f t="shared" si="141"/>
        <v>58.167525647006187</v>
      </c>
      <c r="Q149" s="22">
        <f t="shared" si="108"/>
        <v>517.10725250186795</v>
      </c>
      <c r="R149" s="62">
        <f t="shared" si="109"/>
        <v>810.44058583520132</v>
      </c>
      <c r="S149" s="62">
        <f ca="1">AVERAGE(OFFSET($R$3,0,0,'Données projet'!$E$9+1,1))-AVERAGE(OFFSET($H$3,0,0,'Données projet'!$E$9+1,1))</f>
        <v>223.49015613166239</v>
      </c>
      <c r="T149" s="62">
        <f t="shared" si="142"/>
        <v>136.15898308259307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97.899731390293653</v>
      </c>
      <c r="AO149" s="62">
        <f t="shared" si="144"/>
        <v>310.21833995692549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6.2572343787448768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6.2721458722420033E-19</v>
      </c>
      <c r="AX149" s="23">
        <f t="shared" si="114"/>
        <v>6.2572343787448768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2.7666828827932479E-13</v>
      </c>
      <c r="BF149" s="14">
        <f t="shared" si="145"/>
        <v>3.6920483163466686E-12</v>
      </c>
      <c r="BG149" s="22">
        <f t="shared" si="115"/>
        <v>6.9121814197236049E-12</v>
      </c>
      <c r="BH149" s="62">
        <f t="shared" si="116"/>
        <v>293.33333333334025</v>
      </c>
      <c r="BI149" s="62">
        <f ca="1">AVERAGE(OFFSET($BH$3,0,0,'Données projet'!$E$11+1,1))-AVERAGE(OFFSET($H$3,0,0,'Données projet'!$E$11+1,1))</f>
        <v>209.0958230411249</v>
      </c>
      <c r="BJ149" s="62">
        <f t="shared" si="146"/>
        <v>250.34919671671565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3.6357050703372803E-14</v>
      </c>
      <c r="CA149" s="14">
        <f t="shared" si="147"/>
        <v>6.1445232567661395E-13</v>
      </c>
      <c r="CB149" s="22">
        <f t="shared" si="118"/>
        <v>1.1334929971951436E-12</v>
      </c>
      <c r="CC149" s="62">
        <f t="shared" si="119"/>
        <v>293.33333333333445</v>
      </c>
      <c r="CD149" s="62">
        <f ca="1">AVERAGE(OFFSET($CC$3,0,0,'Données projet'!$E$12+1,1))-AVERAGE(OFFSET($H$3,0,0,'Données projet'!$E$12+1,1))</f>
        <v>152.52712777621315</v>
      </c>
      <c r="CE149" s="62">
        <f t="shared" si="148"/>
        <v>145.25423263217925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2.2737367544323206E-13</v>
      </c>
      <c r="CU149" s="18">
        <f>CT149*VLOOKUP('Données projet'!$B$13,Paramètres!$A$1:$I$89,3,0)*VLOOKUP('Données projet'!$B$13,Paramètres!$A$1:$I$89,5,0)</f>
        <v>1.4897523215040565E-13</v>
      </c>
      <c r="CV149" s="14">
        <f t="shared" si="149"/>
        <v>2.136562777003313E-12</v>
      </c>
      <c r="CW149" s="22">
        <f t="shared" si="121"/>
        <v>3.9806453659427267E-12</v>
      </c>
      <c r="CX149" s="62">
        <f t="shared" si="122"/>
        <v>293.33333333333729</v>
      </c>
      <c r="CY149" s="62">
        <f ca="1">AVERAGE(OFFSET($CX$3,0,0,'Données projet'!$E$13+1,1))-AVERAGE(OFFSET($H$3,0,0,'Données projet'!$E$13+1,1))</f>
        <v>158.23848664370132</v>
      </c>
      <c r="CZ149" s="62">
        <f t="shared" si="150"/>
        <v>172.92355799729972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2">
        <f t="shared" si="140"/>
        <v>33.630823177860727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70">
        <f t="shared" si="110"/>
        <v>575.57045703477377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240.7579199999993</v>
      </c>
      <c r="P150" s="14">
        <f t="shared" si="141"/>
        <v>58.602570725922028</v>
      </c>
      <c r="Q150" s="22">
        <f t="shared" si="108"/>
        <v>521.38618801431301</v>
      </c>
      <c r="R150" s="62">
        <f t="shared" si="109"/>
        <v>814.71952134764638</v>
      </c>
      <c r="S150" s="62">
        <f ca="1">AVERAGE(OFFSET($R$3,0,0,'Données projet'!$E$9+1,1))-AVERAGE(OFFSET($H$3,0,0,'Données projet'!$E$9+1,1))</f>
        <v>223.49015613166239</v>
      </c>
      <c r="T150" s="62">
        <f t="shared" si="142"/>
        <v>136.15898308259307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97.899731390293653</v>
      </c>
      <c r="AO150" s="62">
        <f t="shared" si="144"/>
        <v>310.21833995692549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6.134533829113809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4.4350768788535334E-19</v>
      </c>
      <c r="AX150" s="23">
        <f t="shared" si="114"/>
        <v>6.134533829113809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2.7666828827932479E-13</v>
      </c>
      <c r="BF150" s="14">
        <f t="shared" si="145"/>
        <v>3.6920483163466686E-12</v>
      </c>
      <c r="BG150" s="22">
        <f t="shared" si="115"/>
        <v>6.9121814197236049E-12</v>
      </c>
      <c r="BH150" s="62">
        <f t="shared" si="116"/>
        <v>293.33333333334025</v>
      </c>
      <c r="BI150" s="62">
        <f ca="1">AVERAGE(OFFSET($BH$3,0,0,'Données projet'!$E$11+1,1))-AVERAGE(OFFSET($H$3,0,0,'Données projet'!$E$11+1,1))</f>
        <v>209.0958230411249</v>
      </c>
      <c r="BJ150" s="62">
        <f t="shared" si="146"/>
        <v>250.34919671671565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3.6357050703372803E-14</v>
      </c>
      <c r="CA150" s="14">
        <f t="shared" si="147"/>
        <v>6.1445232567661395E-13</v>
      </c>
      <c r="CB150" s="22">
        <f t="shared" si="118"/>
        <v>1.1334929971951436E-12</v>
      </c>
      <c r="CC150" s="62">
        <f t="shared" si="119"/>
        <v>293.33333333333445</v>
      </c>
      <c r="CD150" s="62">
        <f ca="1">AVERAGE(OFFSET($CC$3,0,0,'Données projet'!$E$12+1,1))-AVERAGE(OFFSET($H$3,0,0,'Données projet'!$E$12+1,1))</f>
        <v>152.52712777621315</v>
      </c>
      <c r="CE150" s="62">
        <f t="shared" si="148"/>
        <v>145.25423263217925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2.2737367544323206E-13</v>
      </c>
      <c r="CU150" s="18">
        <f>CT150*VLOOKUP('Données projet'!$B$13,Paramètres!$A$1:$I$89,3,0)*VLOOKUP('Données projet'!$B$13,Paramètres!$A$1:$I$89,5,0)</f>
        <v>1.4897523215040565E-13</v>
      </c>
      <c r="CV150" s="14">
        <f t="shared" si="149"/>
        <v>2.136562777003313E-12</v>
      </c>
      <c r="CW150" s="22">
        <f t="shared" si="121"/>
        <v>3.9806453659427267E-12</v>
      </c>
      <c r="CX150" s="62">
        <f t="shared" si="122"/>
        <v>293.33333333333729</v>
      </c>
      <c r="CY150" s="62">
        <f ca="1">AVERAGE(OFFSET($CX$3,0,0,'Données projet'!$E$13+1,1))-AVERAGE(OFFSET($H$3,0,0,'Données projet'!$E$13+1,1))</f>
        <v>158.23848664370132</v>
      </c>
      <c r="CZ150" s="62">
        <f t="shared" si="150"/>
        <v>172.92355799729972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2">
        <f t="shared" si="140"/>
        <v>33.832894333299215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70">
        <f t="shared" si="110"/>
        <v>577.44391763049589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242.77967999999925</v>
      </c>
      <c r="P151" s="14">
        <f t="shared" si="141"/>
        <v>59.0371907652126</v>
      </c>
      <c r="Q151" s="22">
        <f t="shared" si="108"/>
        <v>525.66438324941055</v>
      </c>
      <c r="R151" s="62">
        <f t="shared" si="109"/>
        <v>818.99771658274381</v>
      </c>
      <c r="S151" s="62">
        <f ca="1">AVERAGE(OFFSET($R$3,0,0,'Données projet'!$E$9+1,1))-AVERAGE(OFFSET($H$3,0,0,'Données projet'!$E$9+1,1))</f>
        <v>223.49015613166239</v>
      </c>
      <c r="T151" s="62">
        <f t="shared" si="142"/>
        <v>136.15898308259307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97.899731390293653</v>
      </c>
      <c r="AO151" s="62">
        <f t="shared" si="144"/>
        <v>310.21833995692549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6.0142393624210611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3.1360729361210016E-19</v>
      </c>
      <c r="AX151" s="23">
        <f t="shared" si="114"/>
        <v>6.0142393624210611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2.7666828827932479E-13</v>
      </c>
      <c r="BF151" s="14">
        <f t="shared" si="145"/>
        <v>3.6920483163466686E-12</v>
      </c>
      <c r="BG151" s="22">
        <f t="shared" si="115"/>
        <v>6.9121814197236049E-12</v>
      </c>
      <c r="BH151" s="62">
        <f t="shared" si="116"/>
        <v>293.33333333334025</v>
      </c>
      <c r="BI151" s="62">
        <f ca="1">AVERAGE(OFFSET($BH$3,0,0,'Données projet'!$E$11+1,1))-AVERAGE(OFFSET($H$3,0,0,'Données projet'!$E$11+1,1))</f>
        <v>209.0958230411249</v>
      </c>
      <c r="BJ151" s="62">
        <f t="shared" si="146"/>
        <v>250.34919671671565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3.6357050703372803E-14</v>
      </c>
      <c r="CA151" s="14">
        <f t="shared" si="147"/>
        <v>6.1445232567661395E-13</v>
      </c>
      <c r="CB151" s="22">
        <f t="shared" si="118"/>
        <v>1.1334929971951436E-12</v>
      </c>
      <c r="CC151" s="62">
        <f t="shared" si="119"/>
        <v>293.33333333333445</v>
      </c>
      <c r="CD151" s="62">
        <f ca="1">AVERAGE(OFFSET($CC$3,0,0,'Données projet'!$E$12+1,1))-AVERAGE(OFFSET($H$3,0,0,'Données projet'!$E$12+1,1))</f>
        <v>152.52712777621315</v>
      </c>
      <c r="CE151" s="62">
        <f t="shared" si="148"/>
        <v>145.25423263217925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2.2737367544323206E-13</v>
      </c>
      <c r="CU151" s="18">
        <f>CT151*VLOOKUP('Données projet'!$B$13,Paramètres!$A$1:$I$89,3,0)*VLOOKUP('Données projet'!$B$13,Paramètres!$A$1:$I$89,5,0)</f>
        <v>1.4897523215040565E-13</v>
      </c>
      <c r="CV151" s="14">
        <f t="shared" si="149"/>
        <v>2.136562777003313E-12</v>
      </c>
      <c r="CW151" s="22">
        <f t="shared" si="121"/>
        <v>3.9806453659427267E-12</v>
      </c>
      <c r="CX151" s="62">
        <f t="shared" si="122"/>
        <v>293.33333333333729</v>
      </c>
      <c r="CY151" s="62">
        <f ca="1">AVERAGE(OFFSET($CX$3,0,0,'Données projet'!$E$13+1,1))-AVERAGE(OFFSET($H$3,0,0,'Données projet'!$E$13+1,1))</f>
        <v>158.23848664370132</v>
      </c>
      <c r="CZ151" s="62">
        <f t="shared" si="150"/>
        <v>172.92355799729972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2">
        <f t="shared" si="140"/>
        <v>34.034806623706274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70">
        <f t="shared" si="110"/>
        <v>579.31710153628819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244.80143999999922</v>
      </c>
      <c r="P152" s="14">
        <f t="shared" si="141"/>
        <v>59.471389714596413</v>
      </c>
      <c r="Q152" s="22">
        <f t="shared" si="108"/>
        <v>529.94184508625403</v>
      </c>
      <c r="R152" s="62">
        <f t="shared" si="109"/>
        <v>823.27517841958729</v>
      </c>
      <c r="S152" s="62">
        <f ca="1">AVERAGE(OFFSET($R$3,0,0,'Données projet'!$E$9+1,1))-AVERAGE(OFFSET($H$3,0,0,'Données projet'!$E$9+1,1))</f>
        <v>223.49015613166239</v>
      </c>
      <c r="T152" s="62">
        <f t="shared" si="142"/>
        <v>136.15898308259307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97.899731390293653</v>
      </c>
      <c r="AO152" s="62">
        <f t="shared" si="144"/>
        <v>310.21833995692549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5.8963037968477785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2.2175384394267667E-19</v>
      </c>
      <c r="AX152" s="23">
        <f t="shared" si="114"/>
        <v>5.8963037968477785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2.7666828827932479E-13</v>
      </c>
      <c r="BF152" s="14">
        <f t="shared" si="145"/>
        <v>3.6920483163466686E-12</v>
      </c>
      <c r="BG152" s="22">
        <f t="shared" si="115"/>
        <v>6.9121814197236049E-12</v>
      </c>
      <c r="BH152" s="62">
        <f t="shared" si="116"/>
        <v>293.33333333334025</v>
      </c>
      <c r="BI152" s="62">
        <f ca="1">AVERAGE(OFFSET($BH$3,0,0,'Données projet'!$E$11+1,1))-AVERAGE(OFFSET($H$3,0,0,'Données projet'!$E$11+1,1))</f>
        <v>209.0958230411249</v>
      </c>
      <c r="BJ152" s="62">
        <f t="shared" si="146"/>
        <v>250.34919671671565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3.6357050703372803E-14</v>
      </c>
      <c r="CA152" s="14">
        <f t="shared" si="147"/>
        <v>6.1445232567661395E-13</v>
      </c>
      <c r="CB152" s="22">
        <f t="shared" si="118"/>
        <v>1.1334929971951436E-12</v>
      </c>
      <c r="CC152" s="62">
        <f t="shared" si="119"/>
        <v>293.33333333333445</v>
      </c>
      <c r="CD152" s="62">
        <f ca="1">AVERAGE(OFFSET($CC$3,0,0,'Données projet'!$E$12+1,1))-AVERAGE(OFFSET($H$3,0,0,'Données projet'!$E$12+1,1))</f>
        <v>152.52712777621315</v>
      </c>
      <c r="CE152" s="62">
        <f t="shared" si="148"/>
        <v>145.25423263217925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2.2737367544323206E-13</v>
      </c>
      <c r="CU152" s="18">
        <f>CT152*VLOOKUP('Données projet'!$B$13,Paramètres!$A$1:$I$89,3,0)*VLOOKUP('Données projet'!$B$13,Paramètres!$A$1:$I$89,5,0)</f>
        <v>1.4897523215040565E-13</v>
      </c>
      <c r="CV152" s="14">
        <f t="shared" si="149"/>
        <v>2.136562777003313E-12</v>
      </c>
      <c r="CW152" s="22">
        <f t="shared" si="121"/>
        <v>3.9806453659427267E-12</v>
      </c>
      <c r="CX152" s="62">
        <f t="shared" si="122"/>
        <v>293.33333333333729</v>
      </c>
      <c r="CY152" s="62">
        <f ca="1">AVERAGE(OFFSET($CX$3,0,0,'Données projet'!$E$13+1,1))-AVERAGE(OFFSET($H$3,0,0,'Données projet'!$E$13+1,1))</f>
        <v>158.23848664370132</v>
      </c>
      <c r="CZ152" s="62">
        <f t="shared" si="150"/>
        <v>172.92355799729972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2">
        <f t="shared" si="140"/>
        <v>34.236561238949889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70">
        <f t="shared" si="110"/>
        <v>581.19001082450416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246.82319999999922</v>
      </c>
      <c r="P153" s="14">
        <f t="shared" si="141"/>
        <v>59.905171454785851</v>
      </c>
      <c r="Q153" s="22">
        <f t="shared" si="108"/>
        <v>534.21858028375061</v>
      </c>
      <c r="R153" s="62">
        <f t="shared" si="109"/>
        <v>827.55191361708398</v>
      </c>
      <c r="S153" s="62">
        <f ca="1">AVERAGE(OFFSET($R$3,0,0,'Données projet'!$E$9+1,1))-AVERAGE(OFFSET($H$3,0,0,'Données projet'!$E$9+1,1))</f>
        <v>223.49015613166239</v>
      </c>
      <c r="T153" s="62">
        <f t="shared" si="142"/>
        <v>136.15898308259307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97.899731390293653</v>
      </c>
      <c r="AO153" s="62">
        <f t="shared" si="144"/>
        <v>310.21833995692549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5.7806808757817958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1.5680364680605008E-19</v>
      </c>
      <c r="AX153" s="23">
        <f t="shared" si="114"/>
        <v>5.7806808757817958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2.7666828827932479E-13</v>
      </c>
      <c r="BF153" s="14">
        <f t="shared" si="145"/>
        <v>3.6920483163466686E-12</v>
      </c>
      <c r="BG153" s="22">
        <f t="shared" si="115"/>
        <v>6.9121814197236049E-12</v>
      </c>
      <c r="BH153" s="62">
        <f t="shared" si="116"/>
        <v>293.33333333334025</v>
      </c>
      <c r="BI153" s="62">
        <f ca="1">AVERAGE(OFFSET($BH$3,0,0,'Données projet'!$E$11+1,1))-AVERAGE(OFFSET($H$3,0,0,'Données projet'!$E$11+1,1))</f>
        <v>209.0958230411249</v>
      </c>
      <c r="BJ153" s="62">
        <f t="shared" si="146"/>
        <v>250.34919671671565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3.6357050703372803E-14</v>
      </c>
      <c r="CA153" s="14">
        <f t="shared" si="147"/>
        <v>6.1445232567661395E-13</v>
      </c>
      <c r="CB153" s="22">
        <f t="shared" si="118"/>
        <v>1.1334929971951436E-12</v>
      </c>
      <c r="CC153" s="62">
        <f t="shared" si="119"/>
        <v>293.33333333333445</v>
      </c>
      <c r="CD153" s="62">
        <f ca="1">AVERAGE(OFFSET($CC$3,0,0,'Données projet'!$E$12+1,1))-AVERAGE(OFFSET($H$3,0,0,'Données projet'!$E$12+1,1))</f>
        <v>152.52712777621315</v>
      </c>
      <c r="CE153" s="62">
        <f t="shared" si="148"/>
        <v>145.25423263217925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2.2737367544323206E-13</v>
      </c>
      <c r="CU153" s="18">
        <f>CT153*VLOOKUP('Données projet'!$B$13,Paramètres!$A$1:$I$89,3,0)*VLOOKUP('Données projet'!$B$13,Paramètres!$A$1:$I$89,5,0)</f>
        <v>1.4897523215040565E-13</v>
      </c>
      <c r="CV153" s="14">
        <f t="shared" si="149"/>
        <v>2.136562777003313E-12</v>
      </c>
      <c r="CW153" s="22">
        <f t="shared" si="121"/>
        <v>3.9806453659427267E-12</v>
      </c>
      <c r="CX153" s="62">
        <f t="shared" si="122"/>
        <v>293.33333333333729</v>
      </c>
      <c r="CY153" s="62">
        <f ca="1">AVERAGE(OFFSET($CX$3,0,0,'Données projet'!$E$13+1,1))-AVERAGE(OFFSET($H$3,0,0,'Données projet'!$E$13+1,1))</f>
        <v>158.23848664370132</v>
      </c>
      <c r="CZ153" s="62">
        <f t="shared" si="150"/>
        <v>172.92355799729972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2">
        <f t="shared" si="140"/>
        <v>34.438159352115974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70">
        <f t="shared" si="110"/>
        <v>583.06264753826849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-8.1404323282185943E-13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223.49015613166239</v>
      </c>
      <c r="T154" s="62">
        <f t="shared" si="142"/>
        <v>136.15898308259307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97.899731390293653</v>
      </c>
      <c r="AO154" s="62">
        <f t="shared" si="144"/>
        <v>310.21833995692549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5.6673252496748985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1.1087692197133834E-19</v>
      </c>
      <c r="AX154" s="23">
        <f t="shared" ref="AX154:AX203" si="166">SUM(AU154:AW154)</f>
        <v>5.6673252496748985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2.7666828827932479E-13</v>
      </c>
      <c r="BF154" s="14">
        <f t="shared" ref="BF154:BF203" si="167">EXP(-1.0587+0.8836*LN(BE154)+0.284)</f>
        <v>3.6920483163466686E-12</v>
      </c>
      <c r="BG154" s="22">
        <f t="shared" ref="BG154:BG203" si="168">(BE154+BF154)*0.475*44/12</f>
        <v>6.9121814197236049E-12</v>
      </c>
      <c r="BH154" s="62">
        <f t="shared" si="116"/>
        <v>293.33333333334025</v>
      </c>
      <c r="BI154" s="62">
        <f ca="1">AVERAGE(OFFSET($BH$3,0,0,'Données projet'!$E$11+1,1))-AVERAGE(OFFSET($H$3,0,0,'Données projet'!$E$11+1,1))</f>
        <v>209.0958230411249</v>
      </c>
      <c r="BJ154" s="62">
        <f t="shared" si="146"/>
        <v>250.34919671671565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3.6357050703372803E-14</v>
      </c>
      <c r="CA154" s="14">
        <f t="shared" ref="CA154:CA203" si="170">EXP(-1.0587+0.8836*LN(BZ154)+0.284)</f>
        <v>6.1445232567661395E-13</v>
      </c>
      <c r="CB154" s="22">
        <f t="shared" ref="CB154:CB203" si="171">(BZ154+CA154)*0.475*44/12</f>
        <v>1.1334929971951436E-12</v>
      </c>
      <c r="CC154" s="62">
        <f t="shared" si="119"/>
        <v>293.33333333333445</v>
      </c>
      <c r="CD154" s="62">
        <f ca="1">AVERAGE(OFFSET($CC$3,0,0,'Données projet'!$E$12+1,1))-AVERAGE(OFFSET($H$3,0,0,'Données projet'!$E$12+1,1))</f>
        <v>152.52712777621315</v>
      </c>
      <c r="CE154" s="62">
        <f t="shared" si="148"/>
        <v>145.25423263217925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2.2737367544323206E-13</v>
      </c>
      <c r="CU154" s="18">
        <f>CT154*VLOOKUP('Données projet'!$B$13,Paramètres!$A$1:$I$89,3,0)*VLOOKUP('Données projet'!$B$13,Paramètres!$A$1:$I$89,5,0)</f>
        <v>1.4897523215040565E-13</v>
      </c>
      <c r="CV154" s="14">
        <f t="shared" ref="CV154:CV203" si="173">EXP(-1.0587+0.8836*LN(CU154)+0.284)</f>
        <v>2.136562777003313E-12</v>
      </c>
      <c r="CW154" s="22">
        <f t="shared" ref="CW154:CW203" si="174">(CU154+CV154)*0.475*44/12</f>
        <v>3.9806453659427267E-12</v>
      </c>
      <c r="CX154" s="62">
        <f t="shared" si="122"/>
        <v>293.33333333333729</v>
      </c>
      <c r="CY154" s="62">
        <f ca="1">AVERAGE(OFFSET($CX$3,0,0,'Données projet'!$E$13+1,1))-AVERAGE(OFFSET($H$3,0,0,'Données projet'!$E$13+1,1))</f>
        <v>158.23848664370132</v>
      </c>
      <c r="CZ154" s="62">
        <f t="shared" si="150"/>
        <v>172.92355799729972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2">
        <f t="shared" si="140"/>
        <v>34.63960211985458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70">
        <f t="shared" si="110"/>
        <v>584.93501369207979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-8.1404323282185943E-13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223.49015613166239</v>
      </c>
      <c r="T155" s="62">
        <f t="shared" si="142"/>
        <v>136.15898308259307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97.899731390293653</v>
      </c>
      <c r="AO155" s="62">
        <f t="shared" si="144"/>
        <v>310.21833995692549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5.5561924582558522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7.8401823403025041E-20</v>
      </c>
      <c r="AX155" s="23">
        <f t="shared" si="166"/>
        <v>5.5561924582558522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2.7666828827932479E-13</v>
      </c>
      <c r="BF155" s="14">
        <f t="shared" si="167"/>
        <v>3.6920483163466686E-12</v>
      </c>
      <c r="BG155" s="22">
        <f t="shared" si="168"/>
        <v>6.9121814197236049E-12</v>
      </c>
      <c r="BH155" s="62">
        <f t="shared" si="116"/>
        <v>293.33333333334025</v>
      </c>
      <c r="BI155" s="62">
        <f ca="1">AVERAGE(OFFSET($BH$3,0,0,'Données projet'!$E$11+1,1))-AVERAGE(OFFSET($H$3,0,0,'Données projet'!$E$11+1,1))</f>
        <v>209.0958230411249</v>
      </c>
      <c r="BJ155" s="62">
        <f t="shared" si="146"/>
        <v>250.34919671671565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3.6357050703372803E-14</v>
      </c>
      <c r="CA155" s="14">
        <f t="shared" si="170"/>
        <v>6.1445232567661395E-13</v>
      </c>
      <c r="CB155" s="22">
        <f t="shared" si="171"/>
        <v>1.1334929971951436E-12</v>
      </c>
      <c r="CC155" s="62">
        <f t="shared" si="119"/>
        <v>293.33333333333445</v>
      </c>
      <c r="CD155" s="62">
        <f ca="1">AVERAGE(OFFSET($CC$3,0,0,'Données projet'!$E$12+1,1))-AVERAGE(OFFSET($H$3,0,0,'Données projet'!$E$12+1,1))</f>
        <v>152.52712777621315</v>
      </c>
      <c r="CE155" s="62">
        <f t="shared" si="148"/>
        <v>145.25423263217925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2.2737367544323206E-13</v>
      </c>
      <c r="CU155" s="18">
        <f>CT155*VLOOKUP('Données projet'!$B$13,Paramètres!$A$1:$I$89,3,0)*VLOOKUP('Données projet'!$B$13,Paramètres!$A$1:$I$89,5,0)</f>
        <v>1.4897523215040565E-13</v>
      </c>
      <c r="CV155" s="14">
        <f t="shared" si="173"/>
        <v>2.136562777003313E-12</v>
      </c>
      <c r="CW155" s="22">
        <f t="shared" si="174"/>
        <v>3.9806453659427267E-12</v>
      </c>
      <c r="CX155" s="62">
        <f t="shared" si="122"/>
        <v>293.33333333333729</v>
      </c>
      <c r="CY155" s="62">
        <f ca="1">AVERAGE(OFFSET($CX$3,0,0,'Données projet'!$E$13+1,1))-AVERAGE(OFFSET($H$3,0,0,'Données projet'!$E$13+1,1))</f>
        <v>158.23848664370132</v>
      </c>
      <c r="CZ155" s="62">
        <f t="shared" si="150"/>
        <v>172.92355799729972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2">
        <f t="shared" si="140"/>
        <v>34.840890682716719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70">
        <f t="shared" si="110"/>
        <v>586.80711127239806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-8.1404323282185943E-13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223.49015613166239</v>
      </c>
      <c r="T156" s="62">
        <f t="shared" si="142"/>
        <v>136.15898308259307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97.899731390293653</v>
      </c>
      <c r="AO156" s="62">
        <f t="shared" si="144"/>
        <v>310.21833995692549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5.4472389130922245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5.5438460985669168E-20</v>
      </c>
      <c r="AX156" s="23">
        <f t="shared" si="166"/>
        <v>5.4472389130922245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2.7666828827932479E-13</v>
      </c>
      <c r="BF156" s="14">
        <f t="shared" si="167"/>
        <v>3.6920483163466686E-12</v>
      </c>
      <c r="BG156" s="22">
        <f t="shared" si="168"/>
        <v>6.9121814197236049E-12</v>
      </c>
      <c r="BH156" s="62">
        <f t="shared" si="116"/>
        <v>293.33333333334025</v>
      </c>
      <c r="BI156" s="62">
        <f ca="1">AVERAGE(OFFSET($BH$3,0,0,'Données projet'!$E$11+1,1))-AVERAGE(OFFSET($H$3,0,0,'Données projet'!$E$11+1,1))</f>
        <v>209.0958230411249</v>
      </c>
      <c r="BJ156" s="62">
        <f t="shared" si="146"/>
        <v>250.34919671671565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3.6357050703372803E-14</v>
      </c>
      <c r="CA156" s="14">
        <f t="shared" si="170"/>
        <v>6.1445232567661395E-13</v>
      </c>
      <c r="CB156" s="22">
        <f t="shared" si="171"/>
        <v>1.1334929971951436E-12</v>
      </c>
      <c r="CC156" s="62">
        <f t="shared" si="119"/>
        <v>293.33333333333445</v>
      </c>
      <c r="CD156" s="62">
        <f ca="1">AVERAGE(OFFSET($CC$3,0,0,'Données projet'!$E$12+1,1))-AVERAGE(OFFSET($H$3,0,0,'Données projet'!$E$12+1,1))</f>
        <v>152.52712777621315</v>
      </c>
      <c r="CE156" s="62">
        <f t="shared" si="148"/>
        <v>145.25423263217925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2.2737367544323206E-13</v>
      </c>
      <c r="CU156" s="18">
        <f>CT156*VLOOKUP('Données projet'!$B$13,Paramètres!$A$1:$I$89,3,0)*VLOOKUP('Données projet'!$B$13,Paramètres!$A$1:$I$89,5,0)</f>
        <v>1.4897523215040565E-13</v>
      </c>
      <c r="CV156" s="14">
        <f t="shared" si="173"/>
        <v>2.136562777003313E-12</v>
      </c>
      <c r="CW156" s="22">
        <f t="shared" si="174"/>
        <v>3.9806453659427267E-12</v>
      </c>
      <c r="CX156" s="62">
        <f t="shared" si="122"/>
        <v>293.33333333333729</v>
      </c>
      <c r="CY156" s="62">
        <f ca="1">AVERAGE(OFFSET($CX$3,0,0,'Données projet'!$E$13+1,1))-AVERAGE(OFFSET($H$3,0,0,'Données projet'!$E$13+1,1))</f>
        <v>158.23848664370132</v>
      </c>
      <c r="CZ156" s="62">
        <f t="shared" si="150"/>
        <v>172.92355799729972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2">
        <f t="shared" si="140"/>
        <v>35.042026165482199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70">
        <f t="shared" si="110"/>
        <v>588.67894223821463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-8.1404323282185943E-13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223.49015613166239</v>
      </c>
      <c r="T157" s="62">
        <f t="shared" si="142"/>
        <v>136.15898308259307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97.899731390293653</v>
      </c>
      <c r="AO157" s="62">
        <f t="shared" si="144"/>
        <v>310.21833995692549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5.340421880494155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3.9200911701512521E-20</v>
      </c>
      <c r="AX157" s="23">
        <f t="shared" si="166"/>
        <v>5.340421880494155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2.7666828827932479E-13</v>
      </c>
      <c r="BF157" s="14">
        <f t="shared" si="167"/>
        <v>3.6920483163466686E-12</v>
      </c>
      <c r="BG157" s="22">
        <f t="shared" si="168"/>
        <v>6.9121814197236049E-12</v>
      </c>
      <c r="BH157" s="62">
        <f t="shared" si="116"/>
        <v>293.33333333334025</v>
      </c>
      <c r="BI157" s="62">
        <f ca="1">AVERAGE(OFFSET($BH$3,0,0,'Données projet'!$E$11+1,1))-AVERAGE(OFFSET($H$3,0,0,'Données projet'!$E$11+1,1))</f>
        <v>209.0958230411249</v>
      </c>
      <c r="BJ157" s="62">
        <f t="shared" si="146"/>
        <v>250.34919671671565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3.6357050703372803E-14</v>
      </c>
      <c r="CA157" s="14">
        <f t="shared" si="170"/>
        <v>6.1445232567661395E-13</v>
      </c>
      <c r="CB157" s="22">
        <f t="shared" si="171"/>
        <v>1.1334929971951436E-12</v>
      </c>
      <c r="CC157" s="62">
        <f t="shared" si="119"/>
        <v>293.33333333333445</v>
      </c>
      <c r="CD157" s="62">
        <f ca="1">AVERAGE(OFFSET($CC$3,0,0,'Données projet'!$E$12+1,1))-AVERAGE(OFFSET($H$3,0,0,'Données projet'!$E$12+1,1))</f>
        <v>152.52712777621315</v>
      </c>
      <c r="CE157" s="62">
        <f t="shared" si="148"/>
        <v>145.25423263217925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2.2737367544323206E-13</v>
      </c>
      <c r="CU157" s="18">
        <f>CT157*VLOOKUP('Données projet'!$B$13,Paramètres!$A$1:$I$89,3,0)*VLOOKUP('Données projet'!$B$13,Paramètres!$A$1:$I$89,5,0)</f>
        <v>1.4897523215040565E-13</v>
      </c>
      <c r="CV157" s="14">
        <f t="shared" si="173"/>
        <v>2.136562777003313E-12</v>
      </c>
      <c r="CW157" s="22">
        <f t="shared" si="174"/>
        <v>3.9806453659427267E-12</v>
      </c>
      <c r="CX157" s="62">
        <f t="shared" si="122"/>
        <v>293.33333333333729</v>
      </c>
      <c r="CY157" s="62">
        <f ca="1">AVERAGE(OFFSET($CX$3,0,0,'Données projet'!$E$13+1,1))-AVERAGE(OFFSET($H$3,0,0,'Données projet'!$E$13+1,1))</f>
        <v>158.23848664370132</v>
      </c>
      <c r="CZ157" s="62">
        <f t="shared" si="150"/>
        <v>172.92355799729972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2">
        <f t="shared" si="140"/>
        <v>35.243009677478732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70">
        <f t="shared" si="110"/>
        <v>590.55050852160866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-8.1404323282185943E-13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223.49015613166239</v>
      </c>
      <c r="T158" s="62">
        <f t="shared" si="142"/>
        <v>136.15898308259307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97.899731390293653</v>
      </c>
      <c r="AO158" s="62">
        <f t="shared" si="144"/>
        <v>310.21833995692549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5.2356994647533766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2.7719230492834584E-20</v>
      </c>
      <c r="AX158" s="23">
        <f t="shared" si="166"/>
        <v>5.2356994647533766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2.7666828827932479E-13</v>
      </c>
      <c r="BF158" s="14">
        <f t="shared" si="167"/>
        <v>3.6920483163466686E-12</v>
      </c>
      <c r="BG158" s="22">
        <f t="shared" si="168"/>
        <v>6.9121814197236049E-12</v>
      </c>
      <c r="BH158" s="62">
        <f t="shared" si="116"/>
        <v>293.33333333334025</v>
      </c>
      <c r="BI158" s="62">
        <f ca="1">AVERAGE(OFFSET($BH$3,0,0,'Données projet'!$E$11+1,1))-AVERAGE(OFFSET($H$3,0,0,'Données projet'!$E$11+1,1))</f>
        <v>209.0958230411249</v>
      </c>
      <c r="BJ158" s="62">
        <f t="shared" si="146"/>
        <v>250.34919671671565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3.6357050703372803E-14</v>
      </c>
      <c r="CA158" s="14">
        <f t="shared" si="170"/>
        <v>6.1445232567661395E-13</v>
      </c>
      <c r="CB158" s="22">
        <f t="shared" si="171"/>
        <v>1.1334929971951436E-12</v>
      </c>
      <c r="CC158" s="62">
        <f t="shared" si="119"/>
        <v>293.33333333333445</v>
      </c>
      <c r="CD158" s="62">
        <f ca="1">AVERAGE(OFFSET($CC$3,0,0,'Données projet'!$E$12+1,1))-AVERAGE(OFFSET($H$3,0,0,'Données projet'!$E$12+1,1))</f>
        <v>152.52712777621315</v>
      </c>
      <c r="CE158" s="62">
        <f t="shared" si="148"/>
        <v>145.25423263217925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2.2737367544323206E-13</v>
      </c>
      <c r="CU158" s="18">
        <f>CT158*VLOOKUP('Données projet'!$B$13,Paramètres!$A$1:$I$89,3,0)*VLOOKUP('Données projet'!$B$13,Paramètres!$A$1:$I$89,5,0)</f>
        <v>1.4897523215040565E-13</v>
      </c>
      <c r="CV158" s="14">
        <f t="shared" si="173"/>
        <v>2.136562777003313E-12</v>
      </c>
      <c r="CW158" s="22">
        <f t="shared" si="174"/>
        <v>3.9806453659427267E-12</v>
      </c>
      <c r="CX158" s="62">
        <f t="shared" si="122"/>
        <v>293.33333333333729</v>
      </c>
      <c r="CY158" s="62">
        <f ca="1">AVERAGE(OFFSET($CX$3,0,0,'Données projet'!$E$13+1,1))-AVERAGE(OFFSET($H$3,0,0,'Données projet'!$E$13+1,1))</f>
        <v>158.23848664370132</v>
      </c>
      <c r="CZ158" s="62">
        <f t="shared" si="150"/>
        <v>172.92355799729972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2">
        <f t="shared" si="140"/>
        <v>35.443842312892279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70">
        <f t="shared" si="110"/>
        <v>592.42181202828726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-8.1404323282185943E-13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223.49015613166239</v>
      </c>
      <c r="T159" s="62">
        <f t="shared" si="142"/>
        <v>136.15898308259307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97.899731390293653</v>
      </c>
      <c r="AO159" s="62">
        <f t="shared" si="144"/>
        <v>310.21833995692549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5.1330305917109085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1.960045585075626E-20</v>
      </c>
      <c r="AX159" s="23">
        <f t="shared" si="166"/>
        <v>5.1330305917109085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2.7666828827932479E-13</v>
      </c>
      <c r="BF159" s="14">
        <f t="shared" si="167"/>
        <v>3.6920483163466686E-12</v>
      </c>
      <c r="BG159" s="22">
        <f t="shared" si="168"/>
        <v>6.9121814197236049E-12</v>
      </c>
      <c r="BH159" s="62">
        <f t="shared" si="116"/>
        <v>293.33333333334025</v>
      </c>
      <c r="BI159" s="62">
        <f ca="1">AVERAGE(OFFSET($BH$3,0,0,'Données projet'!$E$11+1,1))-AVERAGE(OFFSET($H$3,0,0,'Données projet'!$E$11+1,1))</f>
        <v>209.0958230411249</v>
      </c>
      <c r="BJ159" s="62">
        <f t="shared" si="146"/>
        <v>250.34919671671565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3.6357050703372803E-14</v>
      </c>
      <c r="CA159" s="14">
        <f t="shared" si="170"/>
        <v>6.1445232567661395E-13</v>
      </c>
      <c r="CB159" s="22">
        <f t="shared" si="171"/>
        <v>1.1334929971951436E-12</v>
      </c>
      <c r="CC159" s="62">
        <f t="shared" si="119"/>
        <v>293.33333333333445</v>
      </c>
      <c r="CD159" s="62">
        <f ca="1">AVERAGE(OFFSET($CC$3,0,0,'Données projet'!$E$12+1,1))-AVERAGE(OFFSET($H$3,0,0,'Données projet'!$E$12+1,1))</f>
        <v>152.52712777621315</v>
      </c>
      <c r="CE159" s="62">
        <f t="shared" si="148"/>
        <v>145.25423263217925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2.2737367544323206E-13</v>
      </c>
      <c r="CU159" s="18">
        <f>CT159*VLOOKUP('Données projet'!$B$13,Paramètres!$A$1:$I$89,3,0)*VLOOKUP('Données projet'!$B$13,Paramètres!$A$1:$I$89,5,0)</f>
        <v>1.4897523215040565E-13</v>
      </c>
      <c r="CV159" s="14">
        <f t="shared" si="173"/>
        <v>2.136562777003313E-12</v>
      </c>
      <c r="CW159" s="22">
        <f t="shared" si="174"/>
        <v>3.9806453659427267E-12</v>
      </c>
      <c r="CX159" s="62">
        <f t="shared" si="122"/>
        <v>293.33333333333729</v>
      </c>
      <c r="CY159" s="62">
        <f ca="1">AVERAGE(OFFSET($CX$3,0,0,'Données projet'!$E$13+1,1))-AVERAGE(OFFSET($H$3,0,0,'Données projet'!$E$13+1,1))</f>
        <v>158.23848664370132</v>
      </c>
      <c r="CZ159" s="62">
        <f t="shared" si="150"/>
        <v>172.92355799729972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2">
        <f t="shared" si="140"/>
        <v>35.644525151069693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70">
        <f t="shared" si="110"/>
        <v>594.29285463811289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-8.1404323282185943E-13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223.49015613166239</v>
      </c>
      <c r="T160" s="62">
        <f t="shared" si="142"/>
        <v>136.15898308259307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97.899731390293653</v>
      </c>
      <c r="AO160" s="62">
        <f t="shared" si="144"/>
        <v>310.21833995692549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5.0323749926469734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1.3859615246417292E-20</v>
      </c>
      <c r="AX160" s="23">
        <f t="shared" si="166"/>
        <v>5.0323749926469734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2.7666828827932479E-13</v>
      </c>
      <c r="BF160" s="14">
        <f t="shared" si="167"/>
        <v>3.6920483163466686E-12</v>
      </c>
      <c r="BG160" s="22">
        <f t="shared" si="168"/>
        <v>6.9121814197236049E-12</v>
      </c>
      <c r="BH160" s="62">
        <f t="shared" si="116"/>
        <v>293.33333333334025</v>
      </c>
      <c r="BI160" s="62">
        <f ca="1">AVERAGE(OFFSET($BH$3,0,0,'Données projet'!$E$11+1,1))-AVERAGE(OFFSET($H$3,0,0,'Données projet'!$E$11+1,1))</f>
        <v>209.0958230411249</v>
      </c>
      <c r="BJ160" s="62">
        <f t="shared" si="146"/>
        <v>250.34919671671565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3.6357050703372803E-14</v>
      </c>
      <c r="CA160" s="14">
        <f t="shared" si="170"/>
        <v>6.1445232567661395E-13</v>
      </c>
      <c r="CB160" s="22">
        <f t="shared" si="171"/>
        <v>1.1334929971951436E-12</v>
      </c>
      <c r="CC160" s="62">
        <f t="shared" si="119"/>
        <v>293.33333333333445</v>
      </c>
      <c r="CD160" s="62">
        <f ca="1">AVERAGE(OFFSET($CC$3,0,0,'Données projet'!$E$12+1,1))-AVERAGE(OFFSET($H$3,0,0,'Données projet'!$E$12+1,1))</f>
        <v>152.52712777621315</v>
      </c>
      <c r="CE160" s="62">
        <f t="shared" si="148"/>
        <v>145.25423263217925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2.2737367544323206E-13</v>
      </c>
      <c r="CU160" s="18">
        <f>CT160*VLOOKUP('Données projet'!$B$13,Paramètres!$A$1:$I$89,3,0)*VLOOKUP('Données projet'!$B$13,Paramètres!$A$1:$I$89,5,0)</f>
        <v>1.4897523215040565E-13</v>
      </c>
      <c r="CV160" s="14">
        <f t="shared" si="173"/>
        <v>2.136562777003313E-12</v>
      </c>
      <c r="CW160" s="22">
        <f t="shared" si="174"/>
        <v>3.9806453659427267E-12</v>
      </c>
      <c r="CX160" s="62">
        <f t="shared" si="122"/>
        <v>293.33333333333729</v>
      </c>
      <c r="CY160" s="62">
        <f ca="1">AVERAGE(OFFSET($CX$3,0,0,'Données projet'!$E$13+1,1))-AVERAGE(OFFSET($H$3,0,0,'Données projet'!$E$13+1,1))</f>
        <v>158.23848664370132</v>
      </c>
      <c r="CZ160" s="62">
        <f t="shared" si="150"/>
        <v>172.92355799729972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2">
        <f t="shared" si="140"/>
        <v>35.845059256813073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70">
        <f t="shared" si="110"/>
        <v>596.16363820561605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-8.1404323282185943E-13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223.49015613166239</v>
      </c>
      <c r="T161" s="62">
        <f t="shared" si="142"/>
        <v>136.15898308259307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97.899731390293653</v>
      </c>
      <c r="AO161" s="62">
        <f t="shared" si="144"/>
        <v>310.21833995692549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4.9336931884868296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9.8002279253781301E-21</v>
      </c>
      <c r="AX161" s="23">
        <f t="shared" si="166"/>
        <v>4.9336931884868296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2.7666828827932479E-13</v>
      </c>
      <c r="BF161" s="14">
        <f t="shared" si="167"/>
        <v>3.6920483163466686E-12</v>
      </c>
      <c r="BG161" s="22">
        <f t="shared" si="168"/>
        <v>6.9121814197236049E-12</v>
      </c>
      <c r="BH161" s="62">
        <f t="shared" si="116"/>
        <v>293.33333333334025</v>
      </c>
      <c r="BI161" s="62">
        <f ca="1">AVERAGE(OFFSET($BH$3,0,0,'Données projet'!$E$11+1,1))-AVERAGE(OFFSET($H$3,0,0,'Données projet'!$E$11+1,1))</f>
        <v>209.0958230411249</v>
      </c>
      <c r="BJ161" s="62">
        <f t="shared" si="146"/>
        <v>250.34919671671565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3.6357050703372803E-14</v>
      </c>
      <c r="CA161" s="14">
        <f t="shared" si="170"/>
        <v>6.1445232567661395E-13</v>
      </c>
      <c r="CB161" s="22">
        <f t="shared" si="171"/>
        <v>1.1334929971951436E-12</v>
      </c>
      <c r="CC161" s="62">
        <f t="shared" si="119"/>
        <v>293.33333333333445</v>
      </c>
      <c r="CD161" s="62">
        <f ca="1">AVERAGE(OFFSET($CC$3,0,0,'Données projet'!$E$12+1,1))-AVERAGE(OFFSET($H$3,0,0,'Données projet'!$E$12+1,1))</f>
        <v>152.52712777621315</v>
      </c>
      <c r="CE161" s="62">
        <f t="shared" si="148"/>
        <v>145.25423263217925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2.2737367544323206E-13</v>
      </c>
      <c r="CU161" s="18">
        <f>CT161*VLOOKUP('Données projet'!$B$13,Paramètres!$A$1:$I$89,3,0)*VLOOKUP('Données projet'!$B$13,Paramètres!$A$1:$I$89,5,0)</f>
        <v>1.4897523215040565E-13</v>
      </c>
      <c r="CV161" s="14">
        <f t="shared" si="173"/>
        <v>2.136562777003313E-12</v>
      </c>
      <c r="CW161" s="22">
        <f t="shared" si="174"/>
        <v>3.9806453659427267E-12</v>
      </c>
      <c r="CX161" s="62">
        <f t="shared" si="122"/>
        <v>293.33333333333729</v>
      </c>
      <c r="CY161" s="62">
        <f ca="1">AVERAGE(OFFSET($CX$3,0,0,'Données projet'!$E$13+1,1))-AVERAGE(OFFSET($H$3,0,0,'Données projet'!$E$13+1,1))</f>
        <v>158.23848664370132</v>
      </c>
      <c r="CZ161" s="62">
        <f t="shared" si="150"/>
        <v>172.92355799729972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2">
        <f t="shared" si="140"/>
        <v>36.045445680666425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70">
        <f t="shared" si="110"/>
        <v>598.03416456049399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-8.1404323282185943E-13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223.49015613166239</v>
      </c>
      <c r="T162" s="62">
        <f t="shared" si="142"/>
        <v>136.15898308259307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97.899731390293653</v>
      </c>
      <c r="AO162" s="62">
        <f t="shared" si="144"/>
        <v>310.21833995692549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4.8369464743163082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6.929807623208646E-21</v>
      </c>
      <c r="AX162" s="23">
        <f t="shared" si="166"/>
        <v>4.8369464743163082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2.7666828827932479E-13</v>
      </c>
      <c r="BF162" s="14">
        <f t="shared" si="167"/>
        <v>3.6920483163466686E-12</v>
      </c>
      <c r="BG162" s="22">
        <f t="shared" si="168"/>
        <v>6.9121814197236049E-12</v>
      </c>
      <c r="BH162" s="62">
        <f t="shared" si="116"/>
        <v>293.33333333334025</v>
      </c>
      <c r="BI162" s="62">
        <f ca="1">AVERAGE(OFFSET($BH$3,0,0,'Données projet'!$E$11+1,1))-AVERAGE(OFFSET($H$3,0,0,'Données projet'!$E$11+1,1))</f>
        <v>209.0958230411249</v>
      </c>
      <c r="BJ162" s="62">
        <f t="shared" si="146"/>
        <v>250.34919671671565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3.6357050703372803E-14</v>
      </c>
      <c r="CA162" s="14">
        <f t="shared" si="170"/>
        <v>6.1445232567661395E-13</v>
      </c>
      <c r="CB162" s="22">
        <f t="shared" si="171"/>
        <v>1.1334929971951436E-12</v>
      </c>
      <c r="CC162" s="62">
        <f t="shared" si="119"/>
        <v>293.33333333333445</v>
      </c>
      <c r="CD162" s="62">
        <f ca="1">AVERAGE(OFFSET($CC$3,0,0,'Données projet'!$E$12+1,1))-AVERAGE(OFFSET($H$3,0,0,'Données projet'!$E$12+1,1))</f>
        <v>152.52712777621315</v>
      </c>
      <c r="CE162" s="62">
        <f t="shared" si="148"/>
        <v>145.25423263217925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2.2737367544323206E-13</v>
      </c>
      <c r="CU162" s="18">
        <f>CT162*VLOOKUP('Données projet'!$B$13,Paramètres!$A$1:$I$89,3,0)*VLOOKUP('Données projet'!$B$13,Paramètres!$A$1:$I$89,5,0)</f>
        <v>1.4897523215040565E-13</v>
      </c>
      <c r="CV162" s="14">
        <f t="shared" si="173"/>
        <v>2.136562777003313E-12</v>
      </c>
      <c r="CW162" s="22">
        <f t="shared" si="174"/>
        <v>3.9806453659427267E-12</v>
      </c>
      <c r="CX162" s="62">
        <f t="shared" si="122"/>
        <v>293.33333333333729</v>
      </c>
      <c r="CY162" s="62">
        <f ca="1">AVERAGE(OFFSET($CX$3,0,0,'Données projet'!$E$13+1,1))-AVERAGE(OFFSET($H$3,0,0,'Données projet'!$E$13+1,1))</f>
        <v>158.23848664370132</v>
      </c>
      <c r="CZ162" s="62">
        <f t="shared" si="150"/>
        <v>172.92355799729972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2">
        <f t="shared" si="140"/>
        <v>36.245685459195286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70">
        <f t="shared" si="110"/>
        <v>599.90443550809846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-8.1404323282185943E-13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223.49015613166239</v>
      </c>
      <c r="T163" s="62">
        <f t="shared" si="142"/>
        <v>136.15898308259307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97.899731390293653</v>
      </c>
      <c r="AO163" s="62">
        <f t="shared" si="144"/>
        <v>310.21833995692549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4.7420969042010022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4.9001139626890651E-21</v>
      </c>
      <c r="AX163" s="23">
        <f t="shared" si="166"/>
        <v>4.7420969042010022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2.7666828827932479E-13</v>
      </c>
      <c r="BF163" s="14">
        <f t="shared" si="167"/>
        <v>3.6920483163466686E-12</v>
      </c>
      <c r="BG163" s="22">
        <f t="shared" si="168"/>
        <v>6.9121814197236049E-12</v>
      </c>
      <c r="BH163" s="62">
        <f t="shared" si="116"/>
        <v>293.33333333334025</v>
      </c>
      <c r="BI163" s="62">
        <f ca="1">AVERAGE(OFFSET($BH$3,0,0,'Données projet'!$E$11+1,1))-AVERAGE(OFFSET($H$3,0,0,'Données projet'!$E$11+1,1))</f>
        <v>209.0958230411249</v>
      </c>
      <c r="BJ163" s="62">
        <f t="shared" si="146"/>
        <v>250.34919671671565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3.6357050703372803E-14</v>
      </c>
      <c r="CA163" s="14">
        <f t="shared" si="170"/>
        <v>6.1445232567661395E-13</v>
      </c>
      <c r="CB163" s="22">
        <f t="shared" si="171"/>
        <v>1.1334929971951436E-12</v>
      </c>
      <c r="CC163" s="62">
        <f t="shared" si="119"/>
        <v>293.33333333333445</v>
      </c>
      <c r="CD163" s="62">
        <f ca="1">AVERAGE(OFFSET($CC$3,0,0,'Données projet'!$E$12+1,1))-AVERAGE(OFFSET($H$3,0,0,'Données projet'!$E$12+1,1))</f>
        <v>152.52712777621315</v>
      </c>
      <c r="CE163" s="62">
        <f t="shared" si="148"/>
        <v>145.25423263217925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2.2737367544323206E-13</v>
      </c>
      <c r="CU163" s="18">
        <f>CT163*VLOOKUP('Données projet'!$B$13,Paramètres!$A$1:$I$89,3,0)*VLOOKUP('Données projet'!$B$13,Paramètres!$A$1:$I$89,5,0)</f>
        <v>1.4897523215040565E-13</v>
      </c>
      <c r="CV163" s="14">
        <f t="shared" si="173"/>
        <v>2.136562777003313E-12</v>
      </c>
      <c r="CW163" s="22">
        <f t="shared" si="174"/>
        <v>3.9806453659427267E-12</v>
      </c>
      <c r="CX163" s="62">
        <f t="shared" si="122"/>
        <v>293.33333333333729</v>
      </c>
      <c r="CY163" s="62">
        <f ca="1">AVERAGE(OFFSET($CX$3,0,0,'Données projet'!$E$13+1,1))-AVERAGE(OFFSET($H$3,0,0,'Données projet'!$E$13+1,1))</f>
        <v>158.23848664370132</v>
      </c>
      <c r="CZ163" s="62">
        <f t="shared" si="150"/>
        <v>172.92355799729972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2">
        <f t="shared" si="140"/>
        <v>36.445779615258601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70">
        <f t="shared" si="110"/>
        <v>601.77445282990868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-8.1404323282185943E-13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223.49015613166239</v>
      </c>
      <c r="T164" s="62">
        <f t="shared" si="142"/>
        <v>136.15898308259307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97.899731390293653</v>
      </c>
      <c r="AO164" s="62">
        <f t="shared" si="144"/>
        <v>310.21833995692549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4.6491072763031323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3.464903811604323E-21</v>
      </c>
      <c r="AX164" s="23">
        <f t="shared" si="166"/>
        <v>4.6491072763031323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2.7666828827932479E-13</v>
      </c>
      <c r="BF164" s="14">
        <f t="shared" si="167"/>
        <v>3.6920483163466686E-12</v>
      </c>
      <c r="BG164" s="22">
        <f t="shared" si="168"/>
        <v>6.9121814197236049E-12</v>
      </c>
      <c r="BH164" s="62">
        <f t="shared" si="116"/>
        <v>293.33333333334025</v>
      </c>
      <c r="BI164" s="62">
        <f ca="1">AVERAGE(OFFSET($BH$3,0,0,'Données projet'!$E$11+1,1))-AVERAGE(OFFSET($H$3,0,0,'Données projet'!$E$11+1,1))</f>
        <v>209.0958230411249</v>
      </c>
      <c r="BJ164" s="62">
        <f t="shared" si="146"/>
        <v>250.34919671671565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3.6357050703372803E-14</v>
      </c>
      <c r="CA164" s="14">
        <f t="shared" si="170"/>
        <v>6.1445232567661395E-13</v>
      </c>
      <c r="CB164" s="22">
        <f t="shared" si="171"/>
        <v>1.1334929971951436E-12</v>
      </c>
      <c r="CC164" s="62">
        <f t="shared" si="119"/>
        <v>293.33333333333445</v>
      </c>
      <c r="CD164" s="62">
        <f ca="1">AVERAGE(OFFSET($CC$3,0,0,'Données projet'!$E$12+1,1))-AVERAGE(OFFSET($H$3,0,0,'Données projet'!$E$12+1,1))</f>
        <v>152.52712777621315</v>
      </c>
      <c r="CE164" s="62">
        <f t="shared" si="148"/>
        <v>145.25423263217925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2.2737367544323206E-13</v>
      </c>
      <c r="CU164" s="18">
        <f>CT164*VLOOKUP('Données projet'!$B$13,Paramètres!$A$1:$I$89,3,0)*VLOOKUP('Données projet'!$B$13,Paramètres!$A$1:$I$89,5,0)</f>
        <v>1.4897523215040565E-13</v>
      </c>
      <c r="CV164" s="14">
        <f t="shared" si="173"/>
        <v>2.136562777003313E-12</v>
      </c>
      <c r="CW164" s="22">
        <f t="shared" si="174"/>
        <v>3.9806453659427267E-12</v>
      </c>
      <c r="CX164" s="62">
        <f t="shared" si="122"/>
        <v>293.33333333333729</v>
      </c>
      <c r="CY164" s="62">
        <f ca="1">AVERAGE(OFFSET($CX$3,0,0,'Données projet'!$E$13+1,1))-AVERAGE(OFFSET($H$3,0,0,'Données projet'!$E$13+1,1))</f>
        <v>158.23848664370132</v>
      </c>
      <c r="CZ164" s="62">
        <f t="shared" si="150"/>
        <v>172.92355799729972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2">
        <f t="shared" si="140"/>
        <v>36.645729158274158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70">
        <f t="shared" si="110"/>
        <v>603.64421828399406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-8.1404323282185943E-13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223.49015613166239</v>
      </c>
      <c r="T165" s="62">
        <f t="shared" si="142"/>
        <v>136.15898308259307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97.899731390293653</v>
      </c>
      <c r="AO165" s="62">
        <f t="shared" si="144"/>
        <v>310.21833995692549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4.5579411182902669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2.4500569813445325E-21</v>
      </c>
      <c r="AX165" s="23">
        <f t="shared" si="166"/>
        <v>4.5579411182902669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2.7666828827932479E-13</v>
      </c>
      <c r="BF165" s="14">
        <f t="shared" si="167"/>
        <v>3.6920483163466686E-12</v>
      </c>
      <c r="BG165" s="22">
        <f t="shared" si="168"/>
        <v>6.9121814197236049E-12</v>
      </c>
      <c r="BH165" s="62">
        <f t="shared" si="116"/>
        <v>293.33333333334025</v>
      </c>
      <c r="BI165" s="62">
        <f ca="1">AVERAGE(OFFSET($BH$3,0,0,'Données projet'!$E$11+1,1))-AVERAGE(OFFSET($H$3,0,0,'Données projet'!$E$11+1,1))</f>
        <v>209.0958230411249</v>
      </c>
      <c r="BJ165" s="62">
        <f t="shared" si="146"/>
        <v>250.34919671671565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3.6357050703372803E-14</v>
      </c>
      <c r="CA165" s="14">
        <f t="shared" si="170"/>
        <v>6.1445232567661395E-13</v>
      </c>
      <c r="CB165" s="22">
        <f t="shared" si="171"/>
        <v>1.1334929971951436E-12</v>
      </c>
      <c r="CC165" s="62">
        <f t="shared" si="119"/>
        <v>293.33333333333445</v>
      </c>
      <c r="CD165" s="62">
        <f ca="1">AVERAGE(OFFSET($CC$3,0,0,'Données projet'!$E$12+1,1))-AVERAGE(OFFSET($H$3,0,0,'Données projet'!$E$12+1,1))</f>
        <v>152.52712777621315</v>
      </c>
      <c r="CE165" s="62">
        <f t="shared" si="148"/>
        <v>145.25423263217925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2.2737367544323206E-13</v>
      </c>
      <c r="CU165" s="18">
        <f>CT165*VLOOKUP('Données projet'!$B$13,Paramètres!$A$1:$I$89,3,0)*VLOOKUP('Données projet'!$B$13,Paramètres!$A$1:$I$89,5,0)</f>
        <v>1.4897523215040565E-13</v>
      </c>
      <c r="CV165" s="14">
        <f t="shared" si="173"/>
        <v>2.136562777003313E-12</v>
      </c>
      <c r="CW165" s="22">
        <f t="shared" si="174"/>
        <v>3.9806453659427267E-12</v>
      </c>
      <c r="CX165" s="62">
        <f t="shared" si="122"/>
        <v>293.33333333333729</v>
      </c>
      <c r="CY165" s="62">
        <f ca="1">AVERAGE(OFFSET($CX$3,0,0,'Données projet'!$E$13+1,1))-AVERAGE(OFFSET($H$3,0,0,'Données projet'!$E$13+1,1))</f>
        <v>158.23848664370132</v>
      </c>
      <c r="CZ165" s="62">
        <f t="shared" si="150"/>
        <v>172.92355799729972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2">
        <f t="shared" si="140"/>
        <v>36.845535084476985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70">
        <f t="shared" si="110"/>
        <v>605.51373360546404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-8.1404323282185943E-13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223.49015613166239</v>
      </c>
      <c r="T166" s="62">
        <f t="shared" si="142"/>
        <v>136.15898308259307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97.899731390293653</v>
      </c>
      <c r="AO166" s="62">
        <f t="shared" si="144"/>
        <v>310.21833995692549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4.468562673030168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1.7324519058021615E-21</v>
      </c>
      <c r="AX166" s="23">
        <f t="shared" si="166"/>
        <v>4.468562673030168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2.7666828827932479E-13</v>
      </c>
      <c r="BF166" s="14">
        <f t="shared" si="167"/>
        <v>3.6920483163466686E-12</v>
      </c>
      <c r="BG166" s="22">
        <f t="shared" si="168"/>
        <v>6.9121814197236049E-12</v>
      </c>
      <c r="BH166" s="62">
        <f t="shared" si="116"/>
        <v>293.33333333334025</v>
      </c>
      <c r="BI166" s="62">
        <f ca="1">AVERAGE(OFFSET($BH$3,0,0,'Données projet'!$E$11+1,1))-AVERAGE(OFFSET($H$3,0,0,'Données projet'!$E$11+1,1))</f>
        <v>209.0958230411249</v>
      </c>
      <c r="BJ166" s="62">
        <f t="shared" si="146"/>
        <v>250.34919671671565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3.6357050703372803E-14</v>
      </c>
      <c r="CA166" s="14">
        <f t="shared" si="170"/>
        <v>6.1445232567661395E-13</v>
      </c>
      <c r="CB166" s="22">
        <f t="shared" si="171"/>
        <v>1.1334929971951436E-12</v>
      </c>
      <c r="CC166" s="62">
        <f t="shared" si="119"/>
        <v>293.33333333333445</v>
      </c>
      <c r="CD166" s="62">
        <f ca="1">AVERAGE(OFFSET($CC$3,0,0,'Données projet'!$E$12+1,1))-AVERAGE(OFFSET($H$3,0,0,'Données projet'!$E$12+1,1))</f>
        <v>152.52712777621315</v>
      </c>
      <c r="CE166" s="62">
        <f t="shared" si="148"/>
        <v>145.25423263217925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2.2737367544323206E-13</v>
      </c>
      <c r="CU166" s="18">
        <f>CT166*VLOOKUP('Données projet'!$B$13,Paramètres!$A$1:$I$89,3,0)*VLOOKUP('Données projet'!$B$13,Paramètres!$A$1:$I$89,5,0)</f>
        <v>1.4897523215040565E-13</v>
      </c>
      <c r="CV166" s="14">
        <f t="shared" si="173"/>
        <v>2.136562777003313E-12</v>
      </c>
      <c r="CW166" s="22">
        <f t="shared" si="174"/>
        <v>3.9806453659427267E-12</v>
      </c>
      <c r="CX166" s="62">
        <f t="shared" si="122"/>
        <v>293.33333333333729</v>
      </c>
      <c r="CY166" s="62">
        <f ca="1">AVERAGE(OFFSET($CX$3,0,0,'Données projet'!$E$13+1,1))-AVERAGE(OFFSET($H$3,0,0,'Données projet'!$E$13+1,1))</f>
        <v>158.23848664370132</v>
      </c>
      <c r="CZ166" s="62">
        <f t="shared" si="150"/>
        <v>172.92355799729972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2">
        <f t="shared" si="140"/>
        <v>37.045198377171303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70">
        <f t="shared" si="110"/>
        <v>607.38300050690668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-8.1404323282185943E-13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223.49015613166239</v>
      </c>
      <c r="T167" s="62">
        <f t="shared" si="142"/>
        <v>136.15898308259307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97.899731390293653</v>
      </c>
      <c r="AO167" s="62">
        <f t="shared" si="144"/>
        <v>310.21833995692549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4.3809368845661512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1.2250284906722663E-21</v>
      </c>
      <c r="AX167" s="23">
        <f t="shared" si="166"/>
        <v>4.3809368845661512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2.7666828827932479E-13</v>
      </c>
      <c r="BF167" s="14">
        <f t="shared" si="167"/>
        <v>3.6920483163466686E-12</v>
      </c>
      <c r="BG167" s="22">
        <f t="shared" si="168"/>
        <v>6.9121814197236049E-12</v>
      </c>
      <c r="BH167" s="62">
        <f t="shared" si="116"/>
        <v>293.33333333334025</v>
      </c>
      <c r="BI167" s="62">
        <f ca="1">AVERAGE(OFFSET($BH$3,0,0,'Données projet'!$E$11+1,1))-AVERAGE(OFFSET($H$3,0,0,'Données projet'!$E$11+1,1))</f>
        <v>209.0958230411249</v>
      </c>
      <c r="BJ167" s="62">
        <f t="shared" si="146"/>
        <v>250.34919671671565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3.6357050703372803E-14</v>
      </c>
      <c r="CA167" s="14">
        <f t="shared" si="170"/>
        <v>6.1445232567661395E-13</v>
      </c>
      <c r="CB167" s="22">
        <f t="shared" si="171"/>
        <v>1.1334929971951436E-12</v>
      </c>
      <c r="CC167" s="62">
        <f t="shared" si="119"/>
        <v>293.33333333333445</v>
      </c>
      <c r="CD167" s="62">
        <f ca="1">AVERAGE(OFFSET($CC$3,0,0,'Données projet'!$E$12+1,1))-AVERAGE(OFFSET($H$3,0,0,'Données projet'!$E$12+1,1))</f>
        <v>152.52712777621315</v>
      </c>
      <c r="CE167" s="62">
        <f t="shared" si="148"/>
        <v>145.25423263217925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2.2737367544323206E-13</v>
      </c>
      <c r="CU167" s="18">
        <f>CT167*VLOOKUP('Données projet'!$B$13,Paramètres!$A$1:$I$89,3,0)*VLOOKUP('Données projet'!$B$13,Paramètres!$A$1:$I$89,5,0)</f>
        <v>1.4897523215040565E-13</v>
      </c>
      <c r="CV167" s="14">
        <f t="shared" si="173"/>
        <v>2.136562777003313E-12</v>
      </c>
      <c r="CW167" s="22">
        <f t="shared" si="174"/>
        <v>3.9806453659427267E-12</v>
      </c>
      <c r="CX167" s="62">
        <f t="shared" si="122"/>
        <v>293.33333333333729</v>
      </c>
      <c r="CY167" s="62">
        <f ca="1">AVERAGE(OFFSET($CX$3,0,0,'Données projet'!$E$13+1,1))-AVERAGE(OFFSET($H$3,0,0,'Données projet'!$E$13+1,1))</f>
        <v>158.23848664370132</v>
      </c>
      <c r="CZ167" s="62">
        <f t="shared" si="150"/>
        <v>172.92355799729972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2">
        <f t="shared" si="140"/>
        <v>37.244720006976252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70">
        <f t="shared" si="110"/>
        <v>609.25202067881696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-8.1404323282185943E-13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223.49015613166239</v>
      </c>
      <c r="T168" s="62">
        <f t="shared" si="142"/>
        <v>136.15898308259307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97.899731390293653</v>
      </c>
      <c r="AO168" s="62">
        <f t="shared" si="144"/>
        <v>310.21833995692549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4.2950293843674601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8.6622595290108075E-22</v>
      </c>
      <c r="AX168" s="23">
        <f t="shared" si="166"/>
        <v>4.2950293843674601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2.7666828827932479E-13</v>
      </c>
      <c r="BF168" s="14">
        <f t="shared" si="167"/>
        <v>3.6920483163466686E-12</v>
      </c>
      <c r="BG168" s="22">
        <f t="shared" si="168"/>
        <v>6.9121814197236049E-12</v>
      </c>
      <c r="BH168" s="62">
        <f t="shared" si="116"/>
        <v>293.33333333334025</v>
      </c>
      <c r="BI168" s="62">
        <f ca="1">AVERAGE(OFFSET($BH$3,0,0,'Données projet'!$E$11+1,1))-AVERAGE(OFFSET($H$3,0,0,'Données projet'!$E$11+1,1))</f>
        <v>209.0958230411249</v>
      </c>
      <c r="BJ168" s="62">
        <f t="shared" si="146"/>
        <v>250.34919671671565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3.6357050703372803E-14</v>
      </c>
      <c r="CA168" s="14">
        <f t="shared" si="170"/>
        <v>6.1445232567661395E-13</v>
      </c>
      <c r="CB168" s="22">
        <f t="shared" si="171"/>
        <v>1.1334929971951436E-12</v>
      </c>
      <c r="CC168" s="62">
        <f t="shared" si="119"/>
        <v>293.33333333333445</v>
      </c>
      <c r="CD168" s="62">
        <f ca="1">AVERAGE(OFFSET($CC$3,0,0,'Données projet'!$E$12+1,1))-AVERAGE(OFFSET($H$3,0,0,'Données projet'!$E$12+1,1))</f>
        <v>152.52712777621315</v>
      </c>
      <c r="CE168" s="62">
        <f t="shared" si="148"/>
        <v>145.25423263217925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2.2737367544323206E-13</v>
      </c>
      <c r="CU168" s="18">
        <f>CT168*VLOOKUP('Données projet'!$B$13,Paramètres!$A$1:$I$89,3,0)*VLOOKUP('Données projet'!$B$13,Paramètres!$A$1:$I$89,5,0)</f>
        <v>1.4897523215040565E-13</v>
      </c>
      <c r="CV168" s="14">
        <f t="shared" si="173"/>
        <v>2.136562777003313E-12</v>
      </c>
      <c r="CW168" s="22">
        <f t="shared" si="174"/>
        <v>3.9806453659427267E-12</v>
      </c>
      <c r="CX168" s="62">
        <f t="shared" si="122"/>
        <v>293.33333333333729</v>
      </c>
      <c r="CY168" s="62">
        <f ca="1">AVERAGE(OFFSET($CX$3,0,0,'Données projet'!$E$13+1,1))-AVERAGE(OFFSET($H$3,0,0,'Données projet'!$E$13+1,1))</f>
        <v>158.23848664370132</v>
      </c>
      <c r="CZ168" s="62">
        <f t="shared" si="150"/>
        <v>172.92355799729972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2">
        <f t="shared" si="140"/>
        <v>37.444100932065233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70">
        <f t="shared" si="110"/>
        <v>611.12079579001363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-8.1404323282185943E-13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223.49015613166239</v>
      </c>
      <c r="T169" s="62">
        <f t="shared" si="142"/>
        <v>136.15898308259307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97.899731390293653</v>
      </c>
      <c r="AO169" s="62">
        <f t="shared" si="144"/>
        <v>310.21833995692549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4.210806477849264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6.1251424533613313E-22</v>
      </c>
      <c r="AX169" s="23">
        <f t="shared" si="166"/>
        <v>4.210806477849264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2.7666828827932479E-13</v>
      </c>
      <c r="BF169" s="14">
        <f t="shared" si="167"/>
        <v>3.6920483163466686E-12</v>
      </c>
      <c r="BG169" s="22">
        <f t="shared" si="168"/>
        <v>6.9121814197236049E-12</v>
      </c>
      <c r="BH169" s="62">
        <f t="shared" si="116"/>
        <v>293.33333333334025</v>
      </c>
      <c r="BI169" s="62">
        <f ca="1">AVERAGE(OFFSET($BH$3,0,0,'Données projet'!$E$11+1,1))-AVERAGE(OFFSET($H$3,0,0,'Données projet'!$E$11+1,1))</f>
        <v>209.0958230411249</v>
      </c>
      <c r="BJ169" s="62">
        <f t="shared" si="146"/>
        <v>250.34919671671565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3.6357050703372803E-14</v>
      </c>
      <c r="CA169" s="14">
        <f t="shared" si="170"/>
        <v>6.1445232567661395E-13</v>
      </c>
      <c r="CB169" s="22">
        <f t="shared" si="171"/>
        <v>1.1334929971951436E-12</v>
      </c>
      <c r="CC169" s="62">
        <f t="shared" si="119"/>
        <v>293.33333333333445</v>
      </c>
      <c r="CD169" s="62">
        <f ca="1">AVERAGE(OFFSET($CC$3,0,0,'Données projet'!$E$12+1,1))-AVERAGE(OFFSET($H$3,0,0,'Données projet'!$E$12+1,1))</f>
        <v>152.52712777621315</v>
      </c>
      <c r="CE169" s="62">
        <f t="shared" si="148"/>
        <v>145.25423263217925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2.2737367544323206E-13</v>
      </c>
      <c r="CU169" s="18">
        <f>CT169*VLOOKUP('Données projet'!$B$13,Paramètres!$A$1:$I$89,3,0)*VLOOKUP('Données projet'!$B$13,Paramètres!$A$1:$I$89,5,0)</f>
        <v>1.4897523215040565E-13</v>
      </c>
      <c r="CV169" s="14">
        <f t="shared" si="173"/>
        <v>2.136562777003313E-12</v>
      </c>
      <c r="CW169" s="22">
        <f t="shared" si="174"/>
        <v>3.9806453659427267E-12</v>
      </c>
      <c r="CX169" s="62">
        <f t="shared" si="122"/>
        <v>293.33333333333729</v>
      </c>
      <c r="CY169" s="62">
        <f ca="1">AVERAGE(OFFSET($CX$3,0,0,'Données projet'!$E$13+1,1))-AVERAGE(OFFSET($H$3,0,0,'Données projet'!$E$13+1,1))</f>
        <v>158.23848664370132</v>
      </c>
      <c r="CZ169" s="62">
        <f t="shared" si="150"/>
        <v>172.92355799729972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2">
        <f t="shared" si="140"/>
        <v>37.643342098399685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70">
        <f t="shared" si="110"/>
        <v>612.98932748804623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-8.1404323282185943E-13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223.49015613166239</v>
      </c>
      <c r="T170" s="62">
        <f t="shared" si="142"/>
        <v>136.15898308259307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97.899731390293653</v>
      </c>
      <c r="AO170" s="62">
        <f t="shared" si="144"/>
        <v>310.21833995692549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4.1282351311569894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4.3311297645054038E-22</v>
      </c>
      <c r="AX170" s="23">
        <f t="shared" si="166"/>
        <v>4.1282351311569894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2.7666828827932479E-13</v>
      </c>
      <c r="BF170" s="14">
        <f t="shared" si="167"/>
        <v>3.6920483163466686E-12</v>
      </c>
      <c r="BG170" s="22">
        <f t="shared" si="168"/>
        <v>6.9121814197236049E-12</v>
      </c>
      <c r="BH170" s="62">
        <f t="shared" si="116"/>
        <v>293.33333333334025</v>
      </c>
      <c r="BI170" s="62">
        <f ca="1">AVERAGE(OFFSET($BH$3,0,0,'Données projet'!$E$11+1,1))-AVERAGE(OFFSET($H$3,0,0,'Données projet'!$E$11+1,1))</f>
        <v>209.0958230411249</v>
      </c>
      <c r="BJ170" s="62">
        <f t="shared" si="146"/>
        <v>250.34919671671565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3.6357050703372803E-14</v>
      </c>
      <c r="CA170" s="14">
        <f t="shared" si="170"/>
        <v>6.1445232567661395E-13</v>
      </c>
      <c r="CB170" s="22">
        <f t="shared" si="171"/>
        <v>1.1334929971951436E-12</v>
      </c>
      <c r="CC170" s="62">
        <f t="shared" si="119"/>
        <v>293.33333333333445</v>
      </c>
      <c r="CD170" s="62">
        <f ca="1">AVERAGE(OFFSET($CC$3,0,0,'Données projet'!$E$12+1,1))-AVERAGE(OFFSET($H$3,0,0,'Données projet'!$E$12+1,1))</f>
        <v>152.52712777621315</v>
      </c>
      <c r="CE170" s="62">
        <f t="shared" si="148"/>
        <v>145.25423263217925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2.2737367544323206E-13</v>
      </c>
      <c r="CU170" s="18">
        <f>CT170*VLOOKUP('Données projet'!$B$13,Paramètres!$A$1:$I$89,3,0)*VLOOKUP('Données projet'!$B$13,Paramètres!$A$1:$I$89,5,0)</f>
        <v>1.4897523215040565E-13</v>
      </c>
      <c r="CV170" s="14">
        <f t="shared" si="173"/>
        <v>2.136562777003313E-12</v>
      </c>
      <c r="CW170" s="22">
        <f t="shared" si="174"/>
        <v>3.9806453659427267E-12</v>
      </c>
      <c r="CX170" s="62">
        <f t="shared" si="122"/>
        <v>293.33333333333729</v>
      </c>
      <c r="CY170" s="62">
        <f ca="1">AVERAGE(OFFSET($CX$3,0,0,'Données projet'!$E$13+1,1))-AVERAGE(OFFSET($H$3,0,0,'Données projet'!$E$13+1,1))</f>
        <v>158.23848664370132</v>
      </c>
      <c r="CZ170" s="62">
        <f t="shared" si="150"/>
        <v>172.92355799729972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2">
        <f t="shared" si="140"/>
        <v>37.842444439956665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70">
        <f t="shared" si="110"/>
        <v>614.85761739959128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-8.1404323282185943E-13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223.49015613166239</v>
      </c>
      <c r="T171" s="62">
        <f t="shared" si="142"/>
        <v>136.15898308259307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97.899731390293653</v>
      </c>
      <c r="AO171" s="62">
        <f t="shared" si="144"/>
        <v>310.21833995692549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4.0472829582098013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3.0625712266806657E-22</v>
      </c>
      <c r="AX171" s="23">
        <f t="shared" si="166"/>
        <v>4.0472829582098013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2.7666828827932479E-13</v>
      </c>
      <c r="BF171" s="14">
        <f t="shared" si="167"/>
        <v>3.6920483163466686E-12</v>
      </c>
      <c r="BG171" s="22">
        <f t="shared" si="168"/>
        <v>6.9121814197236049E-12</v>
      </c>
      <c r="BH171" s="62">
        <f t="shared" si="116"/>
        <v>293.33333333334025</v>
      </c>
      <c r="BI171" s="62">
        <f ca="1">AVERAGE(OFFSET($BH$3,0,0,'Données projet'!$E$11+1,1))-AVERAGE(OFFSET($H$3,0,0,'Données projet'!$E$11+1,1))</f>
        <v>209.0958230411249</v>
      </c>
      <c r="BJ171" s="62">
        <f t="shared" si="146"/>
        <v>250.34919671671565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3.6357050703372803E-14</v>
      </c>
      <c r="CA171" s="14">
        <f t="shared" si="170"/>
        <v>6.1445232567661395E-13</v>
      </c>
      <c r="CB171" s="22">
        <f t="shared" si="171"/>
        <v>1.1334929971951436E-12</v>
      </c>
      <c r="CC171" s="62">
        <f t="shared" si="119"/>
        <v>293.33333333333445</v>
      </c>
      <c r="CD171" s="62">
        <f ca="1">AVERAGE(OFFSET($CC$3,0,0,'Données projet'!$E$12+1,1))-AVERAGE(OFFSET($H$3,0,0,'Données projet'!$E$12+1,1))</f>
        <v>152.52712777621315</v>
      </c>
      <c r="CE171" s="62">
        <f t="shared" si="148"/>
        <v>145.25423263217925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2.2737367544323206E-13</v>
      </c>
      <c r="CU171" s="18">
        <f>CT171*VLOOKUP('Données projet'!$B$13,Paramètres!$A$1:$I$89,3,0)*VLOOKUP('Données projet'!$B$13,Paramètres!$A$1:$I$89,5,0)</f>
        <v>1.4897523215040565E-13</v>
      </c>
      <c r="CV171" s="14">
        <f t="shared" si="173"/>
        <v>2.136562777003313E-12</v>
      </c>
      <c r="CW171" s="22">
        <f t="shared" si="174"/>
        <v>3.9806453659427267E-12</v>
      </c>
      <c r="CX171" s="62">
        <f t="shared" si="122"/>
        <v>293.33333333333729</v>
      </c>
      <c r="CY171" s="62">
        <f ca="1">AVERAGE(OFFSET($CX$3,0,0,'Données projet'!$E$13+1,1))-AVERAGE(OFFSET($H$3,0,0,'Données projet'!$E$13+1,1))</f>
        <v>158.23848664370132</v>
      </c>
      <c r="CZ171" s="62">
        <f t="shared" si="150"/>
        <v>172.92355799729972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2">
        <f t="shared" si="140"/>
        <v>38.04140887895133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70">
        <f t="shared" si="110"/>
        <v>616.72566713084029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-8.1404323282185943E-13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223.49015613166239</v>
      </c>
      <c r="T172" s="62">
        <f t="shared" si="142"/>
        <v>136.15898308259307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97.899731390293653</v>
      </c>
      <c r="AO172" s="62">
        <f t="shared" si="144"/>
        <v>310.21833995692549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3.9679182079981579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2.1655648822527019E-22</v>
      </c>
      <c r="AX172" s="23">
        <f t="shared" si="166"/>
        <v>3.9679182079981579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2.7666828827932479E-13</v>
      </c>
      <c r="BF172" s="14">
        <f t="shared" si="167"/>
        <v>3.6920483163466686E-12</v>
      </c>
      <c r="BG172" s="22">
        <f t="shared" si="168"/>
        <v>6.9121814197236049E-12</v>
      </c>
      <c r="BH172" s="62">
        <f t="shared" si="116"/>
        <v>293.33333333334025</v>
      </c>
      <c r="BI172" s="62">
        <f ca="1">AVERAGE(OFFSET($BH$3,0,0,'Données projet'!$E$11+1,1))-AVERAGE(OFFSET($H$3,0,0,'Données projet'!$E$11+1,1))</f>
        <v>209.0958230411249</v>
      </c>
      <c r="BJ172" s="62">
        <f t="shared" si="146"/>
        <v>250.34919671671565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3.6357050703372803E-14</v>
      </c>
      <c r="CA172" s="14">
        <f t="shared" si="170"/>
        <v>6.1445232567661395E-13</v>
      </c>
      <c r="CB172" s="22">
        <f t="shared" si="171"/>
        <v>1.1334929971951436E-12</v>
      </c>
      <c r="CC172" s="62">
        <f t="shared" si="119"/>
        <v>293.33333333333445</v>
      </c>
      <c r="CD172" s="62">
        <f ca="1">AVERAGE(OFFSET($CC$3,0,0,'Données projet'!$E$12+1,1))-AVERAGE(OFFSET($H$3,0,0,'Données projet'!$E$12+1,1))</f>
        <v>152.52712777621315</v>
      </c>
      <c r="CE172" s="62">
        <f t="shared" si="148"/>
        <v>145.25423263217925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2.2737367544323206E-13</v>
      </c>
      <c r="CU172" s="18">
        <f>CT172*VLOOKUP('Données projet'!$B$13,Paramètres!$A$1:$I$89,3,0)*VLOOKUP('Données projet'!$B$13,Paramètres!$A$1:$I$89,5,0)</f>
        <v>1.4897523215040565E-13</v>
      </c>
      <c r="CV172" s="14">
        <f t="shared" si="173"/>
        <v>2.136562777003313E-12</v>
      </c>
      <c r="CW172" s="22">
        <f t="shared" si="174"/>
        <v>3.9806453659427267E-12</v>
      </c>
      <c r="CX172" s="62">
        <f t="shared" si="122"/>
        <v>293.33333333333729</v>
      </c>
      <c r="CY172" s="62">
        <f ca="1">AVERAGE(OFFSET($CX$3,0,0,'Données projet'!$E$13+1,1))-AVERAGE(OFFSET($H$3,0,0,'Données projet'!$E$13+1,1))</f>
        <v>158.23848664370132</v>
      </c>
      <c r="CZ172" s="62">
        <f t="shared" si="150"/>
        <v>172.92355799729972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2">
        <f t="shared" si="140"/>
        <v>38.240236326053541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70">
        <f t="shared" si="110"/>
        <v>618.59347826787666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-8.1404323282185943E-13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223.49015613166239</v>
      </c>
      <c r="T173" s="62">
        <f t="shared" si="142"/>
        <v>136.15898308259307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97.899731390293653</v>
      </c>
      <c r="AO173" s="62">
        <f t="shared" si="144"/>
        <v>310.21833995692549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3.8901097521304466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1.5312856133403328E-22</v>
      </c>
      <c r="AX173" s="23">
        <f t="shared" si="166"/>
        <v>3.8901097521304466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2.7666828827932479E-13</v>
      </c>
      <c r="BF173" s="14">
        <f t="shared" si="167"/>
        <v>3.6920483163466686E-12</v>
      </c>
      <c r="BG173" s="22">
        <f t="shared" si="168"/>
        <v>6.9121814197236049E-12</v>
      </c>
      <c r="BH173" s="62">
        <f t="shared" si="116"/>
        <v>293.33333333334025</v>
      </c>
      <c r="BI173" s="62">
        <f ca="1">AVERAGE(OFFSET($BH$3,0,0,'Données projet'!$E$11+1,1))-AVERAGE(OFFSET($H$3,0,0,'Données projet'!$E$11+1,1))</f>
        <v>209.0958230411249</v>
      </c>
      <c r="BJ173" s="62">
        <f t="shared" si="146"/>
        <v>250.34919671671565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3.6357050703372803E-14</v>
      </c>
      <c r="CA173" s="14">
        <f t="shared" si="170"/>
        <v>6.1445232567661395E-13</v>
      </c>
      <c r="CB173" s="22">
        <f t="shared" si="171"/>
        <v>1.1334929971951436E-12</v>
      </c>
      <c r="CC173" s="62">
        <f t="shared" si="119"/>
        <v>293.33333333333445</v>
      </c>
      <c r="CD173" s="62">
        <f ca="1">AVERAGE(OFFSET($CC$3,0,0,'Données projet'!$E$12+1,1))-AVERAGE(OFFSET($H$3,0,0,'Données projet'!$E$12+1,1))</f>
        <v>152.52712777621315</v>
      </c>
      <c r="CE173" s="62">
        <f t="shared" si="148"/>
        <v>145.25423263217925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2.2737367544323206E-13</v>
      </c>
      <c r="CU173" s="18">
        <f>CT173*VLOOKUP('Données projet'!$B$13,Paramètres!$A$1:$I$89,3,0)*VLOOKUP('Données projet'!$B$13,Paramètres!$A$1:$I$89,5,0)</f>
        <v>1.4897523215040565E-13</v>
      </c>
      <c r="CV173" s="14">
        <f t="shared" si="173"/>
        <v>2.136562777003313E-12</v>
      </c>
      <c r="CW173" s="22">
        <f t="shared" si="174"/>
        <v>3.9806453659427267E-12</v>
      </c>
      <c r="CX173" s="62">
        <f t="shared" si="122"/>
        <v>293.33333333333729</v>
      </c>
      <c r="CY173" s="62">
        <f ca="1">AVERAGE(OFFSET($CX$3,0,0,'Données projet'!$E$13+1,1))-AVERAGE(OFFSET($H$3,0,0,'Données projet'!$E$13+1,1))</f>
        <v>158.23848664370132</v>
      </c>
      <c r="CZ173" s="62">
        <f t="shared" si="150"/>
        <v>172.92355799729972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2">
        <f t="shared" si="140"/>
        <v>38.438927680599626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70">
        <f t="shared" si="110"/>
        <v>620.46105237704444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-8.1404323282185943E-13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223.49015613166239</v>
      </c>
      <c r="T174" s="62">
        <f t="shared" si="142"/>
        <v>136.15898308259307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97.899731390293653</v>
      </c>
      <c r="AO174" s="62">
        <f t="shared" si="144"/>
        <v>310.21833995692549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3.8138270726238295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1.0827824411263509E-22</v>
      </c>
      <c r="AX174" s="23">
        <f t="shared" si="166"/>
        <v>3.8138270726238295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2.7666828827932479E-13</v>
      </c>
      <c r="BF174" s="14">
        <f t="shared" si="167"/>
        <v>3.6920483163466686E-12</v>
      </c>
      <c r="BG174" s="22">
        <f t="shared" si="168"/>
        <v>6.9121814197236049E-12</v>
      </c>
      <c r="BH174" s="62">
        <f t="shared" si="116"/>
        <v>293.33333333334025</v>
      </c>
      <c r="BI174" s="62">
        <f ca="1">AVERAGE(OFFSET($BH$3,0,0,'Données projet'!$E$11+1,1))-AVERAGE(OFFSET($H$3,0,0,'Données projet'!$E$11+1,1))</f>
        <v>209.0958230411249</v>
      </c>
      <c r="BJ174" s="62">
        <f t="shared" si="146"/>
        <v>250.34919671671565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3.6357050703372803E-14</v>
      </c>
      <c r="CA174" s="14">
        <f t="shared" si="170"/>
        <v>6.1445232567661395E-13</v>
      </c>
      <c r="CB174" s="22">
        <f t="shared" si="171"/>
        <v>1.1334929971951436E-12</v>
      </c>
      <c r="CC174" s="62">
        <f t="shared" si="119"/>
        <v>293.33333333333445</v>
      </c>
      <c r="CD174" s="62">
        <f ca="1">AVERAGE(OFFSET($CC$3,0,0,'Données projet'!$E$12+1,1))-AVERAGE(OFFSET($H$3,0,0,'Données projet'!$E$12+1,1))</f>
        <v>152.52712777621315</v>
      </c>
      <c r="CE174" s="62">
        <f t="shared" si="148"/>
        <v>145.25423263217925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2.2737367544323206E-13</v>
      </c>
      <c r="CU174" s="18">
        <f>CT174*VLOOKUP('Données projet'!$B$13,Paramètres!$A$1:$I$89,3,0)*VLOOKUP('Données projet'!$B$13,Paramètres!$A$1:$I$89,5,0)</f>
        <v>1.4897523215040565E-13</v>
      </c>
      <c r="CV174" s="14">
        <f t="shared" si="173"/>
        <v>2.136562777003313E-12</v>
      </c>
      <c r="CW174" s="22">
        <f t="shared" si="174"/>
        <v>3.9806453659427267E-12</v>
      </c>
      <c r="CX174" s="62">
        <f t="shared" si="122"/>
        <v>293.33333333333729</v>
      </c>
      <c r="CY174" s="62">
        <f ca="1">AVERAGE(OFFSET($CX$3,0,0,'Données projet'!$E$13+1,1))-AVERAGE(OFFSET($H$3,0,0,'Données projet'!$E$13+1,1))</f>
        <v>158.23848664370132</v>
      </c>
      <c r="CZ174" s="62">
        <f t="shared" si="150"/>
        <v>172.92355799729972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2">
        <f t="shared" si="140"/>
        <v>38.637483830798757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70">
        <f t="shared" si="110"/>
        <v>622.32839100530805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-8.1404323282185943E-13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223.49015613166239</v>
      </c>
      <c r="T175" s="62">
        <f t="shared" si="142"/>
        <v>136.15898308259307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97.899731390293653</v>
      </c>
      <c r="AO175" s="62">
        <f t="shared" si="144"/>
        <v>310.21833995692549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3.7390402499344968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7.6564280667016642E-23</v>
      </c>
      <c r="AX175" s="23">
        <f t="shared" si="166"/>
        <v>3.7390402499344968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2.7666828827932479E-13</v>
      </c>
      <c r="BF175" s="14">
        <f t="shared" si="167"/>
        <v>3.6920483163466686E-12</v>
      </c>
      <c r="BG175" s="22">
        <f t="shared" si="168"/>
        <v>6.9121814197236049E-12</v>
      </c>
      <c r="BH175" s="62">
        <f t="shared" si="116"/>
        <v>293.33333333334025</v>
      </c>
      <c r="BI175" s="62">
        <f ca="1">AVERAGE(OFFSET($BH$3,0,0,'Données projet'!$E$11+1,1))-AVERAGE(OFFSET($H$3,0,0,'Données projet'!$E$11+1,1))</f>
        <v>209.0958230411249</v>
      </c>
      <c r="BJ175" s="62">
        <f t="shared" si="146"/>
        <v>250.34919671671565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3.6357050703372803E-14</v>
      </c>
      <c r="CA175" s="14">
        <f t="shared" si="170"/>
        <v>6.1445232567661395E-13</v>
      </c>
      <c r="CB175" s="22">
        <f t="shared" si="171"/>
        <v>1.1334929971951436E-12</v>
      </c>
      <c r="CC175" s="62">
        <f t="shared" si="119"/>
        <v>293.33333333333445</v>
      </c>
      <c r="CD175" s="62">
        <f ca="1">AVERAGE(OFFSET($CC$3,0,0,'Données projet'!$E$12+1,1))-AVERAGE(OFFSET($H$3,0,0,'Données projet'!$E$12+1,1))</f>
        <v>152.52712777621315</v>
      </c>
      <c r="CE175" s="62">
        <f t="shared" si="148"/>
        <v>145.25423263217925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2.2737367544323206E-13</v>
      </c>
      <c r="CU175" s="18">
        <f>CT175*VLOOKUP('Données projet'!$B$13,Paramètres!$A$1:$I$89,3,0)*VLOOKUP('Données projet'!$B$13,Paramètres!$A$1:$I$89,5,0)</f>
        <v>1.4897523215040565E-13</v>
      </c>
      <c r="CV175" s="14">
        <f t="shared" si="173"/>
        <v>2.136562777003313E-12</v>
      </c>
      <c r="CW175" s="22">
        <f t="shared" si="174"/>
        <v>3.9806453659427267E-12</v>
      </c>
      <c r="CX175" s="62">
        <f t="shared" si="122"/>
        <v>293.33333333333729</v>
      </c>
      <c r="CY175" s="62">
        <f ca="1">AVERAGE(OFFSET($CX$3,0,0,'Données projet'!$E$13+1,1))-AVERAGE(OFFSET($H$3,0,0,'Données projet'!$E$13+1,1))</f>
        <v>158.23848664370132</v>
      </c>
      <c r="CZ175" s="62">
        <f t="shared" si="150"/>
        <v>172.92355799729972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2">
        <f t="shared" si="140"/>
        <v>38.835905653934461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70">
        <f t="shared" si="110"/>
        <v>624.19549568060279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-8.1404323282185943E-13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223.49015613166239</v>
      </c>
      <c r="T176" s="62">
        <f t="shared" si="142"/>
        <v>136.15898308259307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97.899731390293653</v>
      </c>
      <c r="AO176" s="62">
        <f t="shared" si="144"/>
        <v>310.21833995692549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3.6657199512226444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5.4139122056317547E-23</v>
      </c>
      <c r="AX176" s="23">
        <f t="shared" si="166"/>
        <v>3.6657199512226444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2.7666828827932479E-13</v>
      </c>
      <c r="BF176" s="14">
        <f t="shared" si="167"/>
        <v>3.6920483163466686E-12</v>
      </c>
      <c r="BG176" s="22">
        <f t="shared" si="168"/>
        <v>6.9121814197236049E-12</v>
      </c>
      <c r="BH176" s="62">
        <f t="shared" si="116"/>
        <v>293.33333333334025</v>
      </c>
      <c r="BI176" s="62">
        <f ca="1">AVERAGE(OFFSET($BH$3,0,0,'Données projet'!$E$11+1,1))-AVERAGE(OFFSET($H$3,0,0,'Données projet'!$E$11+1,1))</f>
        <v>209.0958230411249</v>
      </c>
      <c r="BJ176" s="62">
        <f t="shared" si="146"/>
        <v>250.34919671671565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3.6357050703372803E-14</v>
      </c>
      <c r="CA176" s="14">
        <f t="shared" si="170"/>
        <v>6.1445232567661395E-13</v>
      </c>
      <c r="CB176" s="22">
        <f t="shared" si="171"/>
        <v>1.1334929971951436E-12</v>
      </c>
      <c r="CC176" s="62">
        <f t="shared" si="119"/>
        <v>293.33333333333445</v>
      </c>
      <c r="CD176" s="62">
        <f ca="1">AVERAGE(OFFSET($CC$3,0,0,'Données projet'!$E$12+1,1))-AVERAGE(OFFSET($H$3,0,0,'Données projet'!$E$12+1,1))</f>
        <v>152.52712777621315</v>
      </c>
      <c r="CE176" s="62">
        <f t="shared" si="148"/>
        <v>145.25423263217925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2.2737367544323206E-13</v>
      </c>
      <c r="CU176" s="18">
        <f>CT176*VLOOKUP('Données projet'!$B$13,Paramètres!$A$1:$I$89,3,0)*VLOOKUP('Données projet'!$B$13,Paramètres!$A$1:$I$89,5,0)</f>
        <v>1.4897523215040565E-13</v>
      </c>
      <c r="CV176" s="14">
        <f t="shared" si="173"/>
        <v>2.136562777003313E-12</v>
      </c>
      <c r="CW176" s="22">
        <f t="shared" si="174"/>
        <v>3.9806453659427267E-12</v>
      </c>
      <c r="CX176" s="62">
        <f t="shared" si="122"/>
        <v>293.33333333333729</v>
      </c>
      <c r="CY176" s="62">
        <f ca="1">AVERAGE(OFFSET($CX$3,0,0,'Données projet'!$E$13+1,1))-AVERAGE(OFFSET($H$3,0,0,'Données projet'!$E$13+1,1))</f>
        <v>158.23848664370132</v>
      </c>
      <c r="CZ176" s="62">
        <f t="shared" si="150"/>
        <v>172.92355799729972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2">
        <f t="shared" si="140"/>
        <v>39.034194016561486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70">
        <f t="shared" si="110"/>
        <v>626.06236791217816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-8.1404323282185943E-13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223.49015613166239</v>
      </c>
      <c r="T177" s="62">
        <f t="shared" si="142"/>
        <v>136.15898308259307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97.899731390293653</v>
      </c>
      <c r="AO177" s="62">
        <f t="shared" si="144"/>
        <v>310.21833995692549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3.5938374188475648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3.8282140333508321E-23</v>
      </c>
      <c r="AX177" s="23">
        <f t="shared" si="166"/>
        <v>3.5938374188475648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2.7666828827932479E-13</v>
      </c>
      <c r="BF177" s="14">
        <f t="shared" si="167"/>
        <v>3.6920483163466686E-12</v>
      </c>
      <c r="BG177" s="22">
        <f t="shared" si="168"/>
        <v>6.9121814197236049E-12</v>
      </c>
      <c r="BH177" s="62">
        <f t="shared" si="116"/>
        <v>293.33333333334025</v>
      </c>
      <c r="BI177" s="62">
        <f ca="1">AVERAGE(OFFSET($BH$3,0,0,'Données projet'!$E$11+1,1))-AVERAGE(OFFSET($H$3,0,0,'Données projet'!$E$11+1,1))</f>
        <v>209.0958230411249</v>
      </c>
      <c r="BJ177" s="62">
        <f t="shared" si="146"/>
        <v>250.34919671671565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3.6357050703372803E-14</v>
      </c>
      <c r="CA177" s="14">
        <f t="shared" si="170"/>
        <v>6.1445232567661395E-13</v>
      </c>
      <c r="CB177" s="22">
        <f t="shared" si="171"/>
        <v>1.1334929971951436E-12</v>
      </c>
      <c r="CC177" s="62">
        <f t="shared" si="119"/>
        <v>293.33333333333445</v>
      </c>
      <c r="CD177" s="62">
        <f ca="1">AVERAGE(OFFSET($CC$3,0,0,'Données projet'!$E$12+1,1))-AVERAGE(OFFSET($H$3,0,0,'Données projet'!$E$12+1,1))</f>
        <v>152.52712777621315</v>
      </c>
      <c r="CE177" s="62">
        <f t="shared" si="148"/>
        <v>145.25423263217925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2.2737367544323206E-13</v>
      </c>
      <c r="CU177" s="18">
        <f>CT177*VLOOKUP('Données projet'!$B$13,Paramètres!$A$1:$I$89,3,0)*VLOOKUP('Données projet'!$B$13,Paramètres!$A$1:$I$89,5,0)</f>
        <v>1.4897523215040565E-13</v>
      </c>
      <c r="CV177" s="14">
        <f t="shared" si="173"/>
        <v>2.136562777003313E-12</v>
      </c>
      <c r="CW177" s="22">
        <f t="shared" si="174"/>
        <v>3.9806453659427267E-12</v>
      </c>
      <c r="CX177" s="62">
        <f t="shared" si="122"/>
        <v>293.33333333333729</v>
      </c>
      <c r="CY177" s="62">
        <f ca="1">AVERAGE(OFFSET($CX$3,0,0,'Données projet'!$E$13+1,1))-AVERAGE(OFFSET($H$3,0,0,'Données projet'!$E$13+1,1))</f>
        <v>158.23848664370132</v>
      </c>
      <c r="CZ177" s="62">
        <f t="shared" si="150"/>
        <v>172.92355799729972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2">
        <f t="shared" si="140"/>
        <v>39.232349774697887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70">
        <f t="shared" si="110"/>
        <v>627.92900919093245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-8.1404323282185943E-13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223.49015613166239</v>
      </c>
      <c r="T178" s="62">
        <f t="shared" si="142"/>
        <v>136.15898308259307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97.899731390293653</v>
      </c>
      <c r="AO178" s="62">
        <f t="shared" si="144"/>
        <v>310.21833995692549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3.5233644590883451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2.7069561028158773E-23</v>
      </c>
      <c r="AX178" s="23">
        <f t="shared" si="166"/>
        <v>3.5233644590883451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2.7666828827932479E-13</v>
      </c>
      <c r="BF178" s="14">
        <f t="shared" si="167"/>
        <v>3.6920483163466686E-12</v>
      </c>
      <c r="BG178" s="22">
        <f t="shared" si="168"/>
        <v>6.9121814197236049E-12</v>
      </c>
      <c r="BH178" s="62">
        <f t="shared" si="116"/>
        <v>293.33333333334025</v>
      </c>
      <c r="BI178" s="62">
        <f ca="1">AVERAGE(OFFSET($BH$3,0,0,'Données projet'!$E$11+1,1))-AVERAGE(OFFSET($H$3,0,0,'Données projet'!$E$11+1,1))</f>
        <v>209.0958230411249</v>
      </c>
      <c r="BJ178" s="62">
        <f t="shared" si="146"/>
        <v>250.34919671671565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3.6357050703372803E-14</v>
      </c>
      <c r="CA178" s="14">
        <f t="shared" si="170"/>
        <v>6.1445232567661395E-13</v>
      </c>
      <c r="CB178" s="22">
        <f t="shared" si="171"/>
        <v>1.1334929971951436E-12</v>
      </c>
      <c r="CC178" s="62">
        <f t="shared" si="119"/>
        <v>293.33333333333445</v>
      </c>
      <c r="CD178" s="62">
        <f ca="1">AVERAGE(OFFSET($CC$3,0,0,'Données projet'!$E$12+1,1))-AVERAGE(OFFSET($H$3,0,0,'Données projet'!$E$12+1,1))</f>
        <v>152.52712777621315</v>
      </c>
      <c r="CE178" s="62">
        <f t="shared" si="148"/>
        <v>145.25423263217925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2.2737367544323206E-13</v>
      </c>
      <c r="CU178" s="18">
        <f>CT178*VLOOKUP('Données projet'!$B$13,Paramètres!$A$1:$I$89,3,0)*VLOOKUP('Données projet'!$B$13,Paramètres!$A$1:$I$89,5,0)</f>
        <v>1.4897523215040565E-13</v>
      </c>
      <c r="CV178" s="14">
        <f t="shared" si="173"/>
        <v>2.136562777003313E-12</v>
      </c>
      <c r="CW178" s="22">
        <f t="shared" si="174"/>
        <v>3.9806453659427267E-12</v>
      </c>
      <c r="CX178" s="62">
        <f t="shared" si="122"/>
        <v>293.33333333333729</v>
      </c>
      <c r="CY178" s="62">
        <f ca="1">AVERAGE(OFFSET($CX$3,0,0,'Données projet'!$E$13+1,1))-AVERAGE(OFFSET($H$3,0,0,'Données projet'!$E$13+1,1))</f>
        <v>158.23848664370132</v>
      </c>
      <c r="CZ178" s="62">
        <f t="shared" si="150"/>
        <v>172.92355799729972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2">
        <f t="shared" si="140"/>
        <v>39.430373774012395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70">
        <f t="shared" si="110"/>
        <v>629.79542098973843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-8.1404323282185943E-13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223.49015613166239</v>
      </c>
      <c r="T179" s="62">
        <f t="shared" si="142"/>
        <v>136.15898308259307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97.899731390293653</v>
      </c>
      <c r="AO179" s="62">
        <f t="shared" si="144"/>
        <v>310.21833995692549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3.4542734310857424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1.914107016675416E-23</v>
      </c>
      <c r="AX179" s="23">
        <f t="shared" si="166"/>
        <v>3.4542734310857424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2.7666828827932479E-13</v>
      </c>
      <c r="BF179" s="14">
        <f t="shared" si="167"/>
        <v>3.6920483163466686E-12</v>
      </c>
      <c r="BG179" s="22">
        <f t="shared" si="168"/>
        <v>6.9121814197236049E-12</v>
      </c>
      <c r="BH179" s="62">
        <f t="shared" si="116"/>
        <v>293.33333333334025</v>
      </c>
      <c r="BI179" s="62">
        <f ca="1">AVERAGE(OFFSET($BH$3,0,0,'Données projet'!$E$11+1,1))-AVERAGE(OFFSET($H$3,0,0,'Données projet'!$E$11+1,1))</f>
        <v>209.0958230411249</v>
      </c>
      <c r="BJ179" s="62">
        <f t="shared" si="146"/>
        <v>250.34919671671565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3.6357050703372803E-14</v>
      </c>
      <c r="CA179" s="14">
        <f t="shared" si="170"/>
        <v>6.1445232567661395E-13</v>
      </c>
      <c r="CB179" s="22">
        <f t="shared" si="171"/>
        <v>1.1334929971951436E-12</v>
      </c>
      <c r="CC179" s="62">
        <f t="shared" si="119"/>
        <v>293.33333333333445</v>
      </c>
      <c r="CD179" s="62">
        <f ca="1">AVERAGE(OFFSET($CC$3,0,0,'Données projet'!$E$12+1,1))-AVERAGE(OFFSET($H$3,0,0,'Données projet'!$E$12+1,1))</f>
        <v>152.52712777621315</v>
      </c>
      <c r="CE179" s="62">
        <f t="shared" si="148"/>
        <v>145.25423263217925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2.2737367544323206E-13</v>
      </c>
      <c r="CU179" s="18">
        <f>CT179*VLOOKUP('Données projet'!$B$13,Paramètres!$A$1:$I$89,3,0)*VLOOKUP('Données projet'!$B$13,Paramètres!$A$1:$I$89,5,0)</f>
        <v>1.4897523215040565E-13</v>
      </c>
      <c r="CV179" s="14">
        <f t="shared" si="173"/>
        <v>2.136562777003313E-12</v>
      </c>
      <c r="CW179" s="22">
        <f t="shared" si="174"/>
        <v>3.9806453659427267E-12</v>
      </c>
      <c r="CX179" s="62">
        <f t="shared" si="122"/>
        <v>293.33333333333729</v>
      </c>
      <c r="CY179" s="62">
        <f ca="1">AVERAGE(OFFSET($CX$3,0,0,'Données projet'!$E$13+1,1))-AVERAGE(OFFSET($H$3,0,0,'Données projet'!$E$13+1,1))</f>
        <v>158.23848664370132</v>
      </c>
      <c r="CZ179" s="62">
        <f t="shared" si="150"/>
        <v>172.92355799729972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2">
        <f t="shared" si="140"/>
        <v>39.628266850007975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70">
        <f t="shared" si="110"/>
        <v>631.6616047637641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-8.1404323282185943E-13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223.49015613166239</v>
      </c>
      <c r="T180" s="62">
        <f t="shared" si="142"/>
        <v>136.15898308259307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97.899731390293653</v>
      </c>
      <c r="AO180" s="62">
        <f t="shared" si="144"/>
        <v>310.21833995692549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3.3865372360009047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1.3534780514079387E-23</v>
      </c>
      <c r="AX180" s="23">
        <f t="shared" si="166"/>
        <v>3.3865372360009047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2.7666828827932479E-13</v>
      </c>
      <c r="BF180" s="14">
        <f t="shared" si="167"/>
        <v>3.6920483163466686E-12</v>
      </c>
      <c r="BG180" s="22">
        <f t="shared" si="168"/>
        <v>6.9121814197236049E-12</v>
      </c>
      <c r="BH180" s="62">
        <f t="shared" si="116"/>
        <v>293.33333333334025</v>
      </c>
      <c r="BI180" s="62">
        <f ca="1">AVERAGE(OFFSET($BH$3,0,0,'Données projet'!$E$11+1,1))-AVERAGE(OFFSET($H$3,0,0,'Données projet'!$E$11+1,1))</f>
        <v>209.0958230411249</v>
      </c>
      <c r="BJ180" s="62">
        <f t="shared" si="146"/>
        <v>250.34919671671565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3.6357050703372803E-14</v>
      </c>
      <c r="CA180" s="14">
        <f t="shared" si="170"/>
        <v>6.1445232567661395E-13</v>
      </c>
      <c r="CB180" s="22">
        <f t="shared" si="171"/>
        <v>1.1334929971951436E-12</v>
      </c>
      <c r="CC180" s="62">
        <f t="shared" si="119"/>
        <v>293.33333333333445</v>
      </c>
      <c r="CD180" s="62">
        <f ca="1">AVERAGE(OFFSET($CC$3,0,0,'Données projet'!$E$12+1,1))-AVERAGE(OFFSET($H$3,0,0,'Données projet'!$E$12+1,1))</f>
        <v>152.52712777621315</v>
      </c>
      <c r="CE180" s="62">
        <f t="shared" si="148"/>
        <v>145.25423263217925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2.2737367544323206E-13</v>
      </c>
      <c r="CU180" s="18">
        <f>CT180*VLOOKUP('Données projet'!$B$13,Paramètres!$A$1:$I$89,3,0)*VLOOKUP('Données projet'!$B$13,Paramètres!$A$1:$I$89,5,0)</f>
        <v>1.4897523215040565E-13</v>
      </c>
      <c r="CV180" s="14">
        <f t="shared" si="173"/>
        <v>2.136562777003313E-12</v>
      </c>
      <c r="CW180" s="22">
        <f t="shared" si="174"/>
        <v>3.9806453659427267E-12</v>
      </c>
      <c r="CX180" s="62">
        <f t="shared" si="122"/>
        <v>293.33333333333729</v>
      </c>
      <c r="CY180" s="62">
        <f ca="1">AVERAGE(OFFSET($CX$3,0,0,'Données projet'!$E$13+1,1))-AVERAGE(OFFSET($H$3,0,0,'Données projet'!$E$13+1,1))</f>
        <v>158.23848664370132</v>
      </c>
      <c r="CZ180" s="62">
        <f t="shared" si="150"/>
        <v>172.92355799729972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2">
        <f t="shared" si="140"/>
        <v>39.826029828200369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70">
        <f t="shared" si="110"/>
        <v>633.52756195078257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-8.1404323282185943E-13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223.49015613166239</v>
      </c>
      <c r="T181" s="62">
        <f t="shared" si="142"/>
        <v>136.15898308259307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97.899731390293653</v>
      </c>
      <c r="AO181" s="62">
        <f t="shared" si="144"/>
        <v>310.21833995692549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3.3201293063866815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9.5705350833770802E-24</v>
      </c>
      <c r="AX181" s="23">
        <f t="shared" si="166"/>
        <v>3.3201293063866815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2.7666828827932479E-13</v>
      </c>
      <c r="BF181" s="14">
        <f t="shared" si="167"/>
        <v>3.6920483163466686E-12</v>
      </c>
      <c r="BG181" s="22">
        <f t="shared" si="168"/>
        <v>6.9121814197236049E-12</v>
      </c>
      <c r="BH181" s="62">
        <f t="shared" si="116"/>
        <v>293.33333333334025</v>
      </c>
      <c r="BI181" s="62">
        <f ca="1">AVERAGE(OFFSET($BH$3,0,0,'Données projet'!$E$11+1,1))-AVERAGE(OFFSET($H$3,0,0,'Données projet'!$E$11+1,1))</f>
        <v>209.0958230411249</v>
      </c>
      <c r="BJ181" s="62">
        <f t="shared" si="146"/>
        <v>250.34919671671565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3.6357050703372803E-14</v>
      </c>
      <c r="CA181" s="14">
        <f t="shared" si="170"/>
        <v>6.1445232567661395E-13</v>
      </c>
      <c r="CB181" s="22">
        <f t="shared" si="171"/>
        <v>1.1334929971951436E-12</v>
      </c>
      <c r="CC181" s="62">
        <f t="shared" si="119"/>
        <v>293.33333333333445</v>
      </c>
      <c r="CD181" s="62">
        <f ca="1">AVERAGE(OFFSET($CC$3,0,0,'Données projet'!$E$12+1,1))-AVERAGE(OFFSET($H$3,0,0,'Données projet'!$E$12+1,1))</f>
        <v>152.52712777621315</v>
      </c>
      <c r="CE181" s="62">
        <f t="shared" si="148"/>
        <v>145.25423263217925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2.2737367544323206E-13</v>
      </c>
      <c r="CU181" s="18">
        <f>CT181*VLOOKUP('Données projet'!$B$13,Paramètres!$A$1:$I$89,3,0)*VLOOKUP('Données projet'!$B$13,Paramètres!$A$1:$I$89,5,0)</f>
        <v>1.4897523215040565E-13</v>
      </c>
      <c r="CV181" s="14">
        <f t="shared" si="173"/>
        <v>2.136562777003313E-12</v>
      </c>
      <c r="CW181" s="22">
        <f t="shared" si="174"/>
        <v>3.9806453659427267E-12</v>
      </c>
      <c r="CX181" s="62">
        <f t="shared" si="122"/>
        <v>293.33333333333729</v>
      </c>
      <c r="CY181" s="62">
        <f ca="1">AVERAGE(OFFSET($CX$3,0,0,'Données projet'!$E$13+1,1))-AVERAGE(OFFSET($H$3,0,0,'Données projet'!$E$13+1,1))</f>
        <v>158.23848664370132</v>
      </c>
      <c r="CZ181" s="62">
        <f t="shared" si="150"/>
        <v>172.92355799729972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2">
        <f t="shared" si="140"/>
        <v>40.023663524293241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70">
        <f t="shared" si="110"/>
        <v>635.39329397147765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-8.1404323282185943E-13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223.49015613166239</v>
      </c>
      <c r="T182" s="62">
        <f t="shared" si="142"/>
        <v>136.15898308259307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97.899731390293653</v>
      </c>
      <c r="AO182" s="62">
        <f t="shared" si="144"/>
        <v>310.21833995692549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3.2550235957673554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6.7673902570396934E-24</v>
      </c>
      <c r="AX182" s="23">
        <f t="shared" si="166"/>
        <v>3.2550235957673554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2.7666828827932479E-13</v>
      </c>
      <c r="BF182" s="14">
        <f t="shared" si="167"/>
        <v>3.6920483163466686E-12</v>
      </c>
      <c r="BG182" s="22">
        <f t="shared" si="168"/>
        <v>6.9121814197236049E-12</v>
      </c>
      <c r="BH182" s="62">
        <f t="shared" si="116"/>
        <v>293.33333333334025</v>
      </c>
      <c r="BI182" s="62">
        <f ca="1">AVERAGE(OFFSET($BH$3,0,0,'Données projet'!$E$11+1,1))-AVERAGE(OFFSET($H$3,0,0,'Données projet'!$E$11+1,1))</f>
        <v>209.0958230411249</v>
      </c>
      <c r="BJ182" s="62">
        <f t="shared" si="146"/>
        <v>250.34919671671565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3.6357050703372803E-14</v>
      </c>
      <c r="CA182" s="14">
        <f t="shared" si="170"/>
        <v>6.1445232567661395E-13</v>
      </c>
      <c r="CB182" s="22">
        <f t="shared" si="171"/>
        <v>1.1334929971951436E-12</v>
      </c>
      <c r="CC182" s="62">
        <f t="shared" si="119"/>
        <v>293.33333333333445</v>
      </c>
      <c r="CD182" s="62">
        <f ca="1">AVERAGE(OFFSET($CC$3,0,0,'Données projet'!$E$12+1,1))-AVERAGE(OFFSET($H$3,0,0,'Données projet'!$E$12+1,1))</f>
        <v>152.52712777621315</v>
      </c>
      <c r="CE182" s="62">
        <f t="shared" si="148"/>
        <v>145.25423263217925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2.2737367544323206E-13</v>
      </c>
      <c r="CU182" s="18">
        <f>CT182*VLOOKUP('Données projet'!$B$13,Paramètres!$A$1:$I$89,3,0)*VLOOKUP('Données projet'!$B$13,Paramètres!$A$1:$I$89,5,0)</f>
        <v>1.4897523215040565E-13</v>
      </c>
      <c r="CV182" s="14">
        <f t="shared" si="173"/>
        <v>2.136562777003313E-12</v>
      </c>
      <c r="CW182" s="22">
        <f t="shared" si="174"/>
        <v>3.9806453659427267E-12</v>
      </c>
      <c r="CX182" s="62">
        <f t="shared" si="122"/>
        <v>293.33333333333729</v>
      </c>
      <c r="CY182" s="62">
        <f ca="1">AVERAGE(OFFSET($CX$3,0,0,'Données projet'!$E$13+1,1))-AVERAGE(OFFSET($H$3,0,0,'Données projet'!$E$13+1,1))</f>
        <v>158.23848664370132</v>
      </c>
      <c r="CZ182" s="62">
        <f t="shared" si="150"/>
        <v>172.92355799729972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2">
        <f t="shared" si="140"/>
        <v>40.221168744348681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70">
        <f t="shared" si="110"/>
        <v>637.25880222974092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-8.1404323282185943E-13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223.49015613166239</v>
      </c>
      <c r="T183" s="62">
        <f t="shared" si="142"/>
        <v>136.15898308259307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97.899731390293653</v>
      </c>
      <c r="AO183" s="62">
        <f t="shared" si="144"/>
        <v>310.21833995692549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3.1911945684227123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4.7852675416885401E-24</v>
      </c>
      <c r="AX183" s="23">
        <f t="shared" si="166"/>
        <v>3.1911945684227123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2.7666828827932479E-13</v>
      </c>
      <c r="BF183" s="14">
        <f t="shared" si="167"/>
        <v>3.6920483163466686E-12</v>
      </c>
      <c r="BG183" s="22">
        <f t="shared" si="168"/>
        <v>6.9121814197236049E-12</v>
      </c>
      <c r="BH183" s="62">
        <f t="shared" si="116"/>
        <v>293.33333333334025</v>
      </c>
      <c r="BI183" s="62">
        <f ca="1">AVERAGE(OFFSET($BH$3,0,0,'Données projet'!$E$11+1,1))-AVERAGE(OFFSET($H$3,0,0,'Données projet'!$E$11+1,1))</f>
        <v>209.0958230411249</v>
      </c>
      <c r="BJ183" s="62">
        <f t="shared" si="146"/>
        <v>250.34919671671565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3.6357050703372803E-14</v>
      </c>
      <c r="CA183" s="14">
        <f t="shared" si="170"/>
        <v>6.1445232567661395E-13</v>
      </c>
      <c r="CB183" s="22">
        <f t="shared" si="171"/>
        <v>1.1334929971951436E-12</v>
      </c>
      <c r="CC183" s="62">
        <f t="shared" si="119"/>
        <v>293.33333333333445</v>
      </c>
      <c r="CD183" s="62">
        <f ca="1">AVERAGE(OFFSET($CC$3,0,0,'Données projet'!$E$12+1,1))-AVERAGE(OFFSET($H$3,0,0,'Données projet'!$E$12+1,1))</f>
        <v>152.52712777621315</v>
      </c>
      <c r="CE183" s="62">
        <f t="shared" si="148"/>
        <v>145.25423263217925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2.2737367544323206E-13</v>
      </c>
      <c r="CU183" s="18">
        <f>CT183*VLOOKUP('Données projet'!$B$13,Paramètres!$A$1:$I$89,3,0)*VLOOKUP('Données projet'!$B$13,Paramètres!$A$1:$I$89,5,0)</f>
        <v>1.4897523215040565E-13</v>
      </c>
      <c r="CV183" s="14">
        <f t="shared" si="173"/>
        <v>2.136562777003313E-12</v>
      </c>
      <c r="CW183" s="22">
        <f t="shared" si="174"/>
        <v>3.9806453659427267E-12</v>
      </c>
      <c r="CX183" s="62">
        <f t="shared" si="122"/>
        <v>293.33333333333729</v>
      </c>
      <c r="CY183" s="62">
        <f ca="1">AVERAGE(OFFSET($CX$3,0,0,'Données projet'!$E$13+1,1))-AVERAGE(OFFSET($H$3,0,0,'Données projet'!$E$13+1,1))</f>
        <v>158.23848664370132</v>
      </c>
      <c r="CZ183" s="62">
        <f t="shared" si="150"/>
        <v>172.92355799729972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2">
        <f t="shared" si="140"/>
        <v>40.418546284954282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70">
        <f t="shared" si="110"/>
        <v>639.12408811296234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-8.1404323282185943E-13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223.49015613166239</v>
      </c>
      <c r="T184" s="62">
        <f t="shared" si="142"/>
        <v>136.15898308259307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97.899731390293653</v>
      </c>
      <c r="AO184" s="62">
        <f t="shared" si="144"/>
        <v>310.21833995692549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3.1286171893724348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3.3836951285198467E-24</v>
      </c>
      <c r="AX184" s="23">
        <f t="shared" si="166"/>
        <v>3.1286171893724348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2.7666828827932479E-13</v>
      </c>
      <c r="BF184" s="14">
        <f t="shared" si="167"/>
        <v>3.6920483163466686E-12</v>
      </c>
      <c r="BG184" s="22">
        <f t="shared" si="168"/>
        <v>6.9121814197236049E-12</v>
      </c>
      <c r="BH184" s="62">
        <f t="shared" si="116"/>
        <v>293.33333333334025</v>
      </c>
      <c r="BI184" s="62">
        <f ca="1">AVERAGE(OFFSET($BH$3,0,0,'Données projet'!$E$11+1,1))-AVERAGE(OFFSET($H$3,0,0,'Données projet'!$E$11+1,1))</f>
        <v>209.0958230411249</v>
      </c>
      <c r="BJ184" s="62">
        <f t="shared" si="146"/>
        <v>250.34919671671565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3.6357050703372803E-14</v>
      </c>
      <c r="CA184" s="14">
        <f t="shared" si="170"/>
        <v>6.1445232567661395E-13</v>
      </c>
      <c r="CB184" s="22">
        <f t="shared" si="171"/>
        <v>1.1334929971951436E-12</v>
      </c>
      <c r="CC184" s="62">
        <f t="shared" si="119"/>
        <v>293.33333333333445</v>
      </c>
      <c r="CD184" s="62">
        <f ca="1">AVERAGE(OFFSET($CC$3,0,0,'Données projet'!$E$12+1,1))-AVERAGE(OFFSET($H$3,0,0,'Données projet'!$E$12+1,1))</f>
        <v>152.52712777621315</v>
      </c>
      <c r="CE184" s="62">
        <f t="shared" si="148"/>
        <v>145.25423263217925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2.2737367544323206E-13</v>
      </c>
      <c r="CU184" s="18">
        <f>CT184*VLOOKUP('Données projet'!$B$13,Paramètres!$A$1:$I$89,3,0)*VLOOKUP('Données projet'!$B$13,Paramètres!$A$1:$I$89,5,0)</f>
        <v>1.4897523215040565E-13</v>
      </c>
      <c r="CV184" s="14">
        <f t="shared" si="173"/>
        <v>2.136562777003313E-12</v>
      </c>
      <c r="CW184" s="22">
        <f t="shared" si="174"/>
        <v>3.9806453659427267E-12</v>
      </c>
      <c r="CX184" s="62">
        <f t="shared" si="122"/>
        <v>293.33333333333729</v>
      </c>
      <c r="CY184" s="62">
        <f ca="1">AVERAGE(OFFSET($CX$3,0,0,'Données projet'!$E$13+1,1))-AVERAGE(OFFSET($H$3,0,0,'Données projet'!$E$13+1,1))</f>
        <v>158.23848664370132</v>
      </c>
      <c r="CZ184" s="62">
        <f t="shared" si="150"/>
        <v>172.92355799729972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2">
        <f t="shared" si="140"/>
        <v>40.615796933386079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70">
        <f t="shared" si="110"/>
        <v>640.9891529923143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-8.1404323282185943E-13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223.49015613166239</v>
      </c>
      <c r="T185" s="62">
        <f t="shared" si="142"/>
        <v>136.15898308259307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97.899731390293653</v>
      </c>
      <c r="AO185" s="62">
        <f t="shared" si="144"/>
        <v>310.21833995692549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3.0672669145569009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2.3926337708442701E-24</v>
      </c>
      <c r="AX185" s="23">
        <f t="shared" si="166"/>
        <v>3.0672669145569009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2.7666828827932479E-13</v>
      </c>
      <c r="BF185" s="14">
        <f t="shared" si="167"/>
        <v>3.6920483163466686E-12</v>
      </c>
      <c r="BG185" s="22">
        <f t="shared" si="168"/>
        <v>6.9121814197236049E-12</v>
      </c>
      <c r="BH185" s="62">
        <f t="shared" si="116"/>
        <v>293.33333333334025</v>
      </c>
      <c r="BI185" s="62">
        <f ca="1">AVERAGE(OFFSET($BH$3,0,0,'Données projet'!$E$11+1,1))-AVERAGE(OFFSET($H$3,0,0,'Données projet'!$E$11+1,1))</f>
        <v>209.0958230411249</v>
      </c>
      <c r="BJ185" s="62">
        <f t="shared" si="146"/>
        <v>250.34919671671565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3.6357050703372803E-14</v>
      </c>
      <c r="CA185" s="14">
        <f t="shared" si="170"/>
        <v>6.1445232567661395E-13</v>
      </c>
      <c r="CB185" s="22">
        <f t="shared" si="171"/>
        <v>1.1334929971951436E-12</v>
      </c>
      <c r="CC185" s="62">
        <f t="shared" si="119"/>
        <v>293.33333333333445</v>
      </c>
      <c r="CD185" s="62">
        <f ca="1">AVERAGE(OFFSET($CC$3,0,0,'Données projet'!$E$12+1,1))-AVERAGE(OFFSET($H$3,0,0,'Données projet'!$E$12+1,1))</f>
        <v>152.52712777621315</v>
      </c>
      <c r="CE185" s="62">
        <f t="shared" si="148"/>
        <v>145.25423263217925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2.2737367544323206E-13</v>
      </c>
      <c r="CU185" s="18">
        <f>CT185*VLOOKUP('Données projet'!$B$13,Paramètres!$A$1:$I$89,3,0)*VLOOKUP('Données projet'!$B$13,Paramètres!$A$1:$I$89,5,0)</f>
        <v>1.4897523215040565E-13</v>
      </c>
      <c r="CV185" s="14">
        <f t="shared" si="173"/>
        <v>2.136562777003313E-12</v>
      </c>
      <c r="CW185" s="22">
        <f t="shared" si="174"/>
        <v>3.9806453659427267E-12</v>
      </c>
      <c r="CX185" s="62">
        <f t="shared" si="122"/>
        <v>293.33333333333729</v>
      </c>
      <c r="CY185" s="62">
        <f ca="1">AVERAGE(OFFSET($CX$3,0,0,'Données projet'!$E$13+1,1))-AVERAGE(OFFSET($H$3,0,0,'Données projet'!$E$13+1,1))</f>
        <v>158.23848664370132</v>
      </c>
      <c r="CZ185" s="62">
        <f t="shared" si="150"/>
        <v>172.92355799729972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2">
        <f t="shared" si="140"/>
        <v>40.812921467768071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70">
        <f t="shared" si="110"/>
        <v>642.85399822302975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-8.1404323282185943E-13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223.49015613166239</v>
      </c>
      <c r="T186" s="62">
        <f t="shared" si="142"/>
        <v>136.15898308259307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97.899731390293653</v>
      </c>
      <c r="AO186" s="62">
        <f t="shared" si="144"/>
        <v>310.21833995692549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3.007119681210527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1.6918475642599233E-24</v>
      </c>
      <c r="AX186" s="23">
        <f t="shared" si="166"/>
        <v>3.007119681210527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2.7666828827932479E-13</v>
      </c>
      <c r="BF186" s="14">
        <f t="shared" si="167"/>
        <v>3.6920483163466686E-12</v>
      </c>
      <c r="BG186" s="22">
        <f t="shared" si="168"/>
        <v>6.9121814197236049E-12</v>
      </c>
      <c r="BH186" s="62">
        <f t="shared" si="116"/>
        <v>293.33333333334025</v>
      </c>
      <c r="BI186" s="62">
        <f ca="1">AVERAGE(OFFSET($BH$3,0,0,'Données projet'!$E$11+1,1))-AVERAGE(OFFSET($H$3,0,0,'Données projet'!$E$11+1,1))</f>
        <v>209.0958230411249</v>
      </c>
      <c r="BJ186" s="62">
        <f t="shared" si="146"/>
        <v>250.34919671671565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3.6357050703372803E-14</v>
      </c>
      <c r="CA186" s="14">
        <f t="shared" si="170"/>
        <v>6.1445232567661395E-13</v>
      </c>
      <c r="CB186" s="22">
        <f t="shared" si="171"/>
        <v>1.1334929971951436E-12</v>
      </c>
      <c r="CC186" s="62">
        <f t="shared" si="119"/>
        <v>293.33333333333445</v>
      </c>
      <c r="CD186" s="62">
        <f ca="1">AVERAGE(OFFSET($CC$3,0,0,'Données projet'!$E$12+1,1))-AVERAGE(OFFSET($H$3,0,0,'Données projet'!$E$12+1,1))</f>
        <v>152.52712777621315</v>
      </c>
      <c r="CE186" s="62">
        <f t="shared" si="148"/>
        <v>145.25423263217925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2.2737367544323206E-13</v>
      </c>
      <c r="CU186" s="18">
        <f>CT186*VLOOKUP('Données projet'!$B$13,Paramètres!$A$1:$I$89,3,0)*VLOOKUP('Données projet'!$B$13,Paramètres!$A$1:$I$89,5,0)</f>
        <v>1.4897523215040565E-13</v>
      </c>
      <c r="CV186" s="14">
        <f t="shared" si="173"/>
        <v>2.136562777003313E-12</v>
      </c>
      <c r="CW186" s="22">
        <f t="shared" si="174"/>
        <v>3.9806453659427267E-12</v>
      </c>
      <c r="CX186" s="62">
        <f t="shared" si="122"/>
        <v>293.33333333333729</v>
      </c>
      <c r="CY186" s="62">
        <f ca="1">AVERAGE(OFFSET($CX$3,0,0,'Données projet'!$E$13+1,1))-AVERAGE(OFFSET($H$3,0,0,'Données projet'!$E$13+1,1))</f>
        <v>158.23848664370132</v>
      </c>
      <c r="CZ186" s="62">
        <f t="shared" si="150"/>
        <v>172.92355799729972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2">
        <f t="shared" si="140"/>
        <v>41.00992065722788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70">
        <f t="shared" si="110"/>
        <v>644.71862514467216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-8.1404323282185943E-13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223.49015613166239</v>
      </c>
      <c r="T187" s="62">
        <f t="shared" si="142"/>
        <v>136.15898308259307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97.899731390293653</v>
      </c>
      <c r="AO187" s="62">
        <f t="shared" si="144"/>
        <v>310.21833995692549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2.9481518984238857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1.196316885422135E-24</v>
      </c>
      <c r="AX187" s="23">
        <f t="shared" si="166"/>
        <v>2.9481518984238857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2.7666828827932479E-13</v>
      </c>
      <c r="BF187" s="14">
        <f t="shared" si="167"/>
        <v>3.6920483163466686E-12</v>
      </c>
      <c r="BG187" s="22">
        <f t="shared" si="168"/>
        <v>6.9121814197236049E-12</v>
      </c>
      <c r="BH187" s="62">
        <f t="shared" si="116"/>
        <v>293.33333333334025</v>
      </c>
      <c r="BI187" s="62">
        <f ca="1">AVERAGE(OFFSET($BH$3,0,0,'Données projet'!$E$11+1,1))-AVERAGE(OFFSET($H$3,0,0,'Données projet'!$E$11+1,1))</f>
        <v>209.0958230411249</v>
      </c>
      <c r="BJ187" s="62">
        <f t="shared" si="146"/>
        <v>250.34919671671565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3.6357050703372803E-14</v>
      </c>
      <c r="CA187" s="14">
        <f t="shared" si="170"/>
        <v>6.1445232567661395E-13</v>
      </c>
      <c r="CB187" s="22">
        <f t="shared" si="171"/>
        <v>1.1334929971951436E-12</v>
      </c>
      <c r="CC187" s="62">
        <f t="shared" si="119"/>
        <v>293.33333333333445</v>
      </c>
      <c r="CD187" s="62">
        <f ca="1">AVERAGE(OFFSET($CC$3,0,0,'Données projet'!$E$12+1,1))-AVERAGE(OFFSET($H$3,0,0,'Données projet'!$E$12+1,1))</f>
        <v>152.52712777621315</v>
      </c>
      <c r="CE187" s="62">
        <f t="shared" si="148"/>
        <v>145.25423263217925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2.2737367544323206E-13</v>
      </c>
      <c r="CU187" s="18">
        <f>CT187*VLOOKUP('Données projet'!$B$13,Paramètres!$A$1:$I$89,3,0)*VLOOKUP('Données projet'!$B$13,Paramètres!$A$1:$I$89,5,0)</f>
        <v>1.4897523215040565E-13</v>
      </c>
      <c r="CV187" s="14">
        <f t="shared" si="173"/>
        <v>2.136562777003313E-12</v>
      </c>
      <c r="CW187" s="22">
        <f t="shared" si="174"/>
        <v>3.9806453659427267E-12</v>
      </c>
      <c r="CX187" s="62">
        <f t="shared" si="122"/>
        <v>293.33333333333729</v>
      </c>
      <c r="CY187" s="62">
        <f ca="1">AVERAGE(OFFSET($CX$3,0,0,'Données projet'!$E$13+1,1))-AVERAGE(OFFSET($H$3,0,0,'Données projet'!$E$13+1,1))</f>
        <v>158.23848664370132</v>
      </c>
      <c r="CZ187" s="62">
        <f t="shared" si="150"/>
        <v>172.92355799729972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2">
        <f t="shared" si="140"/>
        <v>41.206795262049248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70">
        <f t="shared" si="110"/>
        <v>646.58303508140284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-8.1404323282185943E-13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223.49015613166239</v>
      </c>
      <c r="T188" s="62">
        <f t="shared" si="142"/>
        <v>136.15898308259307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97.899731390293653</v>
      </c>
      <c r="AO188" s="62">
        <f t="shared" si="144"/>
        <v>310.21833995692549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2.8903404378908943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8.4592378212996167E-25</v>
      </c>
      <c r="AX188" s="23">
        <f t="shared" si="166"/>
        <v>2.8903404378908943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2.7666828827932479E-13</v>
      </c>
      <c r="BF188" s="14">
        <f t="shared" si="167"/>
        <v>3.6920483163466686E-12</v>
      </c>
      <c r="BG188" s="22">
        <f t="shared" si="168"/>
        <v>6.9121814197236049E-12</v>
      </c>
      <c r="BH188" s="62">
        <f t="shared" si="116"/>
        <v>293.33333333334025</v>
      </c>
      <c r="BI188" s="62">
        <f ca="1">AVERAGE(OFFSET($BH$3,0,0,'Données projet'!$E$11+1,1))-AVERAGE(OFFSET($H$3,0,0,'Données projet'!$E$11+1,1))</f>
        <v>209.0958230411249</v>
      </c>
      <c r="BJ188" s="62">
        <f t="shared" si="146"/>
        <v>250.34919671671565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3.6357050703372803E-14</v>
      </c>
      <c r="CA188" s="14">
        <f t="shared" si="170"/>
        <v>6.1445232567661395E-13</v>
      </c>
      <c r="CB188" s="22">
        <f t="shared" si="171"/>
        <v>1.1334929971951436E-12</v>
      </c>
      <c r="CC188" s="62">
        <f t="shared" si="119"/>
        <v>293.33333333333445</v>
      </c>
      <c r="CD188" s="62">
        <f ca="1">AVERAGE(OFFSET($CC$3,0,0,'Données projet'!$E$12+1,1))-AVERAGE(OFFSET($H$3,0,0,'Données projet'!$E$12+1,1))</f>
        <v>152.52712777621315</v>
      </c>
      <c r="CE188" s="62">
        <f t="shared" si="148"/>
        <v>145.25423263217925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2.2737367544323206E-13</v>
      </c>
      <c r="CU188" s="18">
        <f>CT188*VLOOKUP('Données projet'!$B$13,Paramètres!$A$1:$I$89,3,0)*VLOOKUP('Données projet'!$B$13,Paramètres!$A$1:$I$89,5,0)</f>
        <v>1.4897523215040565E-13</v>
      </c>
      <c r="CV188" s="14">
        <f t="shared" si="173"/>
        <v>2.136562777003313E-12</v>
      </c>
      <c r="CW188" s="22">
        <f t="shared" si="174"/>
        <v>3.9806453659427267E-12</v>
      </c>
      <c r="CX188" s="62">
        <f t="shared" si="122"/>
        <v>293.33333333333729</v>
      </c>
      <c r="CY188" s="62">
        <f ca="1">AVERAGE(OFFSET($CX$3,0,0,'Données projet'!$E$13+1,1))-AVERAGE(OFFSET($H$3,0,0,'Données projet'!$E$13+1,1))</f>
        <v>158.23848664370132</v>
      </c>
      <c r="CZ188" s="62">
        <f t="shared" si="150"/>
        <v>172.92355799729972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2">
        <f t="shared" si="140"/>
        <v>41.403546033820732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70">
        <f t="shared" si="110"/>
        <v>648.44722934223819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-8.1404323282185943E-13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223.49015613166239</v>
      </c>
      <c r="T189" s="62">
        <f t="shared" si="142"/>
        <v>136.15898308259307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97.899731390293653</v>
      </c>
      <c r="AO189" s="62">
        <f t="shared" si="144"/>
        <v>310.21833995692549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2.8336626248374457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5.9815844271106751E-25</v>
      </c>
      <c r="AX189" s="23">
        <f t="shared" si="166"/>
        <v>2.8336626248374457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2.7666828827932479E-13</v>
      </c>
      <c r="BF189" s="14">
        <f t="shared" si="167"/>
        <v>3.6920483163466686E-12</v>
      </c>
      <c r="BG189" s="22">
        <f t="shared" si="168"/>
        <v>6.9121814197236049E-12</v>
      </c>
      <c r="BH189" s="62">
        <f t="shared" si="116"/>
        <v>293.33333333334025</v>
      </c>
      <c r="BI189" s="62">
        <f ca="1">AVERAGE(OFFSET($BH$3,0,0,'Données projet'!$E$11+1,1))-AVERAGE(OFFSET($H$3,0,0,'Données projet'!$E$11+1,1))</f>
        <v>209.0958230411249</v>
      </c>
      <c r="BJ189" s="62">
        <f t="shared" si="146"/>
        <v>250.34919671671565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3.6357050703372803E-14</v>
      </c>
      <c r="CA189" s="14">
        <f t="shared" si="170"/>
        <v>6.1445232567661395E-13</v>
      </c>
      <c r="CB189" s="22">
        <f t="shared" si="171"/>
        <v>1.1334929971951436E-12</v>
      </c>
      <c r="CC189" s="62">
        <f t="shared" si="119"/>
        <v>293.33333333333445</v>
      </c>
      <c r="CD189" s="62">
        <f ca="1">AVERAGE(OFFSET($CC$3,0,0,'Données projet'!$E$12+1,1))-AVERAGE(OFFSET($H$3,0,0,'Données projet'!$E$12+1,1))</f>
        <v>152.52712777621315</v>
      </c>
      <c r="CE189" s="62">
        <f t="shared" si="148"/>
        <v>145.25423263217925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2.2737367544323206E-13</v>
      </c>
      <c r="CU189" s="18">
        <f>CT189*VLOOKUP('Données projet'!$B$13,Paramètres!$A$1:$I$89,3,0)*VLOOKUP('Données projet'!$B$13,Paramètres!$A$1:$I$89,5,0)</f>
        <v>1.4897523215040565E-13</v>
      </c>
      <c r="CV189" s="14">
        <f t="shared" si="173"/>
        <v>2.136562777003313E-12</v>
      </c>
      <c r="CW189" s="22">
        <f t="shared" si="174"/>
        <v>3.9806453659427267E-12</v>
      </c>
      <c r="CX189" s="62">
        <f t="shared" si="122"/>
        <v>293.33333333333729</v>
      </c>
      <c r="CY189" s="62">
        <f ca="1">AVERAGE(OFFSET($CX$3,0,0,'Données projet'!$E$13+1,1))-AVERAGE(OFFSET($H$3,0,0,'Données projet'!$E$13+1,1))</f>
        <v>158.23848664370132</v>
      </c>
      <c r="CZ189" s="62">
        <f t="shared" si="150"/>
        <v>172.92355799729972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2">
        <f t="shared" si="140"/>
        <v>41.600173715581704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70">
        <f t="shared" si="110"/>
        <v>650.31120922130515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-8.1404323282185943E-13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223.49015613166239</v>
      </c>
      <c r="T190" s="62">
        <f t="shared" si="142"/>
        <v>136.15898308259307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97.899731390293653</v>
      </c>
      <c r="AO190" s="62">
        <f t="shared" si="144"/>
        <v>310.21833995692549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2.778096229127923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4.2296189106498084E-25</v>
      </c>
      <c r="AX190" s="23">
        <f t="shared" si="166"/>
        <v>2.778096229127923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2.7666828827932479E-13</v>
      </c>
      <c r="BF190" s="14">
        <f t="shared" si="167"/>
        <v>3.6920483163466686E-12</v>
      </c>
      <c r="BG190" s="22">
        <f t="shared" si="168"/>
        <v>6.9121814197236049E-12</v>
      </c>
      <c r="BH190" s="62">
        <f t="shared" si="116"/>
        <v>293.33333333334025</v>
      </c>
      <c r="BI190" s="62">
        <f ca="1">AVERAGE(OFFSET($BH$3,0,0,'Données projet'!$E$11+1,1))-AVERAGE(OFFSET($H$3,0,0,'Données projet'!$E$11+1,1))</f>
        <v>209.0958230411249</v>
      </c>
      <c r="BJ190" s="62">
        <f t="shared" si="146"/>
        <v>250.34919671671565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3.6357050703372803E-14</v>
      </c>
      <c r="CA190" s="14">
        <f t="shared" si="170"/>
        <v>6.1445232567661395E-13</v>
      </c>
      <c r="CB190" s="22">
        <f t="shared" si="171"/>
        <v>1.1334929971951436E-12</v>
      </c>
      <c r="CC190" s="62">
        <f t="shared" si="119"/>
        <v>293.33333333333445</v>
      </c>
      <c r="CD190" s="62">
        <f ca="1">AVERAGE(OFFSET($CC$3,0,0,'Données projet'!$E$12+1,1))-AVERAGE(OFFSET($H$3,0,0,'Données projet'!$E$12+1,1))</f>
        <v>152.52712777621315</v>
      </c>
      <c r="CE190" s="62">
        <f t="shared" si="148"/>
        <v>145.25423263217925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2.2737367544323206E-13</v>
      </c>
      <c r="CU190" s="18">
        <f>CT190*VLOOKUP('Données projet'!$B$13,Paramètres!$A$1:$I$89,3,0)*VLOOKUP('Données projet'!$B$13,Paramètres!$A$1:$I$89,5,0)</f>
        <v>1.4897523215040565E-13</v>
      </c>
      <c r="CV190" s="14">
        <f t="shared" si="173"/>
        <v>2.136562777003313E-12</v>
      </c>
      <c r="CW190" s="22">
        <f t="shared" si="174"/>
        <v>3.9806453659427267E-12</v>
      </c>
      <c r="CX190" s="62">
        <f t="shared" si="122"/>
        <v>293.33333333333729</v>
      </c>
      <c r="CY190" s="62">
        <f ca="1">AVERAGE(OFFSET($CX$3,0,0,'Données projet'!$E$13+1,1))-AVERAGE(OFFSET($H$3,0,0,'Données projet'!$E$13+1,1))</f>
        <v>158.23848664370132</v>
      </c>
      <c r="CZ190" s="62">
        <f t="shared" si="150"/>
        <v>172.92355799729972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2">
        <f t="shared" si="140"/>
        <v>41.796679041964389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70">
        <f t="shared" si="110"/>
        <v>652.17497599808837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-8.1404323282185943E-13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223.49015613166239</v>
      </c>
      <c r="T191" s="62">
        <f t="shared" si="142"/>
        <v>136.15898308259307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97.899731390293653</v>
      </c>
      <c r="AO191" s="62">
        <f t="shared" si="144"/>
        <v>310.21833995692549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2.7236194565461092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2.9907922135553376E-25</v>
      </c>
      <c r="AX191" s="23">
        <f t="shared" si="166"/>
        <v>2.7236194565461092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2.7666828827932479E-13</v>
      </c>
      <c r="BF191" s="14">
        <f t="shared" si="167"/>
        <v>3.6920483163466686E-12</v>
      </c>
      <c r="BG191" s="22">
        <f t="shared" si="168"/>
        <v>6.9121814197236049E-12</v>
      </c>
      <c r="BH191" s="62">
        <f t="shared" si="116"/>
        <v>293.33333333334025</v>
      </c>
      <c r="BI191" s="62">
        <f ca="1">AVERAGE(OFFSET($BH$3,0,0,'Données projet'!$E$11+1,1))-AVERAGE(OFFSET($H$3,0,0,'Données projet'!$E$11+1,1))</f>
        <v>209.0958230411249</v>
      </c>
      <c r="BJ191" s="62">
        <f t="shared" si="146"/>
        <v>250.34919671671565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3.6357050703372803E-14</v>
      </c>
      <c r="CA191" s="14">
        <f t="shared" si="170"/>
        <v>6.1445232567661395E-13</v>
      </c>
      <c r="CB191" s="22">
        <f t="shared" si="171"/>
        <v>1.1334929971951436E-12</v>
      </c>
      <c r="CC191" s="62">
        <f t="shared" si="119"/>
        <v>293.33333333333445</v>
      </c>
      <c r="CD191" s="62">
        <f ca="1">AVERAGE(OFFSET($CC$3,0,0,'Données projet'!$E$12+1,1))-AVERAGE(OFFSET($H$3,0,0,'Données projet'!$E$12+1,1))</f>
        <v>152.52712777621315</v>
      </c>
      <c r="CE191" s="62">
        <f t="shared" si="148"/>
        <v>145.25423263217925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2.2737367544323206E-13</v>
      </c>
      <c r="CU191" s="18">
        <f>CT191*VLOOKUP('Données projet'!$B$13,Paramètres!$A$1:$I$89,3,0)*VLOOKUP('Données projet'!$B$13,Paramètres!$A$1:$I$89,5,0)</f>
        <v>1.4897523215040565E-13</v>
      </c>
      <c r="CV191" s="14">
        <f t="shared" si="173"/>
        <v>2.136562777003313E-12</v>
      </c>
      <c r="CW191" s="22">
        <f t="shared" si="174"/>
        <v>3.9806453659427267E-12</v>
      </c>
      <c r="CX191" s="62">
        <f t="shared" si="122"/>
        <v>293.33333333333729</v>
      </c>
      <c r="CY191" s="62">
        <f ca="1">AVERAGE(OFFSET($CX$3,0,0,'Données projet'!$E$13+1,1))-AVERAGE(OFFSET($H$3,0,0,'Données projet'!$E$13+1,1))</f>
        <v>158.23848664370132</v>
      </c>
      <c r="CZ191" s="62">
        <f t="shared" si="150"/>
        <v>172.92355799729972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2">
        <f t="shared" si="140"/>
        <v>41.993062739333524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70">
        <f t="shared" si="110"/>
        <v>654.03853093767293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-8.1404323282185943E-13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223.49015613166239</v>
      </c>
      <c r="T192" s="62">
        <f t="shared" si="142"/>
        <v>136.15898308259307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97.899731390293653</v>
      </c>
      <c r="AO192" s="62">
        <f t="shared" si="144"/>
        <v>310.21833995692549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2.6702109402470744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2.1148094553249042E-25</v>
      </c>
      <c r="AX192" s="23">
        <f t="shared" si="166"/>
        <v>2.6702109402470744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2.7666828827932479E-13</v>
      </c>
      <c r="BF192" s="14">
        <f t="shared" si="167"/>
        <v>3.6920483163466686E-12</v>
      </c>
      <c r="BG192" s="22">
        <f t="shared" si="168"/>
        <v>6.9121814197236049E-12</v>
      </c>
      <c r="BH192" s="62">
        <f t="shared" si="116"/>
        <v>293.33333333334025</v>
      </c>
      <c r="BI192" s="62">
        <f ca="1">AVERAGE(OFFSET($BH$3,0,0,'Données projet'!$E$11+1,1))-AVERAGE(OFFSET($H$3,0,0,'Données projet'!$E$11+1,1))</f>
        <v>209.0958230411249</v>
      </c>
      <c r="BJ192" s="62">
        <f t="shared" si="146"/>
        <v>250.34919671671565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3.6357050703372803E-14</v>
      </c>
      <c r="CA192" s="14">
        <f t="shared" si="170"/>
        <v>6.1445232567661395E-13</v>
      </c>
      <c r="CB192" s="22">
        <f t="shared" si="171"/>
        <v>1.1334929971951436E-12</v>
      </c>
      <c r="CC192" s="62">
        <f t="shared" si="119"/>
        <v>293.33333333333445</v>
      </c>
      <c r="CD192" s="62">
        <f ca="1">AVERAGE(OFFSET($CC$3,0,0,'Données projet'!$E$12+1,1))-AVERAGE(OFFSET($H$3,0,0,'Données projet'!$E$12+1,1))</f>
        <v>152.52712777621315</v>
      </c>
      <c r="CE192" s="62">
        <f t="shared" si="148"/>
        <v>145.25423263217925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2.2737367544323206E-13</v>
      </c>
      <c r="CU192" s="18">
        <f>CT192*VLOOKUP('Données projet'!$B$13,Paramètres!$A$1:$I$89,3,0)*VLOOKUP('Données projet'!$B$13,Paramètres!$A$1:$I$89,5,0)</f>
        <v>1.4897523215040565E-13</v>
      </c>
      <c r="CV192" s="14">
        <f t="shared" si="173"/>
        <v>2.136562777003313E-12</v>
      </c>
      <c r="CW192" s="22">
        <f t="shared" si="174"/>
        <v>3.9806453659427267E-12</v>
      </c>
      <c r="CX192" s="62">
        <f t="shared" si="122"/>
        <v>293.33333333333729</v>
      </c>
      <c r="CY192" s="62">
        <f ca="1">AVERAGE(OFFSET($CX$3,0,0,'Données projet'!$E$13+1,1))-AVERAGE(OFFSET($H$3,0,0,'Données projet'!$E$13+1,1))</f>
        <v>158.23848664370132</v>
      </c>
      <c r="CZ192" s="62">
        <f t="shared" si="150"/>
        <v>172.92355799729972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2">
        <f t="shared" si="140"/>
        <v>42.189325525922321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70">
        <f t="shared" si="110"/>
        <v>655.90187529098182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-8.1404323282185943E-13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223.49015613166239</v>
      </c>
      <c r="T193" s="62">
        <f t="shared" si="142"/>
        <v>136.15898308259307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97.899731390293653</v>
      </c>
      <c r="AO193" s="62">
        <f t="shared" si="144"/>
        <v>310.21833995692549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2.6178497323766852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1.4953961067776688E-25</v>
      </c>
      <c r="AX193" s="23">
        <f t="shared" si="166"/>
        <v>2.6178497323766852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2.7666828827932479E-13</v>
      </c>
      <c r="BF193" s="14">
        <f t="shared" si="167"/>
        <v>3.6920483163466686E-12</v>
      </c>
      <c r="BG193" s="22">
        <f t="shared" si="168"/>
        <v>6.9121814197236049E-12</v>
      </c>
      <c r="BH193" s="62">
        <f t="shared" si="116"/>
        <v>293.33333333334025</v>
      </c>
      <c r="BI193" s="62">
        <f ca="1">AVERAGE(OFFSET($BH$3,0,0,'Données projet'!$E$11+1,1))-AVERAGE(OFFSET($H$3,0,0,'Données projet'!$E$11+1,1))</f>
        <v>209.0958230411249</v>
      </c>
      <c r="BJ193" s="62">
        <f t="shared" si="146"/>
        <v>250.34919671671565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3.6357050703372803E-14</v>
      </c>
      <c r="CA193" s="14">
        <f t="shared" si="170"/>
        <v>6.1445232567661395E-13</v>
      </c>
      <c r="CB193" s="22">
        <f t="shared" si="171"/>
        <v>1.1334929971951436E-12</v>
      </c>
      <c r="CC193" s="62">
        <f t="shared" si="119"/>
        <v>293.33333333333445</v>
      </c>
      <c r="CD193" s="62">
        <f ca="1">AVERAGE(OFFSET($CC$3,0,0,'Données projet'!$E$12+1,1))-AVERAGE(OFFSET($H$3,0,0,'Données projet'!$E$12+1,1))</f>
        <v>152.52712777621315</v>
      </c>
      <c r="CE193" s="62">
        <f t="shared" si="148"/>
        <v>145.25423263217925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2.2737367544323206E-13</v>
      </c>
      <c r="CU193" s="18">
        <f>CT193*VLOOKUP('Données projet'!$B$13,Paramètres!$A$1:$I$89,3,0)*VLOOKUP('Données projet'!$B$13,Paramètres!$A$1:$I$89,5,0)</f>
        <v>1.4897523215040565E-13</v>
      </c>
      <c r="CV193" s="14">
        <f t="shared" si="173"/>
        <v>2.136562777003313E-12</v>
      </c>
      <c r="CW193" s="22">
        <f t="shared" si="174"/>
        <v>3.9806453659427267E-12</v>
      </c>
      <c r="CX193" s="62">
        <f t="shared" si="122"/>
        <v>293.33333333333729</v>
      </c>
      <c r="CY193" s="62">
        <f ca="1">AVERAGE(OFFSET($CX$3,0,0,'Données projet'!$E$13+1,1))-AVERAGE(OFFSET($H$3,0,0,'Données projet'!$E$13+1,1))</f>
        <v>158.23848664370132</v>
      </c>
      <c r="CZ193" s="62">
        <f t="shared" si="150"/>
        <v>172.92355799729972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2">
        <f t="shared" si="140"/>
        <v>42.385468111966134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70">
        <f t="shared" si="110"/>
        <v>657.7650102950081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-8.1404323282185943E-13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223.49015613166239</v>
      </c>
      <c r="T194" s="62">
        <f t="shared" si="142"/>
        <v>136.15898308259307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97.899731390293653</v>
      </c>
      <c r="AO194" s="62">
        <f t="shared" si="144"/>
        <v>310.21833995692549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2.5665152958554511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1.0574047276624521E-25</v>
      </c>
      <c r="AX194" s="23">
        <f t="shared" si="166"/>
        <v>2.5665152958554511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2.7666828827932479E-13</v>
      </c>
      <c r="BF194" s="14">
        <f t="shared" si="167"/>
        <v>3.6920483163466686E-12</v>
      </c>
      <c r="BG194" s="22">
        <f t="shared" si="168"/>
        <v>6.9121814197236049E-12</v>
      </c>
      <c r="BH194" s="62">
        <f t="shared" si="116"/>
        <v>293.33333333334025</v>
      </c>
      <c r="BI194" s="62">
        <f ca="1">AVERAGE(OFFSET($BH$3,0,0,'Données projet'!$E$11+1,1))-AVERAGE(OFFSET($H$3,0,0,'Données projet'!$E$11+1,1))</f>
        <v>209.0958230411249</v>
      </c>
      <c r="BJ194" s="62">
        <f t="shared" si="146"/>
        <v>250.34919671671565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3.6357050703372803E-14</v>
      </c>
      <c r="CA194" s="14">
        <f t="shared" si="170"/>
        <v>6.1445232567661395E-13</v>
      </c>
      <c r="CB194" s="22">
        <f t="shared" si="171"/>
        <v>1.1334929971951436E-12</v>
      </c>
      <c r="CC194" s="62">
        <f t="shared" si="119"/>
        <v>293.33333333333445</v>
      </c>
      <c r="CD194" s="62">
        <f ca="1">AVERAGE(OFFSET($CC$3,0,0,'Données projet'!$E$12+1,1))-AVERAGE(OFFSET($H$3,0,0,'Données projet'!$E$12+1,1))</f>
        <v>152.52712777621315</v>
      </c>
      <c r="CE194" s="62">
        <f t="shared" si="148"/>
        <v>145.25423263217925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2.2737367544323206E-13</v>
      </c>
      <c r="CU194" s="18">
        <f>CT194*VLOOKUP('Données projet'!$B$13,Paramètres!$A$1:$I$89,3,0)*VLOOKUP('Données projet'!$B$13,Paramètres!$A$1:$I$89,5,0)</f>
        <v>1.4897523215040565E-13</v>
      </c>
      <c r="CV194" s="14">
        <f t="shared" si="173"/>
        <v>2.136562777003313E-12</v>
      </c>
      <c r="CW194" s="22">
        <f t="shared" si="174"/>
        <v>3.9806453659427267E-12</v>
      </c>
      <c r="CX194" s="62">
        <f t="shared" si="122"/>
        <v>293.33333333333729</v>
      </c>
      <c r="CY194" s="62">
        <f ca="1">AVERAGE(OFFSET($CX$3,0,0,'Données projet'!$E$13+1,1))-AVERAGE(OFFSET($H$3,0,0,'Données projet'!$E$13+1,1))</f>
        <v>158.23848664370132</v>
      </c>
      <c r="CZ194" s="62">
        <f t="shared" si="150"/>
        <v>172.92355799729972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2">
        <f t="shared" si="140"/>
        <v>42.581491199832726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70">
        <f t="shared" si="110"/>
        <v>659.62793717304248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-8.1404323282185943E-13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223.49015613166239</v>
      </c>
      <c r="T195" s="62">
        <f t="shared" si="142"/>
        <v>136.15898308259307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97.899731390293653</v>
      </c>
      <c r="AO195" s="62">
        <f t="shared" si="144"/>
        <v>310.21833995692549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2.516187496323484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7.4769805338883439E-26</v>
      </c>
      <c r="AX195" s="23">
        <f t="shared" si="166"/>
        <v>2.516187496323484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2.7666828827932479E-13</v>
      </c>
      <c r="BF195" s="14">
        <f t="shared" si="167"/>
        <v>3.6920483163466686E-12</v>
      </c>
      <c r="BG195" s="22">
        <f t="shared" si="168"/>
        <v>6.9121814197236049E-12</v>
      </c>
      <c r="BH195" s="62">
        <f t="shared" si="116"/>
        <v>293.33333333334025</v>
      </c>
      <c r="BI195" s="62">
        <f ca="1">AVERAGE(OFFSET($BH$3,0,0,'Données projet'!$E$11+1,1))-AVERAGE(OFFSET($H$3,0,0,'Données projet'!$E$11+1,1))</f>
        <v>209.0958230411249</v>
      </c>
      <c r="BJ195" s="62">
        <f t="shared" si="146"/>
        <v>250.34919671671565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3.6357050703372803E-14</v>
      </c>
      <c r="CA195" s="14">
        <f t="shared" si="170"/>
        <v>6.1445232567661395E-13</v>
      </c>
      <c r="CB195" s="22">
        <f t="shared" si="171"/>
        <v>1.1334929971951436E-12</v>
      </c>
      <c r="CC195" s="62">
        <f t="shared" si="119"/>
        <v>293.33333333333445</v>
      </c>
      <c r="CD195" s="62">
        <f ca="1">AVERAGE(OFFSET($CC$3,0,0,'Données projet'!$E$12+1,1))-AVERAGE(OFFSET($H$3,0,0,'Données projet'!$E$12+1,1))</f>
        <v>152.52712777621315</v>
      </c>
      <c r="CE195" s="62">
        <f t="shared" si="148"/>
        <v>145.25423263217925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2.2737367544323206E-13</v>
      </c>
      <c r="CU195" s="18">
        <f>CT195*VLOOKUP('Données projet'!$B$13,Paramètres!$A$1:$I$89,3,0)*VLOOKUP('Données projet'!$B$13,Paramètres!$A$1:$I$89,5,0)</f>
        <v>1.4897523215040565E-13</v>
      </c>
      <c r="CV195" s="14">
        <f t="shared" si="173"/>
        <v>2.136562777003313E-12</v>
      </c>
      <c r="CW195" s="22">
        <f t="shared" si="174"/>
        <v>3.9806453659427267E-12</v>
      </c>
      <c r="CX195" s="62">
        <f t="shared" si="122"/>
        <v>293.33333333333729</v>
      </c>
      <c r="CY195" s="62">
        <f ca="1">AVERAGE(OFFSET($CX$3,0,0,'Données projet'!$E$13+1,1))-AVERAGE(OFFSET($H$3,0,0,'Données projet'!$E$13+1,1))</f>
        <v>158.23848664370132</v>
      </c>
      <c r="CZ195" s="62">
        <f t="shared" si="150"/>
        <v>172.92355799729972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2">
        <f t="shared" si="140"/>
        <v>42.777395484149835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70">
        <f t="shared" ref="H196:H203" si="192">(B196+E196+F196)*44/12+(C196+D196)*0.475*44/12</f>
        <v>661.49065713489483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-8.1404323282185943E-13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223.49015613166239</v>
      </c>
      <c r="T196" s="62">
        <f t="shared" si="142"/>
        <v>136.15898308259307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97.899731390293653</v>
      </c>
      <c r="AO196" s="62">
        <f t="shared" si="144"/>
        <v>310.21833995692549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2.4668465942434121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5.2870236383122604E-26</v>
      </c>
      <c r="AX196" s="23">
        <f t="shared" si="166"/>
        <v>2.4668465942434121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2.7666828827932479E-13</v>
      </c>
      <c r="BF196" s="14">
        <f t="shared" si="167"/>
        <v>3.6920483163466686E-12</v>
      </c>
      <c r="BG196" s="22">
        <f t="shared" si="168"/>
        <v>6.9121814197236049E-12</v>
      </c>
      <c r="BH196" s="62">
        <f t="shared" ref="BH196:BH203" si="194">BG196+(AY196+AZ196)*44/12</f>
        <v>293.33333333334025</v>
      </c>
      <c r="BI196" s="62">
        <f ca="1">AVERAGE(OFFSET($BH$3,0,0,'Données projet'!$E$11+1,1))-AVERAGE(OFFSET($H$3,0,0,'Données projet'!$E$11+1,1))</f>
        <v>209.0958230411249</v>
      </c>
      <c r="BJ196" s="62">
        <f t="shared" si="146"/>
        <v>250.34919671671565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3.6357050703372803E-14</v>
      </c>
      <c r="CA196" s="14">
        <f t="shared" si="170"/>
        <v>6.1445232567661395E-13</v>
      </c>
      <c r="CB196" s="22">
        <f t="shared" si="171"/>
        <v>1.1334929971951436E-12</v>
      </c>
      <c r="CC196" s="62">
        <f t="shared" ref="CC196:CC203" si="195">CB196+(BT196+BU196)*44/12</f>
        <v>293.33333333333445</v>
      </c>
      <c r="CD196" s="62">
        <f ca="1">AVERAGE(OFFSET($CC$3,0,0,'Données projet'!$E$12+1,1))-AVERAGE(OFFSET($H$3,0,0,'Données projet'!$E$12+1,1))</f>
        <v>152.52712777621315</v>
      </c>
      <c r="CE196" s="62">
        <f t="shared" si="148"/>
        <v>145.25423263217925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2.2737367544323206E-13</v>
      </c>
      <c r="CU196" s="18">
        <f>CT196*VLOOKUP('Données projet'!$B$13,Paramètres!$A$1:$I$89,3,0)*VLOOKUP('Données projet'!$B$13,Paramètres!$A$1:$I$89,5,0)</f>
        <v>1.4897523215040565E-13</v>
      </c>
      <c r="CV196" s="14">
        <f t="shared" si="173"/>
        <v>2.136562777003313E-12</v>
      </c>
      <c r="CW196" s="22">
        <f t="shared" si="174"/>
        <v>3.9806453659427267E-12</v>
      </c>
      <c r="CX196" s="62">
        <f t="shared" ref="CX196:CX203" si="196">CW196+(CO196+CP196)*44/12</f>
        <v>293.33333333333729</v>
      </c>
      <c r="CY196" s="62">
        <f ca="1">AVERAGE(OFFSET($CX$3,0,0,'Données projet'!$E$13+1,1))-AVERAGE(OFFSET($H$3,0,0,'Données projet'!$E$13+1,1))</f>
        <v>158.23848664370132</v>
      </c>
      <c r="CZ196" s="62">
        <f t="shared" si="150"/>
        <v>172.92355799729972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2">
        <f t="shared" ref="D197:D203" si="202">IFERROR(EXP(-1.0587+0.8836*LN(C197)+0.284),0)</f>
        <v>42.97318165193041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70">
        <f t="shared" si="192"/>
        <v>663.35317137711263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-8.1404323282185943E-13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223.49015613166239</v>
      </c>
      <c r="T197" s="62">
        <f t="shared" ref="T197:T203" si="204">$T$3</f>
        <v>136.15898308259307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97.899731390293653</v>
      </c>
      <c r="AO197" s="62">
        <f t="shared" ref="AO197:AO203" si="205">$AO$3</f>
        <v>310.21833995692549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2.4184732371581514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3.738490266944172E-26</v>
      </c>
      <c r="AX197" s="23">
        <f t="shared" si="166"/>
        <v>2.4184732371581514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2.7666828827932479E-13</v>
      </c>
      <c r="BF197" s="14">
        <f t="shared" si="167"/>
        <v>3.6920483163466686E-12</v>
      </c>
      <c r="BG197" s="22">
        <f t="shared" si="168"/>
        <v>6.9121814197236049E-12</v>
      </c>
      <c r="BH197" s="62">
        <f t="shared" si="194"/>
        <v>293.33333333334025</v>
      </c>
      <c r="BI197" s="62">
        <f ca="1">AVERAGE(OFFSET($BH$3,0,0,'Données projet'!$E$11+1,1))-AVERAGE(OFFSET($H$3,0,0,'Données projet'!$E$11+1,1))</f>
        <v>209.0958230411249</v>
      </c>
      <c r="BJ197" s="62">
        <f t="shared" ref="BJ197:BJ203" si="206">$BJ$3</f>
        <v>250.34919671671565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3.6357050703372803E-14</v>
      </c>
      <c r="CA197" s="14">
        <f t="shared" si="170"/>
        <v>6.1445232567661395E-13</v>
      </c>
      <c r="CB197" s="22">
        <f t="shared" si="171"/>
        <v>1.1334929971951436E-12</v>
      </c>
      <c r="CC197" s="62">
        <f t="shared" si="195"/>
        <v>293.33333333333445</v>
      </c>
      <c r="CD197" s="62">
        <f ca="1">AVERAGE(OFFSET($CC$3,0,0,'Données projet'!$E$12+1,1))-AVERAGE(OFFSET($H$3,0,0,'Données projet'!$E$12+1,1))</f>
        <v>152.52712777621315</v>
      </c>
      <c r="CE197" s="62">
        <f t="shared" ref="CE197:CE203" si="207">$CE$3</f>
        <v>145.25423263217925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2.2737367544323206E-13</v>
      </c>
      <c r="CU197" s="18">
        <f>CT197*VLOOKUP('Données projet'!$B$13,Paramètres!$A$1:$I$89,3,0)*VLOOKUP('Données projet'!$B$13,Paramètres!$A$1:$I$89,5,0)</f>
        <v>1.4897523215040565E-13</v>
      </c>
      <c r="CV197" s="14">
        <f t="shared" si="173"/>
        <v>2.136562777003313E-12</v>
      </c>
      <c r="CW197" s="22">
        <f t="shared" si="174"/>
        <v>3.9806453659427267E-12</v>
      </c>
      <c r="CX197" s="62">
        <f t="shared" si="196"/>
        <v>293.33333333333729</v>
      </c>
      <c r="CY197" s="62">
        <f ca="1">AVERAGE(OFFSET($CX$3,0,0,'Données projet'!$E$13+1,1))-AVERAGE(OFFSET($H$3,0,0,'Données projet'!$E$13+1,1))</f>
        <v>158.23848664370132</v>
      </c>
      <c r="CZ197" s="62">
        <f t="shared" ref="CZ197:CZ203" si="208">$CZ$3</f>
        <v>172.92355799729972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2">
        <f t="shared" si="202"/>
        <v>43.168850382694565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70">
        <f t="shared" si="192"/>
        <v>665.21548108319348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-8.1404323282185943E-13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223.49015613166239</v>
      </c>
      <c r="T198" s="62">
        <f t="shared" si="204"/>
        <v>136.15898308259307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97.899731390293653</v>
      </c>
      <c r="AO198" s="62">
        <f t="shared" si="205"/>
        <v>310.21833995692549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2.3710484521004984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2.6435118191561302E-26</v>
      </c>
      <c r="AX198" s="23">
        <f t="shared" si="166"/>
        <v>2.3710484521004984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2.7666828827932479E-13</v>
      </c>
      <c r="BF198" s="14">
        <f t="shared" si="167"/>
        <v>3.6920483163466686E-12</v>
      </c>
      <c r="BG198" s="22">
        <f t="shared" si="168"/>
        <v>6.9121814197236049E-12</v>
      </c>
      <c r="BH198" s="62">
        <f t="shared" si="194"/>
        <v>293.33333333334025</v>
      </c>
      <c r="BI198" s="62">
        <f ca="1">AVERAGE(OFFSET($BH$3,0,0,'Données projet'!$E$11+1,1))-AVERAGE(OFFSET($H$3,0,0,'Données projet'!$E$11+1,1))</f>
        <v>209.0958230411249</v>
      </c>
      <c r="BJ198" s="62">
        <f t="shared" si="206"/>
        <v>250.34919671671565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3.6357050703372803E-14</v>
      </c>
      <c r="CA198" s="14">
        <f t="shared" si="170"/>
        <v>6.1445232567661395E-13</v>
      </c>
      <c r="CB198" s="22">
        <f t="shared" si="171"/>
        <v>1.1334929971951436E-12</v>
      </c>
      <c r="CC198" s="62">
        <f t="shared" si="195"/>
        <v>293.33333333333445</v>
      </c>
      <c r="CD198" s="62">
        <f ca="1">AVERAGE(OFFSET($CC$3,0,0,'Données projet'!$E$12+1,1))-AVERAGE(OFFSET($H$3,0,0,'Données projet'!$E$12+1,1))</f>
        <v>152.52712777621315</v>
      </c>
      <c r="CE198" s="62">
        <f t="shared" si="207"/>
        <v>145.25423263217925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2.2737367544323206E-13</v>
      </c>
      <c r="CU198" s="18">
        <f>CT198*VLOOKUP('Données projet'!$B$13,Paramètres!$A$1:$I$89,3,0)*VLOOKUP('Données projet'!$B$13,Paramètres!$A$1:$I$89,5,0)</f>
        <v>1.4897523215040565E-13</v>
      </c>
      <c r="CV198" s="14">
        <f t="shared" si="173"/>
        <v>2.136562777003313E-12</v>
      </c>
      <c r="CW198" s="22">
        <f t="shared" si="174"/>
        <v>3.9806453659427267E-12</v>
      </c>
      <c r="CX198" s="62">
        <f t="shared" si="196"/>
        <v>293.33333333333729</v>
      </c>
      <c r="CY198" s="62">
        <f ca="1">AVERAGE(OFFSET($CX$3,0,0,'Données projet'!$E$13+1,1))-AVERAGE(OFFSET($H$3,0,0,'Données projet'!$E$13+1,1))</f>
        <v>158.23848664370132</v>
      </c>
      <c r="CZ198" s="62">
        <f t="shared" si="208"/>
        <v>172.92355799729972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2">
        <f t="shared" si="202"/>
        <v>43.364402348589593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70">
        <f t="shared" si="192"/>
        <v>667.07758742379417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-8.1404323282185943E-13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223.49015613166239</v>
      </c>
      <c r="T199" s="62">
        <f t="shared" si="204"/>
        <v>136.15898308259307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97.899731390293653</v>
      </c>
      <c r="AO199" s="62">
        <f t="shared" si="205"/>
        <v>310.21833995692549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2.3245536381515635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1.869245133472086E-26</v>
      </c>
      <c r="AX199" s="23">
        <f t="shared" si="166"/>
        <v>2.3245536381515635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2.7666828827932479E-13</v>
      </c>
      <c r="BF199" s="14">
        <f t="shared" si="167"/>
        <v>3.6920483163466686E-12</v>
      </c>
      <c r="BG199" s="22">
        <f t="shared" si="168"/>
        <v>6.9121814197236049E-12</v>
      </c>
      <c r="BH199" s="62">
        <f t="shared" si="194"/>
        <v>293.33333333334025</v>
      </c>
      <c r="BI199" s="62">
        <f ca="1">AVERAGE(OFFSET($BH$3,0,0,'Données projet'!$E$11+1,1))-AVERAGE(OFFSET($H$3,0,0,'Données projet'!$E$11+1,1))</f>
        <v>209.0958230411249</v>
      </c>
      <c r="BJ199" s="62">
        <f t="shared" si="206"/>
        <v>250.34919671671565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3.6357050703372803E-14</v>
      </c>
      <c r="CA199" s="14">
        <f t="shared" si="170"/>
        <v>6.1445232567661395E-13</v>
      </c>
      <c r="CB199" s="22">
        <f t="shared" si="171"/>
        <v>1.1334929971951436E-12</v>
      </c>
      <c r="CC199" s="62">
        <f t="shared" si="195"/>
        <v>293.33333333333445</v>
      </c>
      <c r="CD199" s="62">
        <f ca="1">AVERAGE(OFFSET($CC$3,0,0,'Données projet'!$E$12+1,1))-AVERAGE(OFFSET($H$3,0,0,'Données projet'!$E$12+1,1))</f>
        <v>152.52712777621315</v>
      </c>
      <c r="CE199" s="62">
        <f t="shared" si="207"/>
        <v>145.25423263217925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2.2737367544323206E-13</v>
      </c>
      <c r="CU199" s="18">
        <f>CT199*VLOOKUP('Données projet'!$B$13,Paramètres!$A$1:$I$89,3,0)*VLOOKUP('Données projet'!$B$13,Paramètres!$A$1:$I$89,5,0)</f>
        <v>1.4897523215040565E-13</v>
      </c>
      <c r="CV199" s="14">
        <f t="shared" si="173"/>
        <v>2.136562777003313E-12</v>
      </c>
      <c r="CW199" s="22">
        <f t="shared" si="174"/>
        <v>3.9806453659427267E-12</v>
      </c>
      <c r="CX199" s="62">
        <f t="shared" si="196"/>
        <v>293.33333333333729</v>
      </c>
      <c r="CY199" s="62">
        <f ca="1">AVERAGE(OFFSET($CX$3,0,0,'Données projet'!$E$13+1,1))-AVERAGE(OFFSET($H$3,0,0,'Données projet'!$E$13+1,1))</f>
        <v>158.23848664370132</v>
      </c>
      <c r="CZ199" s="62">
        <f t="shared" si="208"/>
        <v>172.92355799729972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2">
        <f t="shared" si="202"/>
        <v>43.559838214507067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70">
        <f t="shared" si="192"/>
        <v>668.93949155693372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-8.1404323282185943E-13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223.49015613166239</v>
      </c>
      <c r="T200" s="62">
        <f t="shared" si="204"/>
        <v>136.15898308259307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97.899731390293653</v>
      </c>
      <c r="AO200" s="62">
        <f t="shared" si="205"/>
        <v>310.21833995692549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2.2789705591451308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1.3217559095780651E-26</v>
      </c>
      <c r="AX200" s="23">
        <f t="shared" si="166"/>
        <v>2.2789705591451308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2.7666828827932479E-13</v>
      </c>
      <c r="BF200" s="14">
        <f t="shared" si="167"/>
        <v>3.6920483163466686E-12</v>
      </c>
      <c r="BG200" s="22">
        <f t="shared" si="168"/>
        <v>6.9121814197236049E-12</v>
      </c>
      <c r="BH200" s="62">
        <f t="shared" si="194"/>
        <v>293.33333333334025</v>
      </c>
      <c r="BI200" s="62">
        <f ca="1">AVERAGE(OFFSET($BH$3,0,0,'Données projet'!$E$11+1,1))-AVERAGE(OFFSET($H$3,0,0,'Données projet'!$E$11+1,1))</f>
        <v>209.0958230411249</v>
      </c>
      <c r="BJ200" s="62">
        <f t="shared" si="206"/>
        <v>250.34919671671565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3.6357050703372803E-14</v>
      </c>
      <c r="CA200" s="14">
        <f t="shared" si="170"/>
        <v>6.1445232567661395E-13</v>
      </c>
      <c r="CB200" s="22">
        <f t="shared" si="171"/>
        <v>1.1334929971951436E-12</v>
      </c>
      <c r="CC200" s="62">
        <f t="shared" si="195"/>
        <v>293.33333333333445</v>
      </c>
      <c r="CD200" s="62">
        <f ca="1">AVERAGE(OFFSET($CC$3,0,0,'Données projet'!$E$12+1,1))-AVERAGE(OFFSET($H$3,0,0,'Données projet'!$E$12+1,1))</f>
        <v>152.52712777621315</v>
      </c>
      <c r="CE200" s="62">
        <f t="shared" si="207"/>
        <v>145.25423263217925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2.2737367544323206E-13</v>
      </c>
      <c r="CU200" s="18">
        <f>CT200*VLOOKUP('Données projet'!$B$13,Paramètres!$A$1:$I$89,3,0)*VLOOKUP('Données projet'!$B$13,Paramètres!$A$1:$I$89,5,0)</f>
        <v>1.4897523215040565E-13</v>
      </c>
      <c r="CV200" s="14">
        <f t="shared" si="173"/>
        <v>2.136562777003313E-12</v>
      </c>
      <c r="CW200" s="22">
        <f t="shared" si="174"/>
        <v>3.9806453659427267E-12</v>
      </c>
      <c r="CX200" s="62">
        <f t="shared" si="196"/>
        <v>293.33333333333729</v>
      </c>
      <c r="CY200" s="62">
        <f ca="1">AVERAGE(OFFSET($CX$3,0,0,'Données projet'!$E$13+1,1))-AVERAGE(OFFSET($H$3,0,0,'Données projet'!$E$13+1,1))</f>
        <v>158.23848664370132</v>
      </c>
      <c r="CZ200" s="62">
        <f t="shared" si="208"/>
        <v>172.92355799729972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2">
        <f t="shared" si="202"/>
        <v>43.755158638197358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70">
        <f t="shared" si="192"/>
        <v>670.80119462819425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-8.1404323282185943E-13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223.49015613166239</v>
      </c>
      <c r="T201" s="62">
        <f t="shared" si="204"/>
        <v>136.15898308259307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97.899731390293653</v>
      </c>
      <c r="AO201" s="62">
        <f t="shared" si="205"/>
        <v>310.21833995692549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2.2342813365150813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9.3462256673604299E-27</v>
      </c>
      <c r="AX201" s="23">
        <f t="shared" si="166"/>
        <v>2.2342813365150813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2.7666828827932479E-13</v>
      </c>
      <c r="BF201" s="14">
        <f t="shared" si="167"/>
        <v>3.6920483163466686E-12</v>
      </c>
      <c r="BG201" s="22">
        <f t="shared" si="168"/>
        <v>6.9121814197236049E-12</v>
      </c>
      <c r="BH201" s="62">
        <f t="shared" si="194"/>
        <v>293.33333333334025</v>
      </c>
      <c r="BI201" s="62">
        <f ca="1">AVERAGE(OFFSET($BH$3,0,0,'Données projet'!$E$11+1,1))-AVERAGE(OFFSET($H$3,0,0,'Données projet'!$E$11+1,1))</f>
        <v>209.0958230411249</v>
      </c>
      <c r="BJ201" s="62">
        <f t="shared" si="206"/>
        <v>250.34919671671565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3.6357050703372803E-14</v>
      </c>
      <c r="CA201" s="14">
        <f t="shared" si="170"/>
        <v>6.1445232567661395E-13</v>
      </c>
      <c r="CB201" s="22">
        <f t="shared" si="171"/>
        <v>1.1334929971951436E-12</v>
      </c>
      <c r="CC201" s="62">
        <f t="shared" si="195"/>
        <v>293.33333333333445</v>
      </c>
      <c r="CD201" s="62">
        <f ca="1">AVERAGE(OFFSET($CC$3,0,0,'Données projet'!$E$12+1,1))-AVERAGE(OFFSET($H$3,0,0,'Données projet'!$E$12+1,1))</f>
        <v>152.52712777621315</v>
      </c>
      <c r="CE201" s="62">
        <f t="shared" si="207"/>
        <v>145.25423263217925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2.2737367544323206E-13</v>
      </c>
      <c r="CU201" s="18">
        <f>CT201*VLOOKUP('Données projet'!$B$13,Paramètres!$A$1:$I$89,3,0)*VLOOKUP('Données projet'!$B$13,Paramètres!$A$1:$I$89,5,0)</f>
        <v>1.4897523215040565E-13</v>
      </c>
      <c r="CV201" s="14">
        <f t="shared" si="173"/>
        <v>2.136562777003313E-12</v>
      </c>
      <c r="CW201" s="22">
        <f t="shared" si="174"/>
        <v>3.9806453659427267E-12</v>
      </c>
      <c r="CX201" s="62">
        <f t="shared" si="196"/>
        <v>293.33333333333729</v>
      </c>
      <c r="CY201" s="62">
        <f ca="1">AVERAGE(OFFSET($CX$3,0,0,'Données projet'!$E$13+1,1))-AVERAGE(OFFSET($H$3,0,0,'Données projet'!$E$13+1,1))</f>
        <v>158.23848664370132</v>
      </c>
      <c r="CZ201" s="62">
        <f t="shared" si="208"/>
        <v>172.92355799729972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2">
        <f t="shared" si="202"/>
        <v>43.950364270382373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70">
        <f t="shared" si="192"/>
        <v>672.66269777091657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-8.1404323282185943E-13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223.49015613166239</v>
      </c>
      <c r="T202" s="62">
        <f t="shared" si="204"/>
        <v>136.15898308259307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97.899731390293653</v>
      </c>
      <c r="AO202" s="62">
        <f t="shared" si="205"/>
        <v>310.21833995692549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2.1904684422830729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6.6087795478903256E-27</v>
      </c>
      <c r="AX202" s="23">
        <f t="shared" si="166"/>
        <v>2.1904684422830729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2.7666828827932479E-13</v>
      </c>
      <c r="BF202" s="14">
        <f t="shared" si="167"/>
        <v>3.6920483163466686E-12</v>
      </c>
      <c r="BG202" s="22">
        <f t="shared" si="168"/>
        <v>6.9121814197236049E-12</v>
      </c>
      <c r="BH202" s="62">
        <f t="shared" si="194"/>
        <v>293.33333333334025</v>
      </c>
      <c r="BI202" s="62">
        <f ca="1">AVERAGE(OFFSET($BH$3,0,0,'Données projet'!$E$11+1,1))-AVERAGE(OFFSET($H$3,0,0,'Données projet'!$E$11+1,1))</f>
        <v>209.0958230411249</v>
      </c>
      <c r="BJ202" s="62">
        <f t="shared" si="206"/>
        <v>250.34919671671565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3.6357050703372803E-14</v>
      </c>
      <c r="CA202" s="14">
        <f t="shared" si="170"/>
        <v>6.1445232567661395E-13</v>
      </c>
      <c r="CB202" s="22">
        <f t="shared" si="171"/>
        <v>1.1334929971951436E-12</v>
      </c>
      <c r="CC202" s="62">
        <f t="shared" si="195"/>
        <v>293.33333333333445</v>
      </c>
      <c r="CD202" s="62">
        <f ca="1">AVERAGE(OFFSET($CC$3,0,0,'Données projet'!$E$12+1,1))-AVERAGE(OFFSET($H$3,0,0,'Données projet'!$E$12+1,1))</f>
        <v>152.52712777621315</v>
      </c>
      <c r="CE202" s="62">
        <f t="shared" si="207"/>
        <v>145.25423263217925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2.2737367544323206E-13</v>
      </c>
      <c r="CU202" s="18">
        <f>CT202*VLOOKUP('Données projet'!$B$13,Paramètres!$A$1:$I$89,3,0)*VLOOKUP('Données projet'!$B$13,Paramètres!$A$1:$I$89,5,0)</f>
        <v>1.4897523215040565E-13</v>
      </c>
      <c r="CV202" s="14">
        <f t="shared" si="173"/>
        <v>2.136562777003313E-12</v>
      </c>
      <c r="CW202" s="22">
        <f t="shared" si="174"/>
        <v>3.9806453659427267E-12</v>
      </c>
      <c r="CX202" s="62">
        <f t="shared" si="196"/>
        <v>293.33333333333729</v>
      </c>
      <c r="CY202" s="62">
        <f ca="1">AVERAGE(OFFSET($CX$3,0,0,'Données projet'!$E$13+1,1))-AVERAGE(OFFSET($H$3,0,0,'Données projet'!$E$13+1,1))</f>
        <v>158.23848664370132</v>
      </c>
      <c r="CZ202" s="62">
        <f t="shared" si="208"/>
        <v>172.92355799729972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2">
        <f t="shared" si="202"/>
        <v>44.145455754865324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70">
        <f t="shared" si="192"/>
        <v>674.52400210639098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-8.1404323282185943E-13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223.49015613166239</v>
      </c>
      <c r="T203" s="62">
        <f t="shared" si="204"/>
        <v>136.15898308259307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97.899731390293653</v>
      </c>
      <c r="AO203" s="62">
        <f t="shared" si="205"/>
        <v>310.21833995692549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2.1475146921837274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4.6731128336802149E-27</v>
      </c>
      <c r="AX203" s="23">
        <f t="shared" si="166"/>
        <v>2.1475146921837274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2.7666828827932479E-13</v>
      </c>
      <c r="BF203" s="14">
        <f t="shared" si="167"/>
        <v>3.6920483163466686E-12</v>
      </c>
      <c r="BG203" s="22">
        <f t="shared" si="168"/>
        <v>6.9121814197236049E-12</v>
      </c>
      <c r="BH203" s="62">
        <f t="shared" si="194"/>
        <v>293.33333333334025</v>
      </c>
      <c r="BI203" s="62">
        <f ca="1">AVERAGE(OFFSET($BH$3,0,0,'Données projet'!$E$11+1,1))-AVERAGE(OFFSET($H$3,0,0,'Données projet'!$E$11+1,1))</f>
        <v>209.0958230411249</v>
      </c>
      <c r="BJ203" s="62">
        <f t="shared" si="206"/>
        <v>250.34919671671565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3.6357050703372803E-14</v>
      </c>
      <c r="CA203" s="14">
        <f t="shared" si="170"/>
        <v>6.1445232567661395E-13</v>
      </c>
      <c r="CB203" s="22">
        <f t="shared" si="171"/>
        <v>1.1334929971951436E-12</v>
      </c>
      <c r="CC203" s="62">
        <f t="shared" si="195"/>
        <v>293.33333333333445</v>
      </c>
      <c r="CD203" s="62">
        <f ca="1">AVERAGE(OFFSET($CC$3,0,0,'Données projet'!$E$12+1,1))-AVERAGE(OFFSET($H$3,0,0,'Données projet'!$E$12+1,1))</f>
        <v>152.52712777621315</v>
      </c>
      <c r="CE203" s="62">
        <f t="shared" si="207"/>
        <v>145.25423263217925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2.2737367544323206E-13</v>
      </c>
      <c r="CU203" s="18">
        <f>CT203*VLOOKUP('Données projet'!$B$13,Paramètres!$A$1:$I$89,3,0)*VLOOKUP('Données projet'!$B$13,Paramètres!$A$1:$I$89,5,0)</f>
        <v>1.4897523215040565E-13</v>
      </c>
      <c r="CV203" s="14">
        <f t="shared" si="173"/>
        <v>2.136562777003313E-12</v>
      </c>
      <c r="CW203" s="22">
        <f t="shared" si="174"/>
        <v>3.9806453659427267E-12</v>
      </c>
      <c r="CX203" s="62">
        <f t="shared" si="196"/>
        <v>293.33333333333729</v>
      </c>
      <c r="CY203" s="62">
        <f ca="1">AVERAGE(OFFSET($CX$3,0,0,'Données projet'!$E$13+1,1))-AVERAGE(OFFSET($H$3,0,0,'Données projet'!$E$13+1,1))</f>
        <v>158.23848664370132</v>
      </c>
      <c r="CZ203" s="62">
        <f t="shared" si="208"/>
        <v>172.92355799729972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1.2599210498948732</v>
      </c>
      <c r="BA205" s="88">
        <f>EXP(LN('Données projet'!B88)/'Données projet'!A88)</f>
        <v>1.2730870686066207</v>
      </c>
      <c r="BV205" s="88">
        <f>EXP(LN('Données projet'!B114)/'Données projet'!A114)</f>
        <v>1.2551904803974363</v>
      </c>
      <c r="CQ205" s="88">
        <f>EXP(LN('Données projet'!B140)/'Données projet'!A140)</f>
        <v>1.2709816152101407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B1" zoomScale="90" zoomScaleNormal="90" workbookViewId="0">
      <selection activeCell="J102" sqref="J10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pédonculé</v>
      </c>
      <c r="B6" s="155">
        <f>'Données projet'!D9</f>
        <v>0.86099899999999996</v>
      </c>
      <c r="C6" s="156">
        <f ca="1">IF(OR('Données projet'!B9="",'Données projet'!C9="",'Données projet'!C9=0%),0,Calculateur!S3)</f>
        <v>223.49015613166239</v>
      </c>
      <c r="D6" s="156">
        <f>IF(OR('Données projet'!B9="",'Données projet'!C9="",'Données projet'!C9=0%),0,Calculateur!T3)</f>
        <v>136.15898308259307</v>
      </c>
      <c r="E6" s="156">
        <f ca="1">MIN(C6,D6)</f>
        <v>136.15898308259307</v>
      </c>
      <c r="F6" s="156">
        <f ca="1">E6*B6</f>
        <v>117.23274827512954</v>
      </c>
      <c r="G6" s="156">
        <f ca="1">F6*(100%-'Données projet'!$C$24)*(100%-'Données projet'!$C$25)*(100%-'Données projet'!$C$26)*(100%-'Données projet'!$C$27)</f>
        <v>105.50947344761659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6.24224275</v>
      </c>
      <c r="K6" s="160">
        <f>J6*(100%-'Données projet'!$C$24)*(100%-'Données projet'!$C$25)*(100%-'Données projet'!$C$26)*(100%-'Données projet'!$C$27)</f>
        <v>5.6180184750000004</v>
      </c>
      <c r="L6" s="161">
        <f ca="1">G6+I6+K6</f>
        <v>111.12749192261658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Koster</v>
      </c>
      <c r="B7" s="163">
        <f>'Données projet'!D10</f>
        <v>0.469999</v>
      </c>
      <c r="C7" s="156">
        <f ca="1">IF(OR('Données projet'!B10="",'Données projet'!C10="",'Données projet'!C10=0%),0,Calculateur!AN3)</f>
        <v>97.899731390293653</v>
      </c>
      <c r="D7" s="156">
        <f>IF(OR('Données projet'!B10="",'Données projet'!C10="",'Données projet'!C10=0%),0,Calculateur!AO3)</f>
        <v>310.21833995692549</v>
      </c>
      <c r="E7" s="156">
        <f t="shared" ref="E7:E15" ca="1" si="0">MIN(C7,D7)</f>
        <v>97.899731390293653</v>
      </c>
      <c r="F7" s="156">
        <f t="shared" ref="F7:F15" ca="1" si="1">E7*B7</f>
        <v>46.012775853706628</v>
      </c>
      <c r="G7" s="156">
        <f ca="1">F7*(100%-'Données projet'!$C$24)*(100%-'Données projet'!$C$25)*(100%-'Données projet'!$C$26)*(100%-'Données projet'!$C$27)</f>
        <v>41.411498268335968</v>
      </c>
      <c r="H7" s="164">
        <f>IF(OR('Données projet'!B10="",'Données projet'!C10="",'Données projet'!C10=0%),0,AVERAGE(Calculateur!$AX$3:$AX$33)*B7)</f>
        <v>15.914551856008712</v>
      </c>
      <c r="I7" s="158">
        <f>H7*(100%-'Données projet'!$C$24)*(100%-'Données projet'!$C$25)*(100%-'Données projet'!$C$26)*(100%-'Données projet'!$C$27)</f>
        <v>14.323096670407841</v>
      </c>
      <c r="J7" s="159">
        <f>IF(OR('Données projet'!B10="",'Données projet'!C10="",'Données projet'!C10=0%),0,SUM(Calculateur!$AQ$3:$AQ$33)*VLOOKUP('Données projet'!$B$10,Paramètres!$A$1:$I$89,9,0)*B7)</f>
        <v>150.0706807</v>
      </c>
      <c r="K7" s="160">
        <f>J7*(100%-'Données projet'!$C$24)*(100%-'Données projet'!$C$25)*(100%-'Données projet'!$C$26)*(100%-'Données projet'!$C$27)</f>
        <v>135.06361262999999</v>
      </c>
      <c r="L7" s="161">
        <f t="shared" ref="L7:L15" ca="1" si="2">G7+I7+K7</f>
        <v>190.79820756874381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Noyer</v>
      </c>
      <c r="B8" s="163">
        <f>'Données projet'!D11</f>
        <v>0.12299499999999999</v>
      </c>
      <c r="C8" s="156">
        <f ca="1">IF(OR('Données projet'!B11="",'Données projet'!C11="",'Données projet'!C11=0%),0,Calculateur!BI3)</f>
        <v>209.0958230411249</v>
      </c>
      <c r="D8" s="156">
        <f>IF(OR('Données projet'!B11="",'Données projet'!C11="",'Données projet'!C11=0%),0,Calculateur!BJ3)</f>
        <v>250.34919671671565</v>
      </c>
      <c r="E8" s="156">
        <f t="shared" ca="1" si="0"/>
        <v>209.0958230411249</v>
      </c>
      <c r="F8" s="156">
        <f t="shared" ca="1" si="1"/>
        <v>25.717740754943154</v>
      </c>
      <c r="G8" s="156">
        <f ca="1">F8*(100%-'Données projet'!$C$24)*(100%-'Données projet'!$C$25)*(100%-'Données projet'!$C$26)*(100%-'Données projet'!$C$27)</f>
        <v>23.14596667944884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3.0472011249999995</v>
      </c>
      <c r="K8" s="160">
        <f>J8*(100%-'Données projet'!$C$24)*(100%-'Données projet'!$C$25)*(100%-'Données projet'!$C$26)*(100%-'Données projet'!$C$27)</f>
        <v>2.7424810124999994</v>
      </c>
      <c r="L8" s="161">
        <f t="shared" ca="1" si="2"/>
        <v>25.888447691948841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Tulipier de Virginie</v>
      </c>
      <c r="B9" s="163">
        <f>'Données projet'!D12</f>
        <v>0.12299499999999999</v>
      </c>
      <c r="C9" s="156">
        <f ca="1">IF(OR('Données projet'!B12="",'Données projet'!C12="",'Données projet'!C12=0%),0,Calculateur!CD3)</f>
        <v>152.52712777621315</v>
      </c>
      <c r="D9" s="156">
        <f>IF(OR('Données projet'!B12="",'Données projet'!C12="",'Données projet'!C12=0%),0,Calculateur!CE3)</f>
        <v>145.25423263217925</v>
      </c>
      <c r="E9" s="156">
        <f t="shared" ca="1" si="0"/>
        <v>145.25423263217925</v>
      </c>
      <c r="F9" s="156">
        <f t="shared" ca="1" si="1"/>
        <v>17.865544342594887</v>
      </c>
      <c r="G9" s="156">
        <f ca="1">F9*(100%-'Données projet'!$C$24)*(100%-'Données projet'!$C$25)*(100%-'Données projet'!$C$26)*(100%-'Données projet'!$C$27)</f>
        <v>16.078989908335398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1.6296837499999999</v>
      </c>
      <c r="K9" s="160">
        <f>J9*(100%-'Données projet'!$C$24)*(100%-'Données projet'!$C$25)*(100%-'Données projet'!$C$26)*(100%-'Données projet'!$C$27)</f>
        <v>1.4667153749999999</v>
      </c>
      <c r="L9" s="161">
        <f t="shared" ca="1" si="2"/>
        <v>17.545705283335398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Aulne glutineux</v>
      </c>
      <c r="B10" s="163">
        <f>'Données projet'!D13</f>
        <v>0.12299499999999999</v>
      </c>
      <c r="C10" s="156">
        <f ca="1">IF(OR('Données projet'!B13="",'Données projet'!C13="",'Données projet'!C13=0%),0,Calculateur!CY3)</f>
        <v>158.23848664370132</v>
      </c>
      <c r="D10" s="156">
        <f>IF(OR('Données projet'!B13="",'Données projet'!C13="",'Données projet'!C13=0%),0,Calculateur!CZ3)</f>
        <v>172.92355799729972</v>
      </c>
      <c r="E10" s="156">
        <f t="shared" ca="1" si="0"/>
        <v>158.23848664370132</v>
      </c>
      <c r="F10" s="156">
        <f t="shared" ca="1" si="1"/>
        <v>19.462542664742042</v>
      </c>
      <c r="G10" s="156">
        <f ca="1">F10*(100%-'Données projet'!$C$24)*(100%-'Données projet'!$C$25)*(100%-'Données projet'!$C$26)*(100%-'Données projet'!$C$27)</f>
        <v>17.516288398267839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1.1069549999999999</v>
      </c>
      <c r="K10" s="160">
        <f>J10*(100%-'Données projet'!$C$24)*(100%-'Données projet'!$C$25)*(100%-'Données projet'!$C$26)*(100%-'Données projet'!$C$27)</f>
        <v>0.99625949999999996</v>
      </c>
      <c r="L10" s="161">
        <f t="shared" ca="1" si="2"/>
        <v>18.51254789826784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226.29135189111625</v>
      </c>
      <c r="G16" s="175">
        <f t="shared" ca="1" si="3"/>
        <v>203.66221670200463</v>
      </c>
      <c r="H16" s="176">
        <f t="shared" si="3"/>
        <v>15.914551856008712</v>
      </c>
      <c r="I16" s="176">
        <f t="shared" si="3"/>
        <v>14.323096670407841</v>
      </c>
      <c r="J16" s="177">
        <f t="shared" si="3"/>
        <v>162.09676332499998</v>
      </c>
      <c r="K16" s="177">
        <f t="shared" si="3"/>
        <v>145.88708699250003</v>
      </c>
      <c r="L16" s="178">
        <f t="shared" ca="1" si="3"/>
        <v>363.87240036491244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pédonculé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Noyer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Tulipier de Virginie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Aulne glutineux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K1" zoomScale="80" zoomScaleNormal="80" workbookViewId="0">
      <selection activeCell="N17" sqref="N1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pédonculé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728.8823513226331</v>
      </c>
      <c r="U10" s="190">
        <f>'Données projet'!D9</f>
        <v>0.86099899999999996</v>
      </c>
      <c r="V10" s="189">
        <f>U10*T10</f>
        <v>627.56697560643579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7334.2339744002256</v>
      </c>
      <c r="U11" s="190">
        <f>'Données projet'!D10</f>
        <v>0.469999</v>
      </c>
      <c r="V11" s="189">
        <f t="shared" ref="V11" si="0">U11*T11</f>
        <v>3447.0826337341318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Noyer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1683.8493794567451</v>
      </c>
      <c r="U12" s="190">
        <f>'Données projet'!D11</f>
        <v>0.12299499999999999</v>
      </c>
      <c r="V12" s="189">
        <f t="shared" ref="V12:V19" si="1">U12*T12</f>
        <v>207.10505442628235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Tulipier de Virginie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1588.4890374231845</v>
      </c>
      <c r="U13" s="190">
        <f>'Données projet'!D12</f>
        <v>0.12299499999999999</v>
      </c>
      <c r="V13" s="189">
        <f t="shared" si="1"/>
        <v>195.37620915786457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pédonculé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Aulne glutineux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724.50591870379935</v>
      </c>
      <c r="U14" s="190">
        <f>'Données projet'!D13</f>
        <v>0.12299499999999999</v>
      </c>
      <c r="V14" s="189">
        <f t="shared" si="1"/>
        <v>89.110605470973795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50.000000000000036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500.00000000000034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-7333.7585216043117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94.103202470804391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29</v>
      </c>
      <c r="C25" s="206">
        <v>10</v>
      </c>
      <c r="D25" s="194">
        <f t="shared" si="2"/>
        <v>290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-7427.8617240751164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42</v>
      </c>
      <c r="C27" s="206">
        <v>15</v>
      </c>
      <c r="D27" s="194">
        <f t="shared" si="2"/>
        <v>630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42</v>
      </c>
      <c r="C29" s="206">
        <v>20</v>
      </c>
      <c r="D29" s="194">
        <f t="shared" si="2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42</v>
      </c>
      <c r="C31" s="206">
        <v>30</v>
      </c>
      <c r="D31" s="194">
        <f t="shared" si="2"/>
        <v>1260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42</v>
      </c>
      <c r="C33" s="206">
        <v>40</v>
      </c>
      <c r="D33" s="194">
        <f t="shared" si="2"/>
        <v>1680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42</v>
      </c>
      <c r="C35" s="206">
        <v>50</v>
      </c>
      <c r="D35" s="194">
        <f t="shared" si="2"/>
        <v>2100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90</v>
      </c>
      <c r="B36" s="193">
        <f>'Données projet'!D49</f>
        <v>42</v>
      </c>
      <c r="C36" s="206">
        <v>60</v>
      </c>
      <c r="D36" s="194">
        <f t="shared" si="2"/>
        <v>2520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100</v>
      </c>
      <c r="B37" s="193">
        <f>'Données projet'!D50</f>
        <v>42</v>
      </c>
      <c r="C37" s="206">
        <v>70</v>
      </c>
      <c r="D37" s="194">
        <f t="shared" si="2"/>
        <v>2940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110</v>
      </c>
      <c r="B38" s="193">
        <f>'Données projet'!D51</f>
        <v>39</v>
      </c>
      <c r="C38" s="206">
        <v>80</v>
      </c>
      <c r="D38" s="194">
        <f t="shared" si="2"/>
        <v>3120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120</v>
      </c>
      <c r="B39" s="193">
        <f>'Données projet'!D52</f>
        <v>35</v>
      </c>
      <c r="C39" s="206">
        <v>90</v>
      </c>
      <c r="D39" s="194">
        <f t="shared" si="2"/>
        <v>3150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130</v>
      </c>
      <c r="B40" s="193">
        <f>'Données projet'!D53</f>
        <v>31</v>
      </c>
      <c r="C40" s="206">
        <v>100</v>
      </c>
      <c r="D40" s="194">
        <f t="shared" si="2"/>
        <v>3100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140</v>
      </c>
      <c r="B41" s="193">
        <f>'Données projet'!D54</f>
        <v>27</v>
      </c>
      <c r="C41" s="206">
        <v>120</v>
      </c>
      <c r="D41" s="194">
        <f t="shared" si="2"/>
        <v>3240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293</v>
      </c>
      <c r="C42" s="206">
        <v>200</v>
      </c>
      <c r="D42" s="194">
        <f t="shared" si="2"/>
        <v>58600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str">
        <f>IF(O50+1&lt;=MIN('Données projet'!$E$9:$E$18),O50+1,"STOP")</f>
        <v>STOP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6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7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8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9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11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12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13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14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15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16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17</v>
      </c>
      <c r="B65" s="193">
        <f>'Données projet'!D73</f>
        <v>310</v>
      </c>
      <c r="C65" s="204">
        <v>50</v>
      </c>
      <c r="D65" s="191">
        <f t="shared" si="4"/>
        <v>15500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Noyer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43.1</v>
      </c>
      <c r="C86" s="204">
        <v>10</v>
      </c>
      <c r="D86" s="191">
        <f t="shared" ref="D86:D104" si="6">B86*C86</f>
        <v>431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56</v>
      </c>
      <c r="C88" s="204">
        <v>15</v>
      </c>
      <c r="D88" s="191">
        <f t="shared" si="6"/>
        <v>840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56</v>
      </c>
      <c r="C90" s="204">
        <v>20</v>
      </c>
      <c r="D90" s="191">
        <f t="shared" si="6"/>
        <v>1120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38.299999999999997</v>
      </c>
      <c r="C92" s="204">
        <v>30</v>
      </c>
      <c r="D92" s="191">
        <f t="shared" si="6"/>
        <v>1149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60</v>
      </c>
      <c r="B94" s="193">
        <f>'Données projet'!D97</f>
        <v>25.200000000000003</v>
      </c>
      <c r="C94" s="204">
        <v>40</v>
      </c>
      <c r="D94" s="191">
        <f t="shared" si="6"/>
        <v>1008.0000000000001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65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70</v>
      </c>
      <c r="B96" s="193">
        <f>'Données projet'!D99</f>
        <v>20.9</v>
      </c>
      <c r="C96" s="204">
        <v>50</v>
      </c>
      <c r="D96" s="191">
        <f t="shared" si="6"/>
        <v>1045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75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284.60000000000002</v>
      </c>
      <c r="C98" s="206">
        <v>100</v>
      </c>
      <c r="D98" s="191">
        <f t="shared" si="6"/>
        <v>28460.000000000004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Tulipier de Virginie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53</v>
      </c>
      <c r="C116" s="206">
        <v>10</v>
      </c>
      <c r="D116" s="191">
        <f>B116*C116</f>
        <v>530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40</v>
      </c>
      <c r="B118" s="193">
        <f>'Données projet'!D116</f>
        <v>135</v>
      </c>
      <c r="C118" s="204">
        <v>15</v>
      </c>
      <c r="D118" s="191">
        <f t="shared" si="8"/>
        <v>2025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50</v>
      </c>
      <c r="B119" s="193">
        <f>'Données projet'!D117</f>
        <v>57</v>
      </c>
      <c r="C119" s="204">
        <v>20</v>
      </c>
      <c r="D119" s="191">
        <f t="shared" si="8"/>
        <v>1140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60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70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80</v>
      </c>
      <c r="B122" s="193">
        <f>'Données projet'!D120</f>
        <v>378.20512820512818</v>
      </c>
      <c r="C122" s="204">
        <v>80</v>
      </c>
      <c r="D122" s="191">
        <f t="shared" si="8"/>
        <v>30256.410256410254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Aulne glutineux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25</v>
      </c>
      <c r="B150" s="187">
        <f>'Données projet'!D143</f>
        <v>36</v>
      </c>
      <c r="C150" s="291">
        <v>10</v>
      </c>
      <c r="D150" s="194">
        <f t="shared" si="10"/>
        <v>360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30</v>
      </c>
      <c r="B151" s="187">
        <f>'Données projet'!D144</f>
        <v>0</v>
      </c>
      <c r="C151" s="291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35</v>
      </c>
      <c r="B152" s="187">
        <f>'Données projet'!D145</f>
        <v>48</v>
      </c>
      <c r="C152" s="291">
        <v>10</v>
      </c>
      <c r="D152" s="194">
        <f t="shared" si="10"/>
        <v>480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40</v>
      </c>
      <c r="B153" s="187">
        <f>'Données projet'!D146</f>
        <v>0</v>
      </c>
      <c r="C153" s="291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45</v>
      </c>
      <c r="B154" s="187">
        <f>'Données projet'!D147</f>
        <v>50</v>
      </c>
      <c r="C154" s="291">
        <v>15</v>
      </c>
      <c r="D154" s="194">
        <f t="shared" si="10"/>
        <v>750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50</v>
      </c>
      <c r="B155" s="187">
        <f>'Données projet'!D148</f>
        <v>0</v>
      </c>
      <c r="C155" s="291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55</v>
      </c>
      <c r="B156" s="187">
        <f>'Données projet'!D149</f>
        <v>47</v>
      </c>
      <c r="C156" s="291">
        <v>20</v>
      </c>
      <c r="D156" s="194">
        <f t="shared" si="10"/>
        <v>940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60</v>
      </c>
      <c r="B157" s="187">
        <f>'Données projet'!D150</f>
        <v>0</v>
      </c>
      <c r="C157" s="291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65</v>
      </c>
      <c r="B158" s="187">
        <f>'Données projet'!D151</f>
        <v>42</v>
      </c>
      <c r="C158" s="291">
        <v>25</v>
      </c>
      <c r="D158" s="194">
        <f t="shared" si="10"/>
        <v>1050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70</v>
      </c>
      <c r="B159" s="187">
        <f>'Données projet'!D152</f>
        <v>0</v>
      </c>
      <c r="C159" s="291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75</v>
      </c>
      <c r="B160" s="187">
        <f>'Données projet'!D153</f>
        <v>37</v>
      </c>
      <c r="C160" s="291">
        <v>30</v>
      </c>
      <c r="D160" s="194">
        <f t="shared" si="10"/>
        <v>1110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80</v>
      </c>
      <c r="B161" s="187">
        <f>'Données projet'!D154</f>
        <v>0</v>
      </c>
      <c r="C161" s="291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85</v>
      </c>
      <c r="B162" s="187">
        <f>'Données projet'!D155</f>
        <v>0</v>
      </c>
      <c r="C162" s="291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90</v>
      </c>
      <c r="B163" s="187">
        <f>'Données projet'!D156</f>
        <v>281</v>
      </c>
      <c r="C163" s="291">
        <v>40</v>
      </c>
      <c r="D163" s="194">
        <f t="shared" si="10"/>
        <v>11240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</cp:lastModifiedBy>
  <dcterms:created xsi:type="dcterms:W3CDTF">2021-02-01T08:22:39Z</dcterms:created>
  <dcterms:modified xsi:type="dcterms:W3CDTF">2025-08-20T15:32:31Z</dcterms:modified>
</cp:coreProperties>
</file>