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lonso_rep C+FOR\Montage de projets\Projets\Actifs\Wirwignes (62) André Goudalle\Docs 0 à 9\"/>
    </mc:Choice>
  </mc:AlternateContent>
  <bookViews>
    <workbookView xWindow="0" yWindow="0" windowWidth="19370" windowHeight="775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8" i="1" l="1"/>
  <c r="B158" i="1"/>
  <c r="D157" i="1"/>
  <c r="B157" i="1"/>
  <c r="D156" i="1"/>
  <c r="B156" i="1"/>
  <c r="D263" i="1" l="1"/>
  <c r="D262" i="1"/>
  <c r="D261" i="1"/>
  <c r="D259" i="1"/>
  <c r="D257" i="1"/>
  <c r="D255" i="1"/>
  <c r="B263" i="1"/>
  <c r="B262" i="1"/>
  <c r="B261" i="1"/>
  <c r="B260" i="1"/>
  <c r="B259" i="1"/>
  <c r="B258" i="1"/>
  <c r="B257" i="1"/>
  <c r="B256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B185" i="1"/>
  <c r="D185" i="1" s="1"/>
  <c r="B184" i="1"/>
  <c r="D183" i="1"/>
  <c r="B183" i="1"/>
  <c r="B182" i="1"/>
  <c r="D181" i="1"/>
  <c r="B181" i="1"/>
  <c r="B18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D155" i="1"/>
  <c r="B155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04" i="1" l="1"/>
  <c r="D100" i="1"/>
  <c r="D102" i="1"/>
  <c r="D98" i="1"/>
  <c r="D96" i="1"/>
  <c r="D94" i="1"/>
  <c r="D92" i="1"/>
  <c r="D90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D129" i="1"/>
  <c r="D127" i="1"/>
  <c r="D125" i="1"/>
  <c r="D123" i="1"/>
  <c r="D121" i="1"/>
  <c r="D119" i="1"/>
  <c r="D117" i="1"/>
  <c r="D115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231" i="1" l="1"/>
  <c r="D231" i="1" s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B79" i="1"/>
  <c r="D79" i="1" s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B53" i="1" l="1"/>
  <c r="D53" i="1" s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38" i="2" a="1"/>
  <c r="CS38" i="2" s="1"/>
  <c r="CS185" i="2" a="1"/>
  <c r="CS185" i="2" s="1"/>
  <c r="CS56" i="2" a="1"/>
  <c r="CS56" i="2" s="1"/>
  <c r="DN6" i="2" a="1"/>
  <c r="DN6" i="2" s="1"/>
  <c r="DO6" i="2" s="1"/>
  <c r="CS24" i="2" a="1"/>
  <c r="CS24" i="2" s="1"/>
  <c r="CS72" i="2" a="1"/>
  <c r="CS72" i="2" s="1"/>
  <c r="BX107" i="2" a="1"/>
  <c r="BX107" i="2" s="1"/>
  <c r="AX200" i="2"/>
  <c r="EI20" i="2" l="1" a="1"/>
  <c r="EI20" i="2" s="1"/>
  <c r="EI34" i="2" a="1"/>
  <c r="EI34" i="2" s="1"/>
  <c r="EI36" i="2" a="1"/>
  <c r="EI36" i="2" s="1"/>
  <c r="EI87" i="2" a="1"/>
  <c r="EI87" i="2" s="1"/>
  <c r="CS120" i="2" a="1"/>
  <c r="CS120" i="2" s="1"/>
  <c r="CS134" i="2" a="1"/>
  <c r="CS134" i="2" s="1"/>
  <c r="CS77" i="2" a="1"/>
  <c r="CS77" i="2" s="1"/>
  <c r="CS161" i="2" a="1"/>
  <c r="CS161" i="2" s="1"/>
  <c r="CS114" i="2" a="1"/>
  <c r="CS114" i="2" s="1"/>
  <c r="CS137" i="2" a="1"/>
  <c r="CS137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22" i="2" l="1"/>
  <c r="GE25" i="2"/>
  <c r="GE153" i="2"/>
  <c r="GE48" i="2"/>
  <c r="GE150" i="2"/>
  <c r="GE94" i="2"/>
  <c r="GE120" i="2"/>
  <c r="GE26" i="2"/>
  <c r="GE145" i="2"/>
  <c r="GE51" i="2"/>
  <c r="GE40" i="2"/>
  <c r="GE184" i="2"/>
  <c r="GE129" i="2"/>
  <c r="GE66" i="2"/>
  <c r="GE185" i="2"/>
  <c r="GE82" i="2"/>
  <c r="GE76" i="2"/>
  <c r="GE36" i="2"/>
  <c r="GE157" i="2"/>
  <c r="GE96" i="2"/>
  <c r="GE169" i="2"/>
  <c r="GE103" i="2"/>
  <c r="GE155" i="2"/>
  <c r="GE37" i="2"/>
  <c r="GE38" i="2"/>
  <c r="GE163" i="2"/>
  <c r="GE5" i="2"/>
  <c r="GE79" i="2"/>
  <c r="GE42" i="2"/>
  <c r="GE115" i="2"/>
  <c r="GE90" i="2"/>
  <c r="GE8" i="2"/>
  <c r="GE164" i="2"/>
  <c r="GE102" i="2"/>
  <c r="GE160" i="2"/>
  <c r="GE128" i="2"/>
  <c r="GE123" i="2"/>
  <c r="GE125" i="2"/>
  <c r="GE17" i="2"/>
  <c r="GE133" i="2"/>
  <c r="GE27" i="2"/>
  <c r="GE180" i="2"/>
  <c r="GE77" i="2"/>
  <c r="GE98" i="2"/>
  <c r="GE148" i="2"/>
  <c r="GE197" i="2"/>
  <c r="GE144" i="2"/>
  <c r="GE65" i="2"/>
  <c r="GE110" i="2"/>
  <c r="GE190" i="2"/>
  <c r="GE99" i="2"/>
  <c r="GE47" i="2"/>
  <c r="GE139" i="2"/>
  <c r="GE152" i="2"/>
  <c r="GE137" i="2"/>
  <c r="GE136" i="2"/>
  <c r="GE132" i="2"/>
  <c r="GE92" i="2"/>
  <c r="GE31" i="2"/>
  <c r="GE24" i="2"/>
  <c r="GE142" i="2"/>
  <c r="GE13" i="2"/>
  <c r="GE182" i="2"/>
  <c r="GE70" i="2"/>
  <c r="GE74" i="2"/>
  <c r="GE116" i="2"/>
  <c r="GE198" i="2"/>
  <c r="GE32" i="2"/>
  <c r="GE46" i="2"/>
  <c r="GE49" i="2"/>
  <c r="GE203" i="2"/>
  <c r="GE189" i="2"/>
  <c r="GE113" i="2"/>
  <c r="GE171" i="2"/>
  <c r="GE55" i="2"/>
  <c r="GE60" i="2"/>
  <c r="GE114" i="2"/>
  <c r="GE52" i="2"/>
  <c r="GE161" i="2"/>
  <c r="GE58" i="2"/>
  <c r="GE80" i="2"/>
  <c r="GE50" i="2"/>
  <c r="GE81" i="2"/>
  <c r="GE20" i="2"/>
  <c r="GE147" i="2"/>
  <c r="GE59" i="2"/>
  <c r="GE179" i="2"/>
  <c r="GE122" i="2"/>
  <c r="GE61" i="2"/>
  <c r="GE97" i="2"/>
  <c r="GE188" i="2"/>
  <c r="GE187" i="2"/>
  <c r="GE118" i="2"/>
  <c r="GE202" i="2"/>
  <c r="GE143" i="2"/>
  <c r="GE72" i="2"/>
  <c r="GE57" i="2"/>
  <c r="GE33" i="2"/>
  <c r="GE170" i="2"/>
  <c r="GE89" i="2"/>
  <c r="GE56" i="2"/>
  <c r="GE71" i="2"/>
  <c r="GE186" i="2"/>
  <c r="GE34" i="2"/>
  <c r="GE192" i="2"/>
  <c r="GE178" i="2"/>
  <c r="GE43" i="2"/>
  <c r="GE28" i="2"/>
  <c r="GE45" i="2"/>
  <c r="GE181" i="2"/>
  <c r="GE18" i="2"/>
  <c r="GE162" i="2"/>
  <c r="GE21" i="2"/>
  <c r="GE88" i="2"/>
  <c r="GE12" i="2"/>
  <c r="GE117" i="2"/>
  <c r="GE9" i="2"/>
  <c r="GE53" i="2"/>
  <c r="GE63" i="2"/>
  <c r="GE16" i="2"/>
  <c r="GE195" i="2"/>
  <c r="GE7" i="2"/>
  <c r="GE109" i="2"/>
  <c r="GE93" i="2"/>
  <c r="GE41" i="2"/>
  <c r="GE149" i="2"/>
  <c r="GE151" i="2"/>
  <c r="GE67" i="2"/>
  <c r="GE112" i="2"/>
  <c r="GE154" i="2"/>
  <c r="GE175" i="2"/>
  <c r="GE140" i="2"/>
  <c r="GE196" i="2"/>
  <c r="GE54" i="2"/>
  <c r="GE14" i="2"/>
  <c r="GE135" i="2"/>
  <c r="GE159" i="2"/>
  <c r="GE124" i="2"/>
  <c r="GE68" i="2"/>
  <c r="GE101" i="2"/>
  <c r="GE199" i="2"/>
  <c r="GE168" i="2"/>
  <c r="GE201" i="2"/>
  <c r="GE177" i="2"/>
  <c r="GE3" i="2"/>
  <c r="C14" i="4" s="1"/>
  <c r="E14" i="4" s="1"/>
  <c r="F14" i="4" s="1"/>
  <c r="G14" i="4" s="1"/>
  <c r="L14" i="4" s="1"/>
  <c r="GE78" i="2"/>
  <c r="GE105" i="2"/>
  <c r="GE62" i="2"/>
  <c r="GE111" i="2"/>
  <c r="GE193" i="2"/>
  <c r="GE173" i="2"/>
  <c r="GE130" i="2"/>
  <c r="GE4" i="2"/>
  <c r="GE15" i="2"/>
  <c r="GE73" i="2"/>
  <c r="GE84" i="2"/>
  <c r="GE75" i="2"/>
  <c r="GE176" i="2"/>
  <c r="GE100" i="2"/>
  <c r="GE29" i="2"/>
  <c r="GE131" i="2"/>
  <c r="GE126" i="2"/>
  <c r="GE166" i="2"/>
  <c r="GE95" i="2"/>
  <c r="GE165" i="2"/>
  <c r="GE86" i="2"/>
  <c r="GE64" i="2"/>
  <c r="GE146" i="2"/>
  <c r="GE106" i="2"/>
  <c r="GE85" i="2"/>
  <c r="GE44" i="2"/>
  <c r="GE156" i="2"/>
  <c r="GE107" i="2"/>
  <c r="GE11" i="2"/>
  <c r="GE194" i="2"/>
  <c r="GE174" i="2"/>
  <c r="GE23" i="2"/>
  <c r="GE10" i="2"/>
  <c r="GE30" i="2"/>
  <c r="GE191" i="2"/>
  <c r="GE83" i="2"/>
  <c r="GE141" i="2"/>
  <c r="GE35" i="2"/>
  <c r="GE87" i="2"/>
  <c r="GE200" i="2"/>
  <c r="GE138" i="2"/>
  <c r="GE172" i="2"/>
  <c r="GE121" i="2"/>
  <c r="GE158" i="2"/>
  <c r="GE6" i="2"/>
  <c r="GE127" i="2"/>
  <c r="GE19" i="2"/>
  <c r="GE69" i="2"/>
  <c r="GE134" i="2"/>
  <c r="GE119" i="2"/>
  <c r="GE183" i="2"/>
  <c r="GE108" i="2"/>
  <c r="GE39" i="2"/>
  <c r="GE91" i="2"/>
  <c r="GE167" i="2"/>
  <c r="GE104" i="2"/>
  <c r="DT157" i="2"/>
  <c r="DT62" i="2"/>
  <c r="DT13" i="2"/>
  <c r="DT61" i="2"/>
  <c r="DT98" i="2"/>
  <c r="DT68" i="2"/>
  <c r="DT94" i="2"/>
  <c r="DT176" i="2"/>
  <c r="DT131" i="2"/>
  <c r="DT145" i="2"/>
  <c r="DT69" i="2"/>
  <c r="DT8" i="2"/>
  <c r="DT172" i="2"/>
  <c r="DT167" i="2"/>
  <c r="DT58" i="2"/>
  <c r="DT126" i="2"/>
  <c r="DT22" i="2"/>
  <c r="DT36" i="2"/>
  <c r="DT56" i="2"/>
  <c r="DT173" i="2"/>
  <c r="DT111" i="2"/>
  <c r="DT59" i="2"/>
  <c r="DT74" i="2"/>
  <c r="DT52" i="2"/>
  <c r="DT109" i="2"/>
  <c r="DT114" i="2"/>
  <c r="DT17" i="2"/>
  <c r="DT160" i="2"/>
  <c r="DT159" i="2"/>
  <c r="DT64" i="2"/>
  <c r="DT107" i="2"/>
  <c r="DT48" i="2"/>
  <c r="DT178" i="2"/>
  <c r="DT89" i="2"/>
  <c r="DT116" i="2"/>
  <c r="DT60" i="2"/>
  <c r="DT88" i="2"/>
  <c r="DT37" i="2"/>
  <c r="DT57" i="2"/>
  <c r="DT198" i="2"/>
  <c r="DT122" i="2"/>
  <c r="DT85" i="2"/>
  <c r="DT86" i="2"/>
  <c r="DT136" i="2"/>
  <c r="DT27" i="2"/>
  <c r="DT71" i="2"/>
  <c r="DT151" i="2"/>
  <c r="DT38" i="2"/>
  <c r="DT15" i="2"/>
  <c r="DT192" i="2"/>
  <c r="DT65" i="2"/>
  <c r="DT75" i="2"/>
  <c r="DT40" i="2"/>
  <c r="DT70" i="2"/>
  <c r="DT133" i="2"/>
  <c r="DT199" i="2"/>
  <c r="DT182" i="2"/>
  <c r="DT171" i="2"/>
  <c r="DT25" i="2"/>
  <c r="DT181" i="2"/>
  <c r="DT195" i="2"/>
  <c r="DT101" i="2"/>
  <c r="DT144" i="2"/>
  <c r="DT170" i="2"/>
  <c r="DT105" i="2"/>
  <c r="DT21" i="2"/>
  <c r="DT193" i="2"/>
  <c r="DT10" i="2"/>
  <c r="DT174" i="2"/>
  <c r="DT123" i="2"/>
  <c r="DT190" i="2"/>
  <c r="DT102" i="2"/>
  <c r="DT104" i="2"/>
  <c r="DT202" i="2"/>
  <c r="DT154" i="2"/>
  <c r="DT46" i="2"/>
  <c r="DT163" i="2"/>
  <c r="DT44" i="2"/>
  <c r="DT119" i="2"/>
  <c r="DT78" i="2"/>
  <c r="DT50" i="2"/>
  <c r="DT9" i="2"/>
  <c r="DT149" i="2"/>
  <c r="DT80" i="2"/>
  <c r="DT19" i="2"/>
  <c r="DT11" i="2"/>
  <c r="DT95" i="2"/>
  <c r="DT186" i="2"/>
  <c r="DT16" i="2"/>
  <c r="DT49" i="2"/>
  <c r="DT90" i="2"/>
  <c r="DT91" i="2"/>
  <c r="DT92" i="2"/>
  <c r="DT153" i="2"/>
  <c r="DT35" i="2"/>
  <c r="DT12" i="2"/>
  <c r="DT121" i="2"/>
  <c r="DT143" i="2"/>
  <c r="DT140" i="2"/>
  <c r="DT72" i="2"/>
  <c r="DT108" i="2"/>
  <c r="DT7" i="2"/>
  <c r="DT54" i="2"/>
  <c r="DT83" i="2"/>
  <c r="DT93" i="2"/>
  <c r="DT197" i="2"/>
  <c r="DT76" i="2"/>
  <c r="DT180" i="2"/>
  <c r="DT142" i="2"/>
  <c r="DT117" i="2"/>
  <c r="DT32" i="2"/>
  <c r="DT184" i="2"/>
  <c r="DT29" i="2"/>
  <c r="DT97" i="2"/>
  <c r="DT14" i="2"/>
  <c r="DT23" i="2"/>
  <c r="DT55" i="2"/>
  <c r="DT164" i="2"/>
  <c r="DT124" i="2"/>
  <c r="DT28" i="2"/>
  <c r="DT30" i="2"/>
  <c r="DT53" i="2"/>
  <c r="DT156" i="2"/>
  <c r="DT161" i="2"/>
  <c r="DT24" i="2"/>
  <c r="DT20" i="2"/>
  <c r="DT194" i="2"/>
  <c r="DT96" i="2"/>
  <c r="DT189" i="2"/>
  <c r="DT3" i="2"/>
  <c r="C11" i="4" s="1"/>
  <c r="E11" i="4" s="1"/>
  <c r="F11" i="4" s="1"/>
  <c r="G11" i="4" s="1"/>
  <c r="L11" i="4" s="1"/>
  <c r="DT196" i="2"/>
  <c r="DT135" i="2"/>
  <c r="DT81" i="2"/>
  <c r="DT141" i="2"/>
  <c r="DT63" i="2"/>
  <c r="DT127" i="2"/>
  <c r="DT169" i="2"/>
  <c r="DT125" i="2"/>
  <c r="DT188" i="2"/>
  <c r="DT118" i="2"/>
  <c r="DT82" i="2"/>
  <c r="DT39" i="2"/>
  <c r="DT201" i="2"/>
  <c r="DT43" i="2"/>
  <c r="DT103" i="2"/>
  <c r="DT110" i="2"/>
  <c r="DT106" i="2"/>
  <c r="DT31" i="2"/>
  <c r="DT191" i="2"/>
  <c r="DT175" i="2"/>
  <c r="DT138" i="2"/>
  <c r="DT200" i="2"/>
  <c r="DT185" i="2"/>
  <c r="DT77" i="2"/>
  <c r="DT177" i="2"/>
  <c r="DT112" i="2"/>
  <c r="DT152" i="2"/>
  <c r="DT139" i="2"/>
  <c r="DT187" i="2"/>
  <c r="DT155" i="2"/>
  <c r="DT183" i="2"/>
  <c r="DT79" i="2"/>
  <c r="DT42" i="2"/>
  <c r="DT87" i="2"/>
  <c r="DT158" i="2"/>
  <c r="DT41" i="2"/>
  <c r="DT66" i="2"/>
  <c r="DT5" i="2"/>
  <c r="DT134" i="2"/>
  <c r="DT148" i="2"/>
  <c r="DT73" i="2"/>
  <c r="DT51" i="2"/>
  <c r="DT132" i="2"/>
  <c r="DT47" i="2"/>
  <c r="DT166" i="2"/>
  <c r="DT130" i="2"/>
  <c r="DT129" i="2"/>
  <c r="DT147" i="2"/>
  <c r="DT162" i="2"/>
  <c r="DT45" i="2"/>
  <c r="DT18" i="2"/>
  <c r="DT120" i="2"/>
  <c r="DT168" i="2"/>
  <c r="DT113" i="2"/>
  <c r="DT137" i="2"/>
  <c r="DT179" i="2"/>
  <c r="DT128" i="2"/>
  <c r="DT203" i="2"/>
  <c r="DT4" i="2"/>
  <c r="DT34" i="2"/>
  <c r="DT165" i="2"/>
  <c r="DT146" i="2"/>
  <c r="DT33" i="2"/>
  <c r="DT150" i="2"/>
  <c r="DT67" i="2"/>
  <c r="DT99" i="2"/>
  <c r="DT84" i="2"/>
  <c r="DT6" i="2"/>
  <c r="DT100" i="2"/>
  <c r="DT26" i="2"/>
  <c r="DT115" i="2"/>
  <c r="FJ81" i="2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<sst xmlns="http://schemas.openxmlformats.org/spreadsheetml/2006/main" count="1149" uniqueCount="325">
  <si>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</si>
  <si>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</si>
  <si>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</si>
  <si>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</si>
  <si>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</si>
  <si>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</si>
  <si>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</si>
  <si>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</si>
  <si>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</si>
  <si>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</si>
  <si>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</si>
  <si>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</si>
  <si>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</si>
  <si>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</si>
  <si>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</si>
  <si>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</si>
  <si>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</si>
  <si>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</si>
  <si>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</si>
  <si>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</si>
  <si>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</si>
  <si>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</si>
  <si>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</si>
  <si>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</si>
  <si>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</si>
  <si>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</si>
  <si>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</si>
  <si>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</si>
  <si>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</si>
  <si>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</si>
  <si>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</si>
  <si>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</si>
  <si>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</si>
  <si>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</si>
  <si>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</si>
  <si>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</si>
  <si>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</si>
  <si>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</si>
  <si>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</si>
  <si>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</si>
  <si>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</si>
  <si>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</si>
  <si>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</si>
  <si>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</si>
  <si>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</si>
  <si>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</si>
  <si>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</si>
  <si>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</si>
  <si>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</si>
  <si>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</si>
  <si>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</si>
  <si>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</si>
  <si>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</si>
  <si>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</si>
  <si>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</si>
  <si>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</si>
  <si>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</si>
  <si>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</si>
  <si>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</si>
  <si>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</si>
  <si>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</si>
  <si>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</si>
  <si>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</si>
  <si>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</si>
  <si>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</si>
  <si>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</si>
  <si>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</si>
  <si>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</si>
  <si>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</si>
  <si>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</si>
  <si>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</si>
  <si>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</si>
  <si>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</si>
  <si>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</si>
  <si>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</si>
  <si>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</si>
  <si>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</si>
  <si>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</si>
  <si>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</si>
  <si>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</si>
  <si>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</si>
  <si>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</si>
  <si>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</si>
  <si>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</si>
  <si>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</si>
  <si>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</si>
  <si>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</si>
  <si>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</si>
  <si>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</si>
  <si>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</si>
  <si>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</si>
  <si>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</si>
  <si>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</si>
  <si>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</si>
  <si>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</si>
  <si>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</si>
  <si>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</si>
  <si>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</si>
  <si>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</si>
  <si>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</si>
  <si>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</si>
  <si>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</si>
  <si>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</si>
  <si>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</si>
  <si>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</si>
  <si>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</si>
  <si>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</si>
  <si>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</si>
  <si>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</si>
  <si>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</si>
  <si>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</si>
  <si>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</si>
  <si>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</si>
  <si>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</si>
  <si>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</si>
  <si>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</si>
  <si>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</si>
  <si>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</si>
  <si>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</si>
  <si>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</si>
  <si>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</si>
  <si>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</si>
  <si>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</si>
  <si>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</si>
  <si>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</si>
  <si>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</si>
  <si>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</si>
  <si>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</si>
  <si>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</si>
  <si>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</si>
  <si>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</si>
  <si>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</si>
  <si>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</si>
  <si>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</si>
  <si>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</si>
  <si>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</si>
  <si>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</si>
  <si>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</si>
  <si>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</si>
  <si>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</si>
  <si>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</si>
  <si>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</si>
  <si>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</si>
  <si>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</si>
  <si>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</si>
  <si>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</si>
  <si>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</si>
  <si>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</si>
  <si>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</si>
  <si>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</si>
  <si>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</si>
  <si>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</si>
  <si>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</si>
  <si>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</si>
  <si>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</si>
  <si>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</si>
  <si>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</si>
  <si>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</si>
  <si>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</si>
  <si>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</si>
  <si>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</si>
  <si>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</si>
  <si>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</si>
  <si>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</si>
  <si>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</si>
  <si>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</si>
  <si>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</si>
  <si>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</si>
  <si>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</si>
  <si>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</si>
  <si>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</si>
  <si>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</si>
  <si>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</si>
  <si>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</si>
  <si>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</si>
  <si>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</si>
  <si>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</si>
  <si>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</si>
  <si>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</si>
  <si>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</si>
  <si>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</si>
  <si>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</si>
  <si>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</si>
  <si>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</si>
  <si>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</si>
  <si>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</si>
  <si>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</si>
  <si>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</si>
  <si>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</si>
  <si>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</si>
  <si>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</si>
  <si>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</si>
  <si>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</si>
  <si>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</si>
  <si>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</si>
  <si>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</si>
  <si>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</si>
  <si>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</si>
  <si>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</si>
  <si>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</si>
  <si>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</si>
  <si>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</si>
  <si>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</si>
  <si>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</si>
  <si>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</si>
  <si>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</si>
  <si>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</si>
  <si>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</si>
  <si>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</si>
  <si>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</si>
  <si>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</si>
  <si>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</si>
  <si>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</si>
  <si>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</si>
  <si>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</si>
  <si>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</si>
  <si>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</si>
  <si>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</si>
  <si>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</si>
  <si>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</si>
  <si>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</si>
  <si>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</si>
  <si>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</si>
  <si>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</si>
  <si>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</si>
  <si>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</si>
  <si>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</si>
  <si>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</si>
  <si>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</si>
  <si>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</si>
  <si>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</si>
  <si>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</si>
  <si>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</si>
  <si>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</si>
  <si>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</si>
  <si>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</si>
  <si>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</si>
  <si>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</si>
  <si>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</si>
  <si>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</si>
  <si>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</si>
  <si>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</si>
  <si>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</si>
  <si>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</si>
  <si>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</si>
  <si>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</si>
  <si>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</si>
  <si>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</si>
  <si>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</si>
  <si>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</si>
  <si>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</si>
  <si>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</si>
  <si>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</si>
  <si>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</si>
  <si>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</si>
  <si>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</si>
  <si>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</si>
  <si>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</si>
  <si>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</si>
  <si>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</si>
  <si>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</si>
  <si>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</si>
  <si>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</si>
  <si>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</si>
  <si>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</si>
  <si>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</si>
  <si>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</si>
  <si>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</si>
  <si>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</si>
  <si>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</si>
  <si>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</si>
  <si>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</si>
  <si>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</si>
  <si>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</si>
  <si>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</si>
  <si>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</si>
  <si>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</si>
  <si>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</si>
  <si>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</si>
  <si>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</si>
  <si>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</si>
  <si>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</si>
  <si>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</si>
  <si>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</si>
  <si>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</si>
  <si>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</si>
  <si>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</si>
  <si>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</si>
  <si>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</si>
  <si>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</si>
  <si>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</si>
  <si>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</si>
  <si>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</si>
  <si>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</si>
  <si>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</si>
  <si>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</si>
  <si>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</si>
  <si>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</si>
  <si>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</si>
  <si>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</si>
  <si>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</si>
  <si>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</si>
  <si>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</si>
  <si>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</si>
  <si>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</si>
  <si>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</si>
  <si>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</si>
  <si>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</si>
  <si>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</si>
  <si>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</si>
  <si>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</si>
  <si>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</si>
  <si>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</si>
  <si>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</si>
  <si>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</si>
  <si>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</si>
  <si>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</si>
  <si>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</si>
  <si>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</si>
  <si>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</si>
  <si>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</si>
  <si>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</si>
  <si>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</si>
  <si>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</si>
  <si>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verif si table Oosterban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</si>
</sst>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protection hidden="1"/>
    </xf>
    <xf numFmtId="0" fontId="30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9" fillId="14" borderId="1" xfId="0" applyNumberFormat="1" applyFont="1" applyFill="1" applyBorder="1" applyAlignment="1" applyProtection="1">
      <alignment horizontal="center"/>
      <protection locked="0"/>
    </xf>
    <xf numFmtId="0" fontId="9" fillId="14" borderId="1" xfId="0" quotePrefix="1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362.47537972225456</c:v>
                </c:pt>
                <c:pt idx="57">
                  <c:v>376.74979957167847</c:v>
                </c:pt>
                <c:pt idx="58">
                  <c:v>391.01244634100391</c:v>
                </c:pt>
                <c:pt idx="59">
                  <c:v>405.26380992187268</c:v>
                </c:pt>
                <c:pt idx="60">
                  <c:v>419.5043429424822</c:v>
                </c:pt>
                <c:pt idx="61">
                  <c:v>433.73446479724709</c:v>
                </c:pt>
                <c:pt idx="62">
                  <c:v>447.95456512007013</c:v>
                </c:pt>
                <c:pt idx="63">
                  <c:v>462.16500679362139</c:v>
                </c:pt>
                <c:pt idx="64">
                  <c:v>476.36612856926172</c:v>
                </c:pt>
                <c:pt idx="65">
                  <c:v>490.55824735832431</c:v>
                </c:pt>
                <c:pt idx="66">
                  <c:v>422.38965536388542</c:v>
                </c:pt>
                <c:pt idx="67">
                  <c:v>434.88781420496662</c:v>
                </c:pt>
                <c:pt idx="68">
                  <c:v>447.37826477754771</c:v>
                </c:pt>
                <c:pt idx="69">
                  <c:v>459.86125261266943</c:v>
                </c:pt>
                <c:pt idx="70">
                  <c:v>472.33700882458038</c:v>
                </c:pt>
                <c:pt idx="71">
                  <c:v>484.80575132371087</c:v>
                </c:pt>
                <c:pt idx="72">
                  <c:v>497.26768589837224</c:v>
                </c:pt>
                <c:pt idx="73">
                  <c:v>509.72300718239177</c:v>
                </c:pt>
                <c:pt idx="74">
                  <c:v>522.17189952326009</c:v>
                </c:pt>
                <c:pt idx="75">
                  <c:v>534.61453776319547</c:v>
                </c:pt>
                <c:pt idx="76">
                  <c:v>465.42823942861156</c:v>
                </c:pt>
                <c:pt idx="77">
                  <c:v>476.74981634160116</c:v>
                </c:pt>
                <c:pt idx="78">
                  <c:v>488.06567585482838</c:v>
                </c:pt>
                <c:pt idx="79">
                  <c:v>499.37596921206176</c:v>
                </c:pt>
                <c:pt idx="80">
                  <c:v>510.68084024737658</c:v>
                </c:pt>
                <c:pt idx="81">
                  <c:v>521.98042590764032</c:v>
                </c:pt>
                <c:pt idx="82">
                  <c:v>533.27485672740818</c:v>
                </c:pt>
                <c:pt idx="83">
                  <c:v>544.56425726149644</c:v>
                </c:pt>
                <c:pt idx="84">
                  <c:v>555.84874647982679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529.44680579622752</c:v>
                </c:pt>
                <c:pt idx="137">
                  <c:v>531.93510488968582</c:v>
                </c:pt>
                <c:pt idx="138">
                  <c:v>534.42315908520197</c:v>
                </c:pt>
                <c:pt idx="139">
                  <c:v>536.910969684826</c:v>
                </c:pt>
                <c:pt idx="140">
                  <c:v>539.39853797754631</c:v>
                </c:pt>
                <c:pt idx="141">
                  <c:v>541.88586523948254</c:v>
                </c:pt>
                <c:pt idx="142">
                  <c:v>544.37295273407346</c:v>
                </c:pt>
                <c:pt idx="143">
                  <c:v>546.85980171226095</c:v>
                </c:pt>
                <c:pt idx="144">
                  <c:v>549.34641341267195</c:v>
                </c:pt>
                <c:pt idx="145">
                  <c:v>551.83278906179635</c:v>
                </c:pt>
                <c:pt idx="146">
                  <c:v>556.0399673483945</c:v>
                </c:pt>
                <c:pt idx="147">
                  <c:v>560.24647888927836</c:v>
                </c:pt>
                <c:pt idx="148">
                  <c:v>564.45232939981543</c:v>
                </c:pt>
                <c:pt idx="149">
                  <c:v>568.65752450320326</c:v>
                </c:pt>
                <c:pt idx="150">
                  <c:v>572.86206973264234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343584"/>
        <c:axId val="802898816"/>
      </c:scatterChart>
      <c:valAx>
        <c:axId val="80434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2898816"/>
        <c:crosses val="autoZero"/>
        <c:crossBetween val="midCat"/>
      </c:valAx>
      <c:valAx>
        <c:axId val="80289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434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63600"/>
        <c:axId val="115250544"/>
      </c:scatterChart>
      <c:valAx>
        <c:axId val="11526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50544"/>
        <c:crosses val="autoZero"/>
        <c:crossBetween val="midCat"/>
      </c:valAx>
      <c:valAx>
        <c:axId val="11525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196.18744401776075</c:v>
                </c:pt>
                <c:pt idx="32">
                  <c:v>210.74915945166413</c:v>
                </c:pt>
                <c:pt idx="33">
                  <c:v>225.28767604319728</c:v>
                </c:pt>
                <c:pt idx="34">
                  <c:v>239.8047021341722</c:v>
                </c:pt>
                <c:pt idx="35">
                  <c:v>254.30172220416441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269.50348353777451</c:v>
                </c:pt>
                <c:pt idx="42">
                  <c:v>284.68594869794055</c:v>
                </c:pt>
                <c:pt idx="43">
                  <c:v>299.85029171072807</c:v>
                </c:pt>
                <c:pt idx="44">
                  <c:v>314.99755813323162</c:v>
                </c:pt>
                <c:pt idx="45">
                  <c:v>330.12868474355969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385.8430670819634</c:v>
                </c:pt>
                <c:pt idx="55">
                  <c:v>400.19142935914965</c:v>
                </c:pt>
                <c:pt idx="56">
                  <c:v>338.04835834418935</c:v>
                </c:pt>
                <c:pt idx="57">
                  <c:v>351.35865581477151</c:v>
                </c:pt>
                <c:pt idx="58">
                  <c:v>364.65790058872409</c:v>
                </c:pt>
                <c:pt idx="59">
                  <c:v>377.94655258168945</c:v>
                </c:pt>
                <c:pt idx="60">
                  <c:v>391.22503672598026</c:v>
                </c:pt>
                <c:pt idx="61">
                  <c:v>404.49374675366971</c:v>
                </c:pt>
                <c:pt idx="62">
                  <c:v>417.75304845733581</c:v>
                </c:pt>
                <c:pt idx="63">
                  <c:v>431.00328251520659</c:v>
                </c:pt>
                <c:pt idx="64">
                  <c:v>444.24476695077254</c:v>
                </c:pt>
                <c:pt idx="65">
                  <c:v>457.47779928386626</c:v>
                </c:pt>
                <c:pt idx="66">
                  <c:v>393.91541769108954</c:v>
                </c:pt>
                <c:pt idx="67">
                  <c:v>405.56917103469488</c:v>
                </c:pt>
                <c:pt idx="68">
                  <c:v>417.21568777134968</c:v>
                </c:pt>
                <c:pt idx="69">
                  <c:v>428.85519840828584</c:v>
                </c:pt>
                <c:pt idx="70">
                  <c:v>440.48791991809298</c:v>
                </c:pt>
                <c:pt idx="71">
                  <c:v>452.11405687747151</c:v>
                </c:pt>
                <c:pt idx="72">
                  <c:v>463.73380248274333</c:v>
                </c:pt>
                <c:pt idx="73">
                  <c:v>475.34733945827878</c:v>
                </c:pt>
                <c:pt idx="74">
                  <c:v>486.95484087152255</c:v>
                </c:pt>
                <c:pt idx="75">
                  <c:v>498.55647086626544</c:v>
                </c:pt>
                <c:pt idx="76">
                  <c:v>434.04600819095316</c:v>
                </c:pt>
                <c:pt idx="77">
                  <c:v>444.60252630877903</c:v>
                </c:pt>
                <c:pt idx="78">
                  <c:v>455.15367686904523</c:v>
                </c:pt>
                <c:pt idx="79">
                  <c:v>465.69960186105919</c:v>
                </c:pt>
                <c:pt idx="80">
                  <c:v>476.24043631782729</c:v>
                </c:pt>
                <c:pt idx="81">
                  <c:v>486.77630880656972</c:v>
                </c:pt>
                <c:pt idx="82">
                  <c:v>497.30734187455755</c:v>
                </c:pt>
                <c:pt idx="83">
                  <c:v>507.83365245521713</c:v>
                </c:pt>
                <c:pt idx="84">
                  <c:v>518.35535223881504</c:v>
                </c:pt>
                <c:pt idx="85">
                  <c:v>528.87254801147856</c:v>
                </c:pt>
                <c:pt idx="86">
                  <c:v>463.19764456024473</c:v>
                </c:pt>
                <c:pt idx="87">
                  <c:v>472.48918916409252</c:v>
                </c:pt>
                <c:pt idx="88">
                  <c:v>481.77684446495124</c:v>
                </c:pt>
                <c:pt idx="89">
                  <c:v>491.06069603012844</c:v>
                </c:pt>
                <c:pt idx="90">
                  <c:v>500.34082592690078</c:v>
                </c:pt>
                <c:pt idx="91">
                  <c:v>509.61731292933626</c:v>
                </c:pt>
                <c:pt idx="92">
                  <c:v>518.89023270927692</c:v>
                </c:pt>
                <c:pt idx="93">
                  <c:v>528.15965801295647</c:v>
                </c:pt>
                <c:pt idx="94">
                  <c:v>537.42565882457359</c:v>
                </c:pt>
                <c:pt idx="95">
                  <c:v>546.6883025179983</c:v>
                </c:pt>
                <c:pt idx="96">
                  <c:v>480.16964020909967</c:v>
                </c:pt>
                <c:pt idx="97">
                  <c:v>488.56156699732747</c:v>
                </c:pt>
                <c:pt idx="98">
                  <c:v>496.95043567656421</c:v>
                </c:pt>
                <c:pt idx="99">
                  <c:v>505.33630516496095</c:v>
                </c:pt>
                <c:pt idx="100">
                  <c:v>513.71923226517583</c:v>
                </c:pt>
                <c:pt idx="101">
                  <c:v>522.0992717743585</c:v>
                </c:pt>
                <c:pt idx="102">
                  <c:v>530.47647658670951</c:v>
                </c:pt>
                <c:pt idx="103">
                  <c:v>538.85089778922145</c:v>
                </c:pt>
                <c:pt idx="104">
                  <c:v>547.22258475115893</c:v>
                </c:pt>
                <c:pt idx="105">
                  <c:v>555.59158520777828</c:v>
                </c:pt>
                <c:pt idx="106">
                  <c:v>489.6326554281618</c:v>
                </c:pt>
                <c:pt idx="107">
                  <c:v>496.77198054139399</c:v>
                </c:pt>
                <c:pt idx="108">
                  <c:v>503.9091324552781</c:v>
                </c:pt>
                <c:pt idx="109">
                  <c:v>511.04414630438441</c:v>
                </c:pt>
                <c:pt idx="110">
                  <c:v>518.17705616178932</c:v>
                </c:pt>
                <c:pt idx="111">
                  <c:v>525.30789508563589</c:v>
                </c:pt>
                <c:pt idx="112">
                  <c:v>532.4366951630326</c:v>
                </c:pt>
                <c:pt idx="113">
                  <c:v>539.56348755148122</c:v>
                </c:pt>
                <c:pt idx="114">
                  <c:v>546.6883025179983</c:v>
                </c:pt>
                <c:pt idx="115">
                  <c:v>553.811169476092</c:v>
                </c:pt>
                <c:pt idx="116">
                  <c:v>493.91651328433591</c:v>
                </c:pt>
                <c:pt idx="117">
                  <c:v>499.98396570940207</c:v>
                </c:pt>
                <c:pt idx="118">
                  <c:v>506.04985953638516</c:v>
                </c:pt>
                <c:pt idx="119">
                  <c:v>512.11421609335571</c:v>
                </c:pt>
                <c:pt idx="120">
                  <c:v>518.1770561617891</c:v>
                </c:pt>
                <c:pt idx="121">
                  <c:v>524.23839999694576</c:v>
                </c:pt>
                <c:pt idx="122">
                  <c:v>530.29826734726021</c:v>
                </c:pt>
                <c:pt idx="123">
                  <c:v>536.35667747279706</c:v>
                </c:pt>
                <c:pt idx="124">
                  <c:v>542.41364916282942</c:v>
                </c:pt>
                <c:pt idx="125">
                  <c:v>548.46920075259197</c:v>
                </c:pt>
                <c:pt idx="126">
                  <c:v>494.98735439698572</c:v>
                </c:pt>
                <c:pt idx="127">
                  <c:v>500.34082592689998</c:v>
                </c:pt>
                <c:pt idx="128">
                  <c:v>505.69308501237475</c:v>
                </c:pt>
                <c:pt idx="129">
                  <c:v>511.04414630438401</c:v>
                </c:pt>
                <c:pt idx="130">
                  <c:v>516.39402412186928</c:v>
                </c:pt>
                <c:pt idx="131">
                  <c:v>521.74273246270116</c:v>
                </c:pt>
                <c:pt idx="132">
                  <c:v>527.09028501417129</c:v>
                </c:pt>
                <c:pt idx="133">
                  <c:v>532.43669516303225</c:v>
                </c:pt>
                <c:pt idx="134">
                  <c:v>537.78197600511669</c:v>
                </c:pt>
                <c:pt idx="135">
                  <c:v>543.12614035455169</c:v>
                </c:pt>
                <c:pt idx="136">
                  <c:v>493.73803498376492</c:v>
                </c:pt>
                <c:pt idx="137">
                  <c:v>496.05814641321695</c:v>
                </c:pt>
                <c:pt idx="138">
                  <c:v>498.3780279297967</c:v>
                </c:pt>
                <c:pt idx="139">
                  <c:v>500.69768075588291</c:v>
                </c:pt>
                <c:pt idx="140">
                  <c:v>503.01710610159267</c:v>
                </c:pt>
                <c:pt idx="141">
                  <c:v>505.33630516496072</c:v>
                </c:pt>
                <c:pt idx="142">
                  <c:v>507.65527913211662</c:v>
                </c:pt>
                <c:pt idx="143">
                  <c:v>509.97402917745893</c:v>
                </c:pt>
                <c:pt idx="144">
                  <c:v>512.29255646382444</c:v>
                </c:pt>
                <c:pt idx="145">
                  <c:v>514.61086214265481</c:v>
                </c:pt>
                <c:pt idx="146">
                  <c:v>518.53364702206522</c:v>
                </c:pt>
                <c:pt idx="147">
                  <c:v>522.45580595329147</c:v>
                </c:pt>
                <c:pt idx="148">
                  <c:v>526.37734430198316</c:v>
                </c:pt>
                <c:pt idx="149">
                  <c:v>530.29826734726021</c:v>
                </c:pt>
                <c:pt idx="150">
                  <c:v>534.21858028375152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883584"/>
        <c:axId val="802884672"/>
      </c:scatterChart>
      <c:valAx>
        <c:axId val="80288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2884672"/>
        <c:crosses val="autoZero"/>
        <c:crossBetween val="midCat"/>
      </c:valAx>
      <c:valAx>
        <c:axId val="80288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288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22.26410252591506</c:v>
                </c:pt>
                <c:pt idx="12">
                  <c:v>30.321350009772043</c:v>
                </c:pt>
                <c:pt idx="13">
                  <c:v>38.318592627680772</c:v>
                </c:pt>
                <c:pt idx="14">
                  <c:v>46.270260420927961</c:v>
                </c:pt>
                <c:pt idx="15">
                  <c:v>54.185344096716108</c:v>
                </c:pt>
                <c:pt idx="16">
                  <c:v>69.056555076049875</c:v>
                </c:pt>
                <c:pt idx="17">
                  <c:v>83.845066251555863</c:v>
                </c:pt>
                <c:pt idx="18">
                  <c:v>98.567603316544265</c:v>
                </c:pt>
                <c:pt idx="19">
                  <c:v>113.23544270500661</c:v>
                </c:pt>
                <c:pt idx="20">
                  <c:v>127.85668337074144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180.30263622653698</c:v>
                </c:pt>
                <c:pt idx="27">
                  <c:v>191.36855633024655</c:v>
                </c:pt>
                <c:pt idx="28">
                  <c:v>202.41958191649721</c:v>
                </c:pt>
                <c:pt idx="29">
                  <c:v>213.45664137520603</c:v>
                </c:pt>
                <c:pt idx="30">
                  <c:v>224.48055915021391</c:v>
                </c:pt>
                <c:pt idx="31">
                  <c:v>180.87049769568833</c:v>
                </c:pt>
                <c:pt idx="32">
                  <c:v>191.08500506258929</c:v>
                </c:pt>
                <c:pt idx="33">
                  <c:v>201.28680095639413</c:v>
                </c:pt>
                <c:pt idx="34">
                  <c:v>211.47662103053383</c:v>
                </c:pt>
                <c:pt idx="35">
                  <c:v>221.65512417668984</c:v>
                </c:pt>
                <c:pt idx="36">
                  <c:v>231.54060536306486</c:v>
                </c:pt>
                <c:pt idx="37">
                  <c:v>241.41644483936727</c:v>
                </c:pt>
                <c:pt idx="38">
                  <c:v>251.28309296155342</c:v>
                </c:pt>
                <c:pt idx="39">
                  <c:v>261.14096179913935</c:v>
                </c:pt>
                <c:pt idx="40">
                  <c:v>270.99042974399345</c:v>
                </c:pt>
                <c:pt idx="41">
                  <c:v>219.39418126734577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263.67447005481591</c:v>
                </c:pt>
                <c:pt idx="47">
                  <c:v>271.83429043682327</c:v>
                </c:pt>
                <c:pt idx="48">
                  <c:v>279.98860279382762</c:v>
                </c:pt>
                <c:pt idx="49">
                  <c:v>288.1375903253072</c:v>
                </c:pt>
                <c:pt idx="50">
                  <c:v>296.28142501216286</c:v>
                </c:pt>
                <c:pt idx="51">
                  <c:v>243.6724735811645</c:v>
                </c:pt>
                <c:pt idx="52">
                  <c:v>251.56486631652953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275.20914595206574</c:v>
                </c:pt>
                <c:pt idx="56">
                  <c:v>282.23712370144091</c:v>
                </c:pt>
                <c:pt idx="57">
                  <c:v>289.26118046969765</c:v>
                </c:pt>
                <c:pt idx="58">
                  <c:v>296.2814250121628</c:v>
                </c:pt>
                <c:pt idx="59">
                  <c:v>303.29796050375188</c:v>
                </c:pt>
                <c:pt idx="60">
                  <c:v>310.31088495066086</c:v>
                </c:pt>
                <c:pt idx="61">
                  <c:v>262.26703366253628</c:v>
                </c:pt>
                <c:pt idx="62">
                  <c:v>269.02119109240988</c:v>
                </c:pt>
                <c:pt idx="63">
                  <c:v>275.77153112750085</c:v>
                </c:pt>
                <c:pt idx="64">
                  <c:v>282.51816051208368</c:v>
                </c:pt>
                <c:pt idx="65">
                  <c:v>289.26118046969776</c:v>
                </c:pt>
                <c:pt idx="66">
                  <c:v>295.43919348931178</c:v>
                </c:pt>
                <c:pt idx="67">
                  <c:v>301.61432492529298</c:v>
                </c:pt>
                <c:pt idx="68">
                  <c:v>307.78664217339764</c:v>
                </c:pt>
                <c:pt idx="69">
                  <c:v>313.95620970229157</c:v>
                </c:pt>
                <c:pt idx="70">
                  <c:v>320.12308923699339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287.8566774911713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304.42026859998913</c:v>
                </c:pt>
                <c:pt idx="77">
                  <c:v>309.7499816568681</c:v>
                </c:pt>
                <c:pt idx="78">
                  <c:v>315.07765869370627</c:v>
                </c:pt>
                <c:pt idx="79">
                  <c:v>320.40333904330799</c:v>
                </c:pt>
                <c:pt idx="80">
                  <c:v>325.72706062244129</c:v>
                </c:pt>
                <c:pt idx="81">
                  <c:v>287.29483341742736</c:v>
                </c:pt>
                <c:pt idx="82">
                  <c:v>292.35055150938075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312.27386950303764</c:v>
                </c:pt>
                <c:pt idx="87">
                  <c:v>317.03998171357262</c:v>
                </c:pt>
                <c:pt idx="88">
                  <c:v>321.80450679845393</c:v>
                </c:pt>
                <c:pt idx="89">
                  <c:v>326.56747160647166</c:v>
                </c:pt>
                <c:pt idx="90">
                  <c:v>331.32890213821264</c:v>
                </c:pt>
                <c:pt idx="91">
                  <c:v>3.5340687393033375E-12</c:v>
                </c:pt>
                <c:pt idx="92">
                  <c:v>3.5340687393033375E-12</c:v>
                </c:pt>
                <c:pt idx="93">
                  <c:v>3.5340687393033375E-12</c:v>
                </c:pt>
                <c:pt idx="94">
                  <c:v>3.5340687393033375E-12</c:v>
                </c:pt>
                <c:pt idx="95">
                  <c:v>3.5340687393033375E-12</c:v>
                </c:pt>
                <c:pt idx="96">
                  <c:v>3.5340687393033375E-12</c:v>
                </c:pt>
                <c:pt idx="97">
                  <c:v>3.5340687393033375E-12</c:v>
                </c:pt>
                <c:pt idx="98">
                  <c:v>3.5340687393033375E-12</c:v>
                </c:pt>
                <c:pt idx="99">
                  <c:v>3.5340687393033375E-12</c:v>
                </c:pt>
                <c:pt idx="100">
                  <c:v>3.5340687393033375E-12</c:v>
                </c:pt>
                <c:pt idx="101">
                  <c:v>3.5340687393033375E-12</c:v>
                </c:pt>
                <c:pt idx="102">
                  <c:v>3.5340687393033375E-12</c:v>
                </c:pt>
                <c:pt idx="103">
                  <c:v>3.5340687393033375E-12</c:v>
                </c:pt>
                <c:pt idx="104">
                  <c:v>3.5340687393033375E-12</c:v>
                </c:pt>
                <c:pt idx="105">
                  <c:v>3.5340687393033375E-12</c:v>
                </c:pt>
                <c:pt idx="106">
                  <c:v>3.5340687393033375E-12</c:v>
                </c:pt>
                <c:pt idx="107">
                  <c:v>3.5340687393033375E-12</c:v>
                </c:pt>
                <c:pt idx="108">
                  <c:v>3.5340687393033375E-12</c:v>
                </c:pt>
                <c:pt idx="109">
                  <c:v>3.5340687393033375E-12</c:v>
                </c:pt>
                <c:pt idx="110">
                  <c:v>3.5340687393033375E-12</c:v>
                </c:pt>
                <c:pt idx="111">
                  <c:v>3.5340687393033375E-12</c:v>
                </c:pt>
                <c:pt idx="112">
                  <c:v>3.5340687393033375E-12</c:v>
                </c:pt>
                <c:pt idx="113">
                  <c:v>3.5340687393033375E-12</c:v>
                </c:pt>
                <c:pt idx="114">
                  <c:v>3.5340687393033375E-12</c:v>
                </c:pt>
                <c:pt idx="115">
                  <c:v>3.5340687393033375E-12</c:v>
                </c:pt>
                <c:pt idx="116">
                  <c:v>3.5340687393033375E-12</c:v>
                </c:pt>
                <c:pt idx="117">
                  <c:v>3.5340687393033375E-12</c:v>
                </c:pt>
                <c:pt idx="118">
                  <c:v>3.5340687393033375E-12</c:v>
                </c:pt>
                <c:pt idx="119">
                  <c:v>3.5340687393033375E-12</c:v>
                </c:pt>
                <c:pt idx="120">
                  <c:v>3.5340687393033375E-12</c:v>
                </c:pt>
                <c:pt idx="121">
                  <c:v>3.5340687393033375E-12</c:v>
                </c:pt>
                <c:pt idx="122">
                  <c:v>3.5340687393033375E-12</c:v>
                </c:pt>
                <c:pt idx="123">
                  <c:v>3.5340687393033375E-12</c:v>
                </c:pt>
                <c:pt idx="124">
                  <c:v>3.5340687393033375E-12</c:v>
                </c:pt>
                <c:pt idx="125">
                  <c:v>3.5340687393033375E-12</c:v>
                </c:pt>
                <c:pt idx="126">
                  <c:v>3.5340687393033375E-12</c:v>
                </c:pt>
                <c:pt idx="127">
                  <c:v>3.5340687393033375E-12</c:v>
                </c:pt>
                <c:pt idx="128">
                  <c:v>3.5340687393033375E-12</c:v>
                </c:pt>
                <c:pt idx="129">
                  <c:v>3.5340687393033375E-12</c:v>
                </c:pt>
                <c:pt idx="130">
                  <c:v>3.5340687393033375E-12</c:v>
                </c:pt>
                <c:pt idx="131">
                  <c:v>3.5340687393033375E-12</c:v>
                </c:pt>
                <c:pt idx="132">
                  <c:v>3.5340687393033375E-12</c:v>
                </c:pt>
                <c:pt idx="133">
                  <c:v>3.5340687393033375E-12</c:v>
                </c:pt>
                <c:pt idx="134">
                  <c:v>3.5340687393033375E-12</c:v>
                </c:pt>
                <c:pt idx="135">
                  <c:v>3.5340687393033375E-12</c:v>
                </c:pt>
                <c:pt idx="136">
                  <c:v>3.5340687393033375E-12</c:v>
                </c:pt>
                <c:pt idx="137">
                  <c:v>3.5340687393033375E-12</c:v>
                </c:pt>
                <c:pt idx="138">
                  <c:v>3.5340687393033375E-12</c:v>
                </c:pt>
                <c:pt idx="139">
                  <c:v>3.5340687393033375E-12</c:v>
                </c:pt>
                <c:pt idx="140">
                  <c:v>3.5340687393033375E-12</c:v>
                </c:pt>
                <c:pt idx="141">
                  <c:v>3.5340687393033375E-12</c:v>
                </c:pt>
                <c:pt idx="142">
                  <c:v>3.5340687393033375E-12</c:v>
                </c:pt>
                <c:pt idx="143">
                  <c:v>3.5340687393033375E-12</c:v>
                </c:pt>
                <c:pt idx="144">
                  <c:v>3.5340687393033375E-12</c:v>
                </c:pt>
                <c:pt idx="145">
                  <c:v>3.5340687393033375E-12</c:v>
                </c:pt>
                <c:pt idx="146">
                  <c:v>3.5340687393033375E-12</c:v>
                </c:pt>
                <c:pt idx="147">
                  <c:v>3.5340687393033375E-12</c:v>
                </c:pt>
                <c:pt idx="148">
                  <c:v>3.5340687393033375E-12</c:v>
                </c:pt>
                <c:pt idx="149">
                  <c:v>3.5340687393033375E-12</c:v>
                </c:pt>
                <c:pt idx="150">
                  <c:v>3.5340687393033375E-12</c:v>
                </c:pt>
                <c:pt idx="151">
                  <c:v>3.5340687393033375E-12</c:v>
                </c:pt>
                <c:pt idx="152">
                  <c:v>3.5340687393033375E-12</c:v>
                </c:pt>
                <c:pt idx="153">
                  <c:v>3.5340687393033375E-12</c:v>
                </c:pt>
                <c:pt idx="154">
                  <c:v>3.5340687393033375E-12</c:v>
                </c:pt>
                <c:pt idx="155">
                  <c:v>3.5340687393033375E-12</c:v>
                </c:pt>
                <c:pt idx="156">
                  <c:v>3.5340687393033375E-12</c:v>
                </c:pt>
                <c:pt idx="157">
                  <c:v>3.5340687393033375E-12</c:v>
                </c:pt>
                <c:pt idx="158">
                  <c:v>3.5340687393033375E-12</c:v>
                </c:pt>
                <c:pt idx="159">
                  <c:v>3.5340687393033375E-12</c:v>
                </c:pt>
                <c:pt idx="160">
                  <c:v>3.5340687393033375E-12</c:v>
                </c:pt>
                <c:pt idx="161">
                  <c:v>3.5340687393033375E-12</c:v>
                </c:pt>
                <c:pt idx="162">
                  <c:v>3.5340687393033375E-12</c:v>
                </c:pt>
                <c:pt idx="163">
                  <c:v>3.5340687393033375E-12</c:v>
                </c:pt>
                <c:pt idx="164">
                  <c:v>3.5340687393033375E-12</c:v>
                </c:pt>
                <c:pt idx="165">
                  <c:v>3.5340687393033375E-12</c:v>
                </c:pt>
                <c:pt idx="166">
                  <c:v>3.5340687393033375E-12</c:v>
                </c:pt>
                <c:pt idx="167">
                  <c:v>3.5340687393033375E-12</c:v>
                </c:pt>
                <c:pt idx="168">
                  <c:v>3.5340687393033375E-12</c:v>
                </c:pt>
                <c:pt idx="169">
                  <c:v>3.5340687393033375E-12</c:v>
                </c:pt>
                <c:pt idx="170">
                  <c:v>3.5340687393033375E-12</c:v>
                </c:pt>
                <c:pt idx="171">
                  <c:v>3.5340687393033375E-12</c:v>
                </c:pt>
                <c:pt idx="172">
                  <c:v>3.5340687393033375E-12</c:v>
                </c:pt>
                <c:pt idx="173">
                  <c:v>3.5340687393033375E-12</c:v>
                </c:pt>
                <c:pt idx="174">
                  <c:v>3.5340687393033375E-12</c:v>
                </c:pt>
                <c:pt idx="175">
                  <c:v>3.5340687393033375E-12</c:v>
                </c:pt>
                <c:pt idx="176">
                  <c:v>3.5340687393033375E-12</c:v>
                </c:pt>
                <c:pt idx="177">
                  <c:v>3.5340687393033375E-12</c:v>
                </c:pt>
                <c:pt idx="178">
                  <c:v>3.5340687393033375E-12</c:v>
                </c:pt>
                <c:pt idx="179">
                  <c:v>3.5340687393033375E-12</c:v>
                </c:pt>
                <c:pt idx="180">
                  <c:v>3.5340687393033375E-12</c:v>
                </c:pt>
                <c:pt idx="181">
                  <c:v>3.5340687393033375E-12</c:v>
                </c:pt>
                <c:pt idx="182">
                  <c:v>3.5340687393033375E-12</c:v>
                </c:pt>
                <c:pt idx="183">
                  <c:v>3.5340687393033375E-12</c:v>
                </c:pt>
                <c:pt idx="184">
                  <c:v>3.5340687393033375E-12</c:v>
                </c:pt>
                <c:pt idx="185">
                  <c:v>3.5340687393033375E-12</c:v>
                </c:pt>
                <c:pt idx="186">
                  <c:v>3.5340687393033375E-12</c:v>
                </c:pt>
                <c:pt idx="187">
                  <c:v>3.5340687393033375E-12</c:v>
                </c:pt>
                <c:pt idx="188">
                  <c:v>3.5340687393033375E-12</c:v>
                </c:pt>
                <c:pt idx="189">
                  <c:v>3.5340687393033375E-12</c:v>
                </c:pt>
                <c:pt idx="190">
                  <c:v>3.5340687393033375E-12</c:v>
                </c:pt>
                <c:pt idx="191">
                  <c:v>3.5340687393033375E-12</c:v>
                </c:pt>
                <c:pt idx="192">
                  <c:v>3.5340687393033375E-12</c:v>
                </c:pt>
                <c:pt idx="193">
                  <c:v>3.5340687393033375E-12</c:v>
                </c:pt>
                <c:pt idx="194">
                  <c:v>3.5340687393033375E-12</c:v>
                </c:pt>
                <c:pt idx="195">
                  <c:v>3.5340687393033375E-12</c:v>
                </c:pt>
                <c:pt idx="196">
                  <c:v>3.5340687393033375E-12</c:v>
                </c:pt>
                <c:pt idx="197">
                  <c:v>3.5340687393033375E-12</c:v>
                </c:pt>
                <c:pt idx="198">
                  <c:v>3.5340687393033375E-12</c:v>
                </c:pt>
                <c:pt idx="199">
                  <c:v>3.5340687393033375E-12</c:v>
                </c:pt>
                <c:pt idx="200">
                  <c:v>3.5340687393033375E-12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885216"/>
        <c:axId val="797006240"/>
      </c:scatterChart>
      <c:valAx>
        <c:axId val="802885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006240"/>
        <c:crosses val="autoZero"/>
        <c:crossBetween val="midCat"/>
      </c:valAx>
      <c:valAx>
        <c:axId val="7970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2885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160.95580359158961</c:v>
                </c:pt>
                <c:pt idx="27">
                  <c:v>171.52240247513092</c:v>
                </c:pt>
                <c:pt idx="28">
                  <c:v>182.07368538348692</c:v>
                </c:pt>
                <c:pt idx="29">
                  <c:v>192.61066580735996</c:v>
                </c:pt>
                <c:pt idx="30">
                  <c:v>203.13423715529461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227.64138943591354</c:v>
                </c:pt>
                <c:pt idx="37">
                  <c:v>238.12554101232834</c:v>
                </c:pt>
                <c:pt idx="38">
                  <c:v>248.59917684690132</c:v>
                </c:pt>
                <c:pt idx="39">
                  <c:v>259.06280274212457</c:v>
                </c:pt>
                <c:pt idx="40">
                  <c:v>269.51688027254562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288.31148567604197</c:v>
                </c:pt>
                <c:pt idx="47">
                  <c:v>298.39345366223557</c:v>
                </c:pt>
                <c:pt idx="48">
                  <c:v>308.46783220083086</c:v>
                </c:pt>
                <c:pt idx="49">
                  <c:v>318.53490425391578</c:v>
                </c:pt>
                <c:pt idx="50">
                  <c:v>328.59493342700091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336.22213322966519</c:v>
                </c:pt>
                <c:pt idx="57">
                  <c:v>345.57759046125392</c:v>
                </c:pt>
                <c:pt idx="58">
                  <c:v>354.92748625123812</c:v>
                </c:pt>
                <c:pt idx="59">
                  <c:v>364.27198784801095</c:v>
                </c:pt>
                <c:pt idx="60">
                  <c:v>373.6112532142069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376.72320412097588</c:v>
                </c:pt>
                <c:pt idx="67">
                  <c:v>385.0190172491607</c:v>
                </c:pt>
                <c:pt idx="68">
                  <c:v>393.31094714884665</c:v>
                </c:pt>
                <c:pt idx="69">
                  <c:v>401.59908728350848</c:v>
                </c:pt>
                <c:pt idx="70">
                  <c:v>409.88352694182072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408.5030403062305</c:v>
                </c:pt>
                <c:pt idx="77">
                  <c:v>415.74947956836513</c:v>
                </c:pt>
                <c:pt idx="78">
                  <c:v>422.99319567578368</c:v>
                </c:pt>
                <c:pt idx="79">
                  <c:v>430.23424187074426</c:v>
                </c:pt>
                <c:pt idx="80">
                  <c:v>437.47266945596539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431.61319033230438</c:v>
                </c:pt>
                <c:pt idx="87">
                  <c:v>437.81729201638308</c:v>
                </c:pt>
                <c:pt idx="88">
                  <c:v>444.01950789221627</c:v>
                </c:pt>
                <c:pt idx="89">
                  <c:v>450.21986803667045</c:v>
                </c:pt>
                <c:pt idx="90">
                  <c:v>456.41840163001308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007328"/>
        <c:axId val="470758768"/>
      </c:scatterChart>
      <c:valAx>
        <c:axId val="797007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0758768"/>
        <c:crosses val="autoZero"/>
        <c:crossBetween val="midCat"/>
      </c:valAx>
      <c:valAx>
        <c:axId val="47075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007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89.255314128260395</c:v>
                </c:pt>
                <c:pt idx="17">
                  <c:v>99.459449179931866</c:v>
                </c:pt>
                <c:pt idx="18">
                  <c:v>109.63759757218457</c:v>
                </c:pt>
                <c:pt idx="19">
                  <c:v>119.79251579779007</c:v>
                </c:pt>
                <c:pt idx="20">
                  <c:v>129.92645355134468</c:v>
                </c:pt>
                <c:pt idx="21">
                  <c:v>111.77732352474339</c:v>
                </c:pt>
                <c:pt idx="22">
                  <c:v>128.32767279839106</c:v>
                </c:pt>
                <c:pt idx="23">
                  <c:v>144.8263063728692</c:v>
                </c:pt>
                <c:pt idx="24">
                  <c:v>161.27995240813229</c:v>
                </c:pt>
                <c:pt idx="25">
                  <c:v>177.69385032373032</c:v>
                </c:pt>
                <c:pt idx="26">
                  <c:v>191.16879046159409</c:v>
                </c:pt>
                <c:pt idx="27">
                  <c:v>204.62161925684794</c:v>
                </c:pt>
                <c:pt idx="28">
                  <c:v>218.05399586508801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218.58035954454411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270.0338453864066</c:v>
                </c:pt>
                <c:pt idx="37">
                  <c:v>282.07584211332158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318.13483607832228</c:v>
                </c:pt>
                <c:pt idx="41">
                  <c:v>271.08144727175636</c:v>
                </c:pt>
                <c:pt idx="42">
                  <c:v>282.86078360632649</c:v>
                </c:pt>
                <c:pt idx="43">
                  <c:v>294.629133551471</c:v>
                </c:pt>
                <c:pt idx="44">
                  <c:v>306.38699795765228</c:v>
                </c:pt>
                <c:pt idx="45">
                  <c:v>318.13483607832239</c:v>
                </c:pt>
                <c:pt idx="46">
                  <c:v>329.35156958294135</c:v>
                </c:pt>
                <c:pt idx="47">
                  <c:v>340.55987511500979</c:v>
                </c:pt>
                <c:pt idx="48">
                  <c:v>351.76006924925832</c:v>
                </c:pt>
                <c:pt idx="49">
                  <c:v>362.952446747804</c:v>
                </c:pt>
                <c:pt idx="50">
                  <c:v>374.13728270377391</c:v>
                </c:pt>
                <c:pt idx="51">
                  <c:v>322.3095099622987</c:v>
                </c:pt>
                <c:pt idx="52">
                  <c:v>333.00169481114159</c:v>
                </c:pt>
                <c:pt idx="53">
                  <c:v>343.68631362725642</c:v>
                </c:pt>
                <c:pt idx="54">
                  <c:v>354.36363488362485</c:v>
                </c:pt>
                <c:pt idx="55">
                  <c:v>365.03390954723881</c:v>
                </c:pt>
                <c:pt idx="56">
                  <c:v>374.91734538946025</c:v>
                </c:pt>
                <c:pt idx="57">
                  <c:v>384.79510627137739</c:v>
                </c:pt>
                <c:pt idx="58">
                  <c:v>394.66735847110505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363.9932106642537</c:v>
                </c:pt>
                <c:pt idx="62">
                  <c:v>373.35718456856472</c:v>
                </c:pt>
                <c:pt idx="63">
                  <c:v>382.7160408856837</c:v>
                </c:pt>
                <c:pt idx="64">
                  <c:v>392.0699224681141</c:v>
                </c:pt>
                <c:pt idx="65">
                  <c:v>401.41896479265364</c:v>
                </c:pt>
                <c:pt idx="66">
                  <c:v>410.24428844188515</c:v>
                </c:pt>
                <c:pt idx="67">
                  <c:v>419.06551357352504</c:v>
                </c:pt>
                <c:pt idx="68">
                  <c:v>427.88273866618914</c:v>
                </c:pt>
                <c:pt idx="69">
                  <c:v>436.69605780694877</c:v>
                </c:pt>
                <c:pt idx="70">
                  <c:v>445.50556097376779</c:v>
                </c:pt>
                <c:pt idx="71">
                  <c:v>395.70622896203417</c:v>
                </c:pt>
                <c:pt idx="72">
                  <c:v>404.27467126938291</c:v>
                </c:pt>
                <c:pt idx="73">
                  <c:v>412.83918737669734</c:v>
                </c:pt>
                <c:pt idx="74">
                  <c:v>421.39987026288958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446.02365006516726</c:v>
                </c:pt>
                <c:pt idx="78">
                  <c:v>454.05239341686456</c:v>
                </c:pt>
                <c:pt idx="79">
                  <c:v>462.0781027515323</c:v>
                </c:pt>
                <c:pt idx="80">
                  <c:v>470.10083822115479</c:v>
                </c:pt>
                <c:pt idx="81">
                  <c:v>422.17792718748888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445.50556097376767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475.01655378575657</c:v>
                </c:pt>
                <c:pt idx="89">
                  <c:v>482.2587969662772</c:v>
                </c:pt>
                <c:pt idx="90">
                  <c:v>489.49872971371411</c:v>
                </c:pt>
                <c:pt idx="91">
                  <c:v>444.72840313441958</c:v>
                </c:pt>
                <c:pt idx="92">
                  <c:v>451.72178320878908</c:v>
                </c:pt>
                <c:pt idx="93">
                  <c:v>458.71284818352098</c:v>
                </c:pt>
                <c:pt idx="94">
                  <c:v>465.70163833935936</c:v>
                </c:pt>
                <c:pt idx="95">
                  <c:v>472.68819264876225</c:v>
                </c:pt>
                <c:pt idx="96">
                  <c:v>479.67254883752656</c:v>
                </c:pt>
                <c:pt idx="97">
                  <c:v>486.65474344263771</c:v>
                </c:pt>
                <c:pt idx="98">
                  <c:v>493.63481186662347</c:v>
                </c:pt>
                <c:pt idx="99">
                  <c:v>500.61278842867495</c:v>
                </c:pt>
                <c:pt idx="100">
                  <c:v>507.58870641276621</c:v>
                </c:pt>
                <c:pt idx="101">
                  <c:v>465.96043924488566</c:v>
                </c:pt>
                <c:pt idx="102">
                  <c:v>472.17074594472086</c:v>
                </c:pt>
                <c:pt idx="103">
                  <c:v>478.37931369911325</c:v>
                </c:pt>
                <c:pt idx="104">
                  <c:v>484.58616827417518</c:v>
                </c:pt>
                <c:pt idx="105">
                  <c:v>490.79133472172794</c:v>
                </c:pt>
                <c:pt idx="106">
                  <c:v>496.99483740808387</c:v>
                </c:pt>
                <c:pt idx="107">
                  <c:v>503.19670004131376</c:v>
                </c:pt>
                <c:pt idx="108">
                  <c:v>509.39694569710446</c:v>
                </c:pt>
                <c:pt idx="109">
                  <c:v>515.59559684328599</c:v>
                </c:pt>
                <c:pt idx="110">
                  <c:v>521.79267536312091</c:v>
                </c:pt>
                <c:pt idx="111">
                  <c:v>482.3881016221963</c:v>
                </c:pt>
                <c:pt idx="112">
                  <c:v>488.20605227820715</c:v>
                </c:pt>
                <c:pt idx="113">
                  <c:v>494.02253179848321</c:v>
                </c:pt>
                <c:pt idx="114">
                  <c:v>499.83755995777932</c:v>
                </c:pt>
                <c:pt idx="115">
                  <c:v>505.65115603293151</c:v>
                </c:pt>
                <c:pt idx="116">
                  <c:v>511.46333882110008</c:v>
                </c:pt>
                <c:pt idx="117">
                  <c:v>517.27412665714269</c:v>
                </c:pt>
                <c:pt idx="118">
                  <c:v>523.08353743016403</c:v>
                </c:pt>
                <c:pt idx="119">
                  <c:v>528.89158859929273</c:v>
                </c:pt>
                <c:pt idx="120">
                  <c:v>534.69829720872872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345328"/>
        <c:axId val="115264144"/>
      </c:scatterChart>
      <c:valAx>
        <c:axId val="468345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4144"/>
        <c:crosses val="autoZero"/>
        <c:crossBetween val="midCat"/>
      </c:valAx>
      <c:valAx>
        <c:axId val="11526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8345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85.422490193978277</c:v>
                </c:pt>
                <c:pt idx="17">
                  <c:v>94.519297756023832</c:v>
                </c:pt>
                <c:pt idx="18">
                  <c:v>103.59426760359743</c:v>
                </c:pt>
                <c:pt idx="19">
                  <c:v>112.64958590196653</c:v>
                </c:pt>
                <c:pt idx="20">
                  <c:v>121.68705766035139</c:v>
                </c:pt>
                <c:pt idx="21">
                  <c:v>101.32744552108483</c:v>
                </c:pt>
                <c:pt idx="22">
                  <c:v>116.7938784801073</c:v>
                </c:pt>
                <c:pt idx="23">
                  <c:v>132.21022589349721</c:v>
                </c:pt>
                <c:pt idx="24">
                  <c:v>147.58315911969544</c:v>
                </c:pt>
                <c:pt idx="25">
                  <c:v>162.91784180635719</c:v>
                </c:pt>
                <c:pt idx="26">
                  <c:v>174.67598926465254</c:v>
                </c:pt>
                <c:pt idx="27">
                  <c:v>186.41554721296782</c:v>
                </c:pt>
                <c:pt idx="28">
                  <c:v>198.13785215720915</c:v>
                </c:pt>
                <c:pt idx="29">
                  <c:v>209.84406936666184</c:v>
                </c:pt>
                <c:pt idx="30">
                  <c:v>221.5352233510848</c:v>
                </c:pt>
                <c:pt idx="31">
                  <c:v>185.29825703239021</c:v>
                </c:pt>
                <c:pt idx="32">
                  <c:v>196.46424765821189</c:v>
                </c:pt>
                <c:pt idx="33">
                  <c:v>207.61550464114836</c:v>
                </c:pt>
                <c:pt idx="34">
                  <c:v>218.75293145330741</c:v>
                </c:pt>
                <c:pt idx="35">
                  <c:v>229.87733196669731</c:v>
                </c:pt>
                <c:pt idx="36">
                  <c:v>240.24898910471018</c:v>
                </c:pt>
                <c:pt idx="37">
                  <c:v>250.61045481310308</c:v>
                </c:pt>
                <c:pt idx="38">
                  <c:v>260.96221015972293</c:v>
                </c:pt>
                <c:pt idx="39">
                  <c:v>271.30469489980908</c:v>
                </c:pt>
                <c:pt idx="40">
                  <c:v>281.63831249761353</c:v>
                </c:pt>
                <c:pt idx="41">
                  <c:v>241.5447193683236</c:v>
                </c:pt>
                <c:pt idx="42">
                  <c:v>251.35018250509066</c:v>
                </c:pt>
                <c:pt idx="43">
                  <c:v>261.14697743122917</c:v>
                </c:pt>
                <c:pt idx="44">
                  <c:v>270.9354754318835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307.80410900253167</c:v>
                </c:pt>
                <c:pt idx="49">
                  <c:v>316.82144574470919</c:v>
                </c:pt>
                <c:pt idx="50">
                  <c:v>325.83309802098063</c:v>
                </c:pt>
                <c:pt idx="51">
                  <c:v>287.1706618758144</c:v>
                </c:pt>
                <c:pt idx="52">
                  <c:v>295.46473202474709</c:v>
                </c:pt>
                <c:pt idx="53">
                  <c:v>303.75360952955964</c:v>
                </c:pt>
                <c:pt idx="54">
                  <c:v>312.03745619949132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</c:v>
                </c:pt>
                <c:pt idx="58">
                  <c:v>343.47277904595649</c:v>
                </c:pt>
                <c:pt idx="59">
                  <c:v>351.1838133017921</c:v>
                </c:pt>
                <c:pt idx="60">
                  <c:v>358.89113540947892</c:v>
                </c:pt>
                <c:pt idx="61">
                  <c:v>323.07502170283414</c:v>
                </c:pt>
                <c:pt idx="62">
                  <c:v>330.42874810515178</c:v>
                </c:pt>
                <c:pt idx="63">
                  <c:v>337.7788645502323</c:v>
                </c:pt>
                <c:pt idx="64">
                  <c:v>345.12546074519736</c:v>
                </c:pt>
                <c:pt idx="65">
                  <c:v>352.46862226287629</c:v>
                </c:pt>
                <c:pt idx="66">
                  <c:v>359.62497583302707</c:v>
                </c:pt>
                <c:pt idx="67">
                  <c:v>366.77821443674173</c:v>
                </c:pt>
                <c:pt idx="68">
                  <c:v>373.92840744681303</c:v>
                </c:pt>
                <c:pt idx="69">
                  <c:v>381.07562136425685</c:v>
                </c:pt>
                <c:pt idx="70">
                  <c:v>388.21991999001648</c:v>
                </c:pt>
                <c:pt idx="71">
                  <c:v>355.40494358786822</c:v>
                </c:pt>
                <c:pt idx="72">
                  <c:v>362.00973132142695</c:v>
                </c:pt>
                <c:pt idx="73">
                  <c:v>368.61188489876849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387.85361564101657</c:v>
                </c:pt>
                <c:pt idx="77">
                  <c:v>393.89668264259564</c:v>
                </c:pt>
                <c:pt idx="78">
                  <c:v>399.93773989825155</c:v>
                </c:pt>
                <c:pt idx="79">
                  <c:v>405.97682207564714</c:v>
                </c:pt>
                <c:pt idx="80">
                  <c:v>412.01396272598686</c:v>
                </c:pt>
                <c:pt idx="81">
                  <c:v>380.3427090098005</c:v>
                </c:pt>
                <c:pt idx="82">
                  <c:v>386.20515297660944</c:v>
                </c:pt>
                <c:pt idx="83">
                  <c:v>392.06566407054493</c:v>
                </c:pt>
                <c:pt idx="84">
                  <c:v>397.92427528799863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420.2433568751465</c:v>
                </c:pt>
                <c:pt idx="89">
                  <c:v>425.72768674484365</c:v>
                </c:pt>
                <c:pt idx="90">
                  <c:v>431.21049686518546</c:v>
                </c:pt>
                <c:pt idx="91">
                  <c:v>401.76797181151125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417.68347648311209</c:v>
                </c:pt>
                <c:pt idx="95">
                  <c:v>422.98571318193189</c:v>
                </c:pt>
                <c:pt idx="96">
                  <c:v>428.10375641326391</c:v>
                </c:pt>
                <c:pt idx="97">
                  <c:v>433.22048417506699</c:v>
                </c:pt>
                <c:pt idx="98">
                  <c:v>438.33591421069929</c:v>
                </c:pt>
                <c:pt idx="99">
                  <c:v>443.45006381522563</c:v>
                </c:pt>
                <c:pt idx="100">
                  <c:v>448.56294985189794</c:v>
                </c:pt>
                <c:pt idx="101">
                  <c:v>421.15751834664769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434.86487022897171</c:v>
                </c:pt>
                <c:pt idx="105">
                  <c:v>439.43191062199872</c:v>
                </c:pt>
                <c:pt idx="106">
                  <c:v>444.18055307943445</c:v>
                </c:pt>
                <c:pt idx="107">
                  <c:v>448.92810808361338</c:v>
                </c:pt>
                <c:pt idx="108">
                  <c:v>453.6745887678473</c:v>
                </c:pt>
                <c:pt idx="109">
                  <c:v>458.42000796797282</c:v>
                </c:pt>
                <c:pt idx="110">
                  <c:v>463.16437823216756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61424"/>
        <c:axId val="115257072"/>
      </c:scatterChart>
      <c:valAx>
        <c:axId val="115261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57072"/>
        <c:crosses val="autoZero"/>
        <c:crossBetween val="midCat"/>
      </c:valAx>
      <c:valAx>
        <c:axId val="11525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64688"/>
        <c:axId val="115265232"/>
      </c:scatterChart>
      <c:valAx>
        <c:axId val="115264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5232"/>
        <c:crosses val="autoZero"/>
        <c:crossBetween val="midCat"/>
      </c:valAx>
      <c:valAx>
        <c:axId val="11526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4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185.88481063386453</c:v>
                </c:pt>
                <c:pt idx="27">
                  <c:v>204.40159586063612</c:v>
                </c:pt>
                <c:pt idx="28">
                  <c:v>222.87958017562786</c:v>
                </c:pt>
                <c:pt idx="29">
                  <c:v>241.32243325977697</c:v>
                </c:pt>
                <c:pt idx="30">
                  <c:v>259.73321764902875</c:v>
                </c:pt>
                <c:pt idx="31">
                  <c:v>196.84864368888998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245.45815924548194</c:v>
                </c:pt>
                <c:pt idx="35">
                  <c:v>261.61017170872896</c:v>
                </c:pt>
                <c:pt idx="36">
                  <c:v>275.86525948349646</c:v>
                </c:pt>
                <c:pt idx="37">
                  <c:v>290.10380901652701</c:v>
                </c:pt>
                <c:pt idx="38">
                  <c:v>304.32674644619152</c:v>
                </c:pt>
                <c:pt idx="39">
                  <c:v>318.53490425391573</c:v>
                </c:pt>
                <c:pt idx="40">
                  <c:v>332.72903457884451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326.00720293449416</c:v>
                </c:pt>
                <c:pt idx="47">
                  <c:v>336.08882358493884</c:v>
                </c:pt>
                <c:pt idx="48">
                  <c:v>346.16378539221324</c:v>
                </c:pt>
                <c:pt idx="49">
                  <c:v>356.23230957994451</c:v>
                </c:pt>
                <c:pt idx="50">
                  <c:v>366.29460383970849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361.07788328212001</c:v>
                </c:pt>
                <c:pt idx="57">
                  <c:v>368.90235411823818</c:v>
                </c:pt>
                <c:pt idx="58">
                  <c:v>376.72320412097571</c:v>
                </c:pt>
                <c:pt idx="59">
                  <c:v>384.5405191164823</c:v>
                </c:pt>
                <c:pt idx="60">
                  <c:v>392.35438115419714</c:v>
                </c:pt>
                <c:pt idx="61">
                  <c:v>361.07788328211996</c:v>
                </c:pt>
                <c:pt idx="62">
                  <c:v>367.03971658708974</c:v>
                </c:pt>
                <c:pt idx="63">
                  <c:v>372.99943588368342</c:v>
                </c:pt>
                <c:pt idx="64">
                  <c:v>378.95707974932702</c:v>
                </c:pt>
                <c:pt idx="65">
                  <c:v>384.91268544829808</c:v>
                </c:pt>
                <c:pt idx="66">
                  <c:v>390.49424676672464</c:v>
                </c:pt>
                <c:pt idx="67">
                  <c:v>396.07407711953448</c:v>
                </c:pt>
                <c:pt idx="68">
                  <c:v>401.65220435716355</c:v>
                </c:pt>
                <c:pt idx="69">
                  <c:v>407.22865549260882</c:v>
                </c:pt>
                <c:pt idx="70">
                  <c:v>412.80345673799053</c:v>
                </c:pt>
                <c:pt idx="71">
                  <c:v>387.8897352873326</c:v>
                </c:pt>
                <c:pt idx="72">
                  <c:v>392.72638504489845</c:v>
                </c:pt>
                <c:pt idx="73">
                  <c:v>397.56174311317301</c:v>
                </c:pt>
                <c:pt idx="74">
                  <c:v>402.39582743654245</c:v>
                </c:pt>
                <c:pt idx="75">
                  <c:v>407.22865549260882</c:v>
                </c:pt>
                <c:pt idx="76">
                  <c:v>411.68862724795645</c:v>
                </c:pt>
                <c:pt idx="77">
                  <c:v>416.14755615430431</c:v>
                </c:pt>
                <c:pt idx="78">
                  <c:v>420.60545497443786</c:v>
                </c:pt>
                <c:pt idx="79">
                  <c:v>425.06233617824182</c:v>
                </c:pt>
                <c:pt idx="80">
                  <c:v>429.51821195249204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65776"/>
        <c:axId val="115252720"/>
      </c:scatterChart>
      <c:valAx>
        <c:axId val="115265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52720"/>
        <c:crosses val="autoZero"/>
        <c:crossBetween val="midCat"/>
      </c:valAx>
      <c:valAx>
        <c:axId val="11525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6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3.0049961979904345</c:v>
                </c:pt>
                <c:pt idx="2">
                  <c:v>3.6654245323430543</c:v>
                </c:pt>
                <c:pt idx="3">
                  <c:v>4.4715459986332498</c:v>
                </c:pt>
                <c:pt idx="4">
                  <c:v>5.455614693120542</c:v>
                </c:pt>
                <c:pt idx="5">
                  <c:v>6.6570487819585757</c:v>
                </c:pt>
                <c:pt idx="6">
                  <c:v>8.1240265965391565</c:v>
                </c:pt>
                <c:pt idx="7">
                  <c:v>9.915439325383792</c:v>
                </c:pt>
                <c:pt idx="8">
                  <c:v>12.103280177778437</c:v>
                </c:pt>
                <c:pt idx="9">
                  <c:v>14.775567827797973</c:v>
                </c:pt>
                <c:pt idx="10">
                  <c:v>18.039923915766853</c:v>
                </c:pt>
                <c:pt idx="11">
                  <c:v>22.027951297139609</c:v>
                </c:pt>
                <c:pt idx="12">
                  <c:v>26.900592701248858</c:v>
                </c:pt>
                <c:pt idx="13">
                  <c:v>32.854689861201528</c:v>
                </c:pt>
                <c:pt idx="14">
                  <c:v>40.131012677080697</c:v>
                </c:pt>
                <c:pt idx="15">
                  <c:v>49.024088631915667</c:v>
                </c:pt>
                <c:pt idx="16">
                  <c:v>58.527428080335234</c:v>
                </c:pt>
                <c:pt idx="17">
                  <c:v>67.990388855711316</c:v>
                </c:pt>
                <c:pt idx="18">
                  <c:v>77.419404907152185</c:v>
                </c:pt>
                <c:pt idx="19">
                  <c:v>86.819205269098731</c:v>
                </c:pt>
                <c:pt idx="20">
                  <c:v>96.193406428466844</c:v>
                </c:pt>
                <c:pt idx="21">
                  <c:v>97.469887783079045</c:v>
                </c:pt>
                <c:pt idx="22">
                  <c:v>109.36444595640548</c:v>
                </c:pt>
                <c:pt idx="23">
                  <c:v>121.22718363614432</c:v>
                </c:pt>
                <c:pt idx="24">
                  <c:v>133.06165782920229</c:v>
                </c:pt>
                <c:pt idx="25">
                  <c:v>144.87073948277092</c:v>
                </c:pt>
                <c:pt idx="26">
                  <c:v>157.07732261132512</c:v>
                </c:pt>
                <c:pt idx="27">
                  <c:v>169.26139216791384</c:v>
                </c:pt>
                <c:pt idx="28">
                  <c:v>181.4247983761212</c:v>
                </c:pt>
                <c:pt idx="29">
                  <c:v>193.56912276774736</c:v>
                </c:pt>
                <c:pt idx="30">
                  <c:v>205.69573198483519</c:v>
                </c:pt>
                <c:pt idx="31">
                  <c:v>164.22231332182182</c:v>
                </c:pt>
                <c:pt idx="32">
                  <c:v>177.23275099155026</c:v>
                </c:pt>
                <c:pt idx="33">
                  <c:v>190.22078828852798</c:v>
                </c:pt>
                <c:pt idx="34">
                  <c:v>203.18817103418067</c:v>
                </c:pt>
                <c:pt idx="35">
                  <c:v>216.13640377869152</c:v>
                </c:pt>
                <c:pt idx="36">
                  <c:v>229.06679591693538</c:v>
                </c:pt>
                <c:pt idx="37">
                  <c:v>241.98049682860935</c:v>
                </c:pt>
                <c:pt idx="38">
                  <c:v>254.87852311341874</c:v>
                </c:pt>
                <c:pt idx="39">
                  <c:v>267.76178001792249</c:v>
                </c:pt>
                <c:pt idx="40">
                  <c:v>280.63107851839726</c:v>
                </c:pt>
                <c:pt idx="41">
                  <c:v>229.48362165810065</c:v>
                </c:pt>
                <c:pt idx="42">
                  <c:v>242.81309033856317</c:v>
                </c:pt>
                <c:pt idx="43">
                  <c:v>256.12592177262371</c:v>
                </c:pt>
                <c:pt idx="44">
                  <c:v>269.42310281421288</c:v>
                </c:pt>
                <c:pt idx="45">
                  <c:v>282.70551490450038</c:v>
                </c:pt>
                <c:pt idx="46">
                  <c:v>295.97394986116774</c:v>
                </c:pt>
                <c:pt idx="47">
                  <c:v>309.22912268606922</c:v>
                </c:pt>
                <c:pt idx="48">
                  <c:v>322.47168206060974</c:v>
                </c:pt>
                <c:pt idx="49">
                  <c:v>335.70221902604527</c:v>
                </c:pt>
                <c:pt idx="50">
                  <c:v>348.92127422322807</c:v>
                </c:pt>
                <c:pt idx="51">
                  <c:v>289.3414331694662</c:v>
                </c:pt>
                <c:pt idx="52">
                  <c:v>302.18892243096462</c:v>
                </c:pt>
                <c:pt idx="53">
                  <c:v>315.02425837022912</c:v>
                </c:pt>
                <c:pt idx="54">
                  <c:v>327.84800604214928</c:v>
                </c:pt>
                <c:pt idx="55">
                  <c:v>340.66068267684119</c:v>
                </c:pt>
                <c:pt idx="56">
                  <c:v>353.04995387967392</c:v>
                </c:pt>
                <c:pt idx="57">
                  <c:v>365.42969930916388</c:v>
                </c:pt>
                <c:pt idx="58">
                  <c:v>377.80028720100808</c:v>
                </c:pt>
                <c:pt idx="59">
                  <c:v>390.16205970401296</c:v>
                </c:pt>
                <c:pt idx="60">
                  <c:v>402.5153355136747</c:v>
                </c:pt>
                <c:pt idx="61">
                  <c:v>340.66068267684119</c:v>
                </c:pt>
                <c:pt idx="62">
                  <c:v>353.04995387967392</c:v>
                </c:pt>
                <c:pt idx="63">
                  <c:v>365.42969930916388</c:v>
                </c:pt>
                <c:pt idx="64">
                  <c:v>377.80028720100808</c:v>
                </c:pt>
                <c:pt idx="65">
                  <c:v>390.16205970401296</c:v>
                </c:pt>
                <c:pt idx="66">
                  <c:v>401.69204206263993</c:v>
                </c:pt>
                <c:pt idx="67">
                  <c:v>413.21486548206684</c:v>
                </c:pt>
                <c:pt idx="68">
                  <c:v>424.73075776338629</c:v>
                </c:pt>
                <c:pt idx="69">
                  <c:v>436.23993334519008</c:v>
                </c:pt>
                <c:pt idx="70">
                  <c:v>447.74259442675452</c:v>
                </c:pt>
                <c:pt idx="71">
                  <c:v>384.8063530090264</c:v>
                </c:pt>
                <c:pt idx="72">
                  <c:v>395.92796054376362</c:v>
                </c:pt>
                <c:pt idx="73">
                  <c:v>407.04280051298912</c:v>
                </c:pt>
                <c:pt idx="74">
                  <c:v>418.15108380244942</c:v>
                </c:pt>
                <c:pt idx="75">
                  <c:v>429.25300917701088</c:v>
                </c:pt>
                <c:pt idx="76">
                  <c:v>439.93791831951472</c:v>
                </c:pt>
                <c:pt idx="77">
                  <c:v>450.61726441852414</c:v>
                </c:pt>
                <c:pt idx="78">
                  <c:v>461.29119792122492</c:v>
                </c:pt>
                <c:pt idx="79">
                  <c:v>471.95986174338708</c:v>
                </c:pt>
                <c:pt idx="80">
                  <c:v>482.6233918117494</c:v>
                </c:pt>
                <c:pt idx="81">
                  <c:v>423.49723711184947</c:v>
                </c:pt>
                <c:pt idx="82">
                  <c:v>434.18520687835758</c:v>
                </c:pt>
                <c:pt idx="83">
                  <c:v>444.86752926426288</c:v>
                </c:pt>
                <c:pt idx="84">
                  <c:v>455.54435901647679</c:v>
                </c:pt>
                <c:pt idx="85">
                  <c:v>466.21584303528107</c:v>
                </c:pt>
                <c:pt idx="86">
                  <c:v>475.65165795068134</c:v>
                </c:pt>
                <c:pt idx="87">
                  <c:v>485.08349118260907</c:v>
                </c:pt>
                <c:pt idx="88">
                  <c:v>494.51143108208981</c:v>
                </c:pt>
                <c:pt idx="89">
                  <c:v>503.93556235585856</c:v>
                </c:pt>
                <c:pt idx="90">
                  <c:v>513.35596628348594</c:v>
                </c:pt>
                <c:pt idx="91">
                  <c:v>454.72325603573927</c:v>
                </c:pt>
                <c:pt idx="92">
                  <c:v>463.75365992951396</c:v>
                </c:pt>
                <c:pt idx="93">
                  <c:v>472.78031386240127</c:v>
                </c:pt>
                <c:pt idx="94">
                  <c:v>481.80329954772242</c:v>
                </c:pt>
                <c:pt idx="95">
                  <c:v>490.8226953877404</c:v>
                </c:pt>
                <c:pt idx="96">
                  <c:v>499.83857666751811</c:v>
                </c:pt>
                <c:pt idx="97">
                  <c:v>508.85101573406092</c:v>
                </c:pt>
                <c:pt idx="98">
                  <c:v>517.86008216210314</c:v>
                </c:pt>
                <c:pt idx="99">
                  <c:v>526.86584290776057</c:v>
                </c:pt>
                <c:pt idx="100">
                  <c:v>535.86836245112784</c:v>
                </c:pt>
                <c:pt idx="101">
                  <c:v>482.41837152377838</c:v>
                </c:pt>
                <c:pt idx="102">
                  <c:v>490.41279965323196</c:v>
                </c:pt>
                <c:pt idx="103">
                  <c:v>498.40446400575848</c:v>
                </c:pt>
                <c:pt idx="104">
                  <c:v>506.39341516182822</c:v>
                </c:pt>
                <c:pt idx="105">
                  <c:v>514.37970197529091</c:v>
                </c:pt>
                <c:pt idx="106">
                  <c:v>522.36337165879229</c:v>
                </c:pt>
                <c:pt idx="107">
                  <c:v>530.34446986369369</c:v>
                </c:pt>
                <c:pt idx="108">
                  <c:v>538.32304075493141</c:v>
                </c:pt>
                <c:pt idx="109">
                  <c:v>546.29912708120617</c:v>
                </c:pt>
                <c:pt idx="110">
                  <c:v>554.27277024086004</c:v>
                </c:pt>
                <c:pt idx="111">
                  <c:v>504.34522206590503</c:v>
                </c:pt>
                <c:pt idx="112">
                  <c:v>511.71789946163966</c:v>
                </c:pt>
                <c:pt idx="113">
                  <c:v>519.0883336350588</c:v>
                </c:pt>
                <c:pt idx="114">
                  <c:v>526.45656094055926</c:v>
                </c:pt>
                <c:pt idx="115">
                  <c:v>533.82261663157112</c:v>
                </c:pt>
                <c:pt idx="116">
                  <c:v>541.18653490896247</c:v>
                </c:pt>
                <c:pt idx="117">
                  <c:v>548.54834896667251</c:v>
                </c:pt>
                <c:pt idx="118">
                  <c:v>555.90809103476613</c:v>
                </c:pt>
                <c:pt idx="119">
                  <c:v>563.26579242009223</c:v>
                </c:pt>
                <c:pt idx="120">
                  <c:v>570.62148354470423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56528"/>
        <c:axId val="115251088"/>
      </c:scatterChart>
      <c:valAx>
        <c:axId val="115256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51088"/>
        <c:crosses val="autoZero"/>
        <c:crossBetween val="midCat"/>
      </c:valAx>
      <c:valAx>
        <c:axId val="1152510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25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39" zoomScaleNormal="100" workbookViewId="0">
      <selection activeCell="B160" sqref="B160"/>
    </sheetView>
  </sheetViews>
  <sheetFormatPr baseColWidth="10" defaultColWidth="11.453125" defaultRowHeight="14.5" x14ac:dyDescent="0.35"/>
  <cols>
    <col min="1" max="1" width="13.6328125" style="25" customWidth="1"/>
    <col min="2" max="2" width="36.08984375" style="25" customWidth="1"/>
    <col min="3" max="3" width="14.90625" style="25" bestFit="1" customWidth="1"/>
    <col min="4" max="4" width="16.453125" style="25" customWidth="1"/>
    <col min="5" max="5" width="23.36328125" style="25" customWidth="1"/>
    <col min="6" max="6" width="28.90625" style="25" bestFit="1" customWidth="1"/>
    <col min="7" max="8" width="14.6328125" style="25" customWidth="1"/>
    <col min="9" max="9" width="17" style="25" customWidth="1"/>
    <col min="10" max="10" width="13.90625" style="25" customWidth="1"/>
    <col min="11" max="16384" width="11.453125" style="25"/>
  </cols>
  <sheetData>
    <row r="1" spans="1:38" x14ac:dyDescent="0.3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7" t="s">
        <v>192</v>
      </c>
      <c r="C3" s="298"/>
      <c r="D3" s="298"/>
      <c r="E3" s="298"/>
      <c r="F3" s="299"/>
      <c r="G3" s="92"/>
      <c r="I3" s="224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4"/>
      <c r="B4" s="94"/>
      <c r="C4" s="94"/>
      <c r="D4" s="94"/>
      <c r="E4" s="94"/>
      <c r="F4" s="94"/>
      <c r="G4" s="234"/>
      <c r="I4" s="224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3" t="s">
        <v>231</v>
      </c>
      <c r="B5" s="303"/>
      <c r="C5" s="26">
        <v>2.87</v>
      </c>
      <c r="D5" s="304" t="s">
        <v>229</v>
      </c>
      <c r="E5" s="305"/>
      <c r="F5" s="94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5"/>
      <c r="B6" s="95"/>
      <c r="C6" s="96"/>
      <c r="D6" s="90"/>
      <c r="E6" s="90"/>
      <c r="F6" s="29"/>
      <c r="G6" s="236"/>
      <c r="H6" s="237"/>
      <c r="I6" s="237"/>
      <c r="J6" s="244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6" x14ac:dyDescent="0.35">
      <c r="A7" s="301" t="s">
        <v>226</v>
      </c>
      <c r="B7" s="301"/>
      <c r="C7" s="94"/>
      <c r="D7" s="94"/>
      <c r="E7" s="5"/>
      <c r="F7" s="94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0.36908583391486394</v>
      </c>
      <c r="D9" s="36">
        <f t="shared" ref="D9:D18" si="0">C9*$C$5</f>
        <v>1.0592763433356596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11</v>
      </c>
      <c r="C10" s="35">
        <v>0.28140265177948359</v>
      </c>
      <c r="D10" s="36">
        <f t="shared" si="0"/>
        <v>0.80762561060711791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4</v>
      </c>
      <c r="C11" s="35">
        <v>0.17313328681088624</v>
      </c>
      <c r="D11" s="36">
        <f t="shared" si="0"/>
        <v>0.49689253314724352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5</v>
      </c>
      <c r="C12" s="35">
        <v>7.4476622470341938E-2</v>
      </c>
      <c r="D12" s="36">
        <f t="shared" si="0"/>
        <v>0.21374790648988137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 t="s">
        <v>6</v>
      </c>
      <c r="C13" s="35">
        <v>3.3775296580600141E-2</v>
      </c>
      <c r="D13" s="36">
        <f t="shared" si="0"/>
        <v>9.6935101186322412E-2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 t="s">
        <v>50</v>
      </c>
      <c r="C14" s="35">
        <v>1.8614794138171666E-2</v>
      </c>
      <c r="D14" s="36">
        <f t="shared" si="0"/>
        <v>5.3424459176552683E-2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 t="s">
        <v>29</v>
      </c>
      <c r="C15" s="35">
        <v>1.6503838101884161E-2</v>
      </c>
      <c r="D15" s="36">
        <f t="shared" si="0"/>
        <v>4.7366015352407545E-2</v>
      </c>
      <c r="E15" s="37">
        <v>75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 t="s">
        <v>21</v>
      </c>
      <c r="C16" s="35">
        <v>1.6503838101884161E-2</v>
      </c>
      <c r="D16" s="36">
        <f t="shared" si="0"/>
        <v>4.7366015352407545E-2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 t="s">
        <v>1</v>
      </c>
      <c r="C17" s="35">
        <v>1.1552686671318911E-2</v>
      </c>
      <c r="D17" s="36">
        <f t="shared" si="0"/>
        <v>3.3156210746685275E-2</v>
      </c>
      <c r="E17" s="37">
        <v>120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97"/>
      <c r="B19" s="39" t="s">
        <v>175</v>
      </c>
      <c r="C19" s="40">
        <f>SUM(C9:C18)</f>
        <v>0.99504884856943487</v>
      </c>
      <c r="D19" s="41">
        <f>SUM(D9:D18)</f>
        <v>2.8557901953942779</v>
      </c>
      <c r="E19" s="5"/>
      <c r="F19" s="98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97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0" t="s">
        <v>232</v>
      </c>
      <c r="B22" s="300"/>
      <c r="C22" s="96"/>
      <c r="H22" s="226"/>
      <c r="I22" s="244"/>
      <c r="J22" s="244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2" t="s">
        <v>227</v>
      </c>
      <c r="B30" s="302"/>
      <c r="D30" s="246"/>
      <c r="H30" s="244"/>
      <c r="I30" s="244"/>
      <c r="J30" s="244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89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1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1">
        <f>42+0</f>
        <v>42</v>
      </c>
      <c r="C36" s="53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25</v>
      </c>
      <c r="B37" s="61">
        <f>62+8</f>
        <v>70</v>
      </c>
      <c r="C37" s="53">
        <v>1</v>
      </c>
      <c r="D37" s="61">
        <f>8</f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30</v>
      </c>
      <c r="B38" s="61">
        <f>76+21</f>
        <v>97</v>
      </c>
      <c r="C38" s="53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40</v>
      </c>
      <c r="B40" s="61">
        <f>116+21</f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50</v>
      </c>
      <c r="B42" s="61">
        <f>157+21</f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>
        <v>55</v>
      </c>
      <c r="B43" s="61">
        <f>176+21+21</f>
        <v>218</v>
      </c>
      <c r="C43" s="61">
        <v>4</v>
      </c>
      <c r="D43" s="61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>
        <v>65</v>
      </c>
      <c r="B44" s="61">
        <f>208+21+21</f>
        <v>250</v>
      </c>
      <c r="C44" s="61">
        <v>5</v>
      </c>
      <c r="D44" s="61">
        <f>21+21</f>
        <v>42</v>
      </c>
      <c r="E44" s="54"/>
      <c r="F44" s="54"/>
      <c r="G44" s="54"/>
      <c r="H44" s="54"/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>
        <v>75</v>
      </c>
      <c r="B45" s="61">
        <f>231+21+21</f>
        <v>273</v>
      </c>
      <c r="C45" s="61">
        <v>6</v>
      </c>
      <c r="D45" s="61">
        <f>21+21</f>
        <v>42</v>
      </c>
      <c r="E45" s="54"/>
      <c r="F45" s="54"/>
      <c r="G45" s="54"/>
      <c r="H45" s="54"/>
      <c r="I45" s="52">
        <f t="shared" si="1"/>
        <v>6.5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>
        <v>85</v>
      </c>
      <c r="B46" s="61">
        <f>248+21+21</f>
        <v>290</v>
      </c>
      <c r="C46" s="61">
        <v>7</v>
      </c>
      <c r="D46" s="61">
        <f>21+21</f>
        <v>42</v>
      </c>
      <c r="E46" s="54"/>
      <c r="F46" s="54"/>
      <c r="G46" s="54"/>
      <c r="H46" s="54"/>
      <c r="I46" s="52">
        <f t="shared" si="1"/>
        <v>5.9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>
        <v>95</v>
      </c>
      <c r="B47" s="61">
        <f>258+21+21</f>
        <v>300</v>
      </c>
      <c r="C47" s="61">
        <v>8</v>
      </c>
      <c r="D47" s="61">
        <f>21+21</f>
        <v>42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>
        <v>105</v>
      </c>
      <c r="B48" s="61">
        <f>264+20+21</f>
        <v>305</v>
      </c>
      <c r="C48" s="61">
        <v>9</v>
      </c>
      <c r="D48" s="61">
        <f>20+21</f>
        <v>41</v>
      </c>
      <c r="E48" s="57"/>
      <c r="F48" s="57"/>
      <c r="G48" s="57"/>
      <c r="H48" s="57"/>
      <c r="I48" s="52">
        <f t="shared" si="1"/>
        <v>4.7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>
        <v>115</v>
      </c>
      <c r="B49" s="61">
        <f>267+18+19</f>
        <v>304</v>
      </c>
      <c r="C49" s="61">
        <v>10</v>
      </c>
      <c r="D49" s="61">
        <f>18+19</f>
        <v>37</v>
      </c>
      <c r="E49" s="57"/>
      <c r="F49" s="57"/>
      <c r="G49" s="57"/>
      <c r="H49" s="57"/>
      <c r="I49" s="52">
        <f t="shared" si="1"/>
        <v>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>
        <v>125</v>
      </c>
      <c r="B50" s="61">
        <f>268+16+17</f>
        <v>301</v>
      </c>
      <c r="C50" s="61">
        <v>11</v>
      </c>
      <c r="D50" s="61">
        <f>16+17</f>
        <v>33</v>
      </c>
      <c r="E50" s="57"/>
      <c r="F50" s="57"/>
      <c r="G50" s="57"/>
      <c r="H50" s="57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>
        <v>135</v>
      </c>
      <c r="B51" s="61">
        <f>269+14+15</f>
        <v>298</v>
      </c>
      <c r="C51" s="61">
        <v>12</v>
      </c>
      <c r="D51" s="61">
        <f>14+15</f>
        <v>29</v>
      </c>
      <c r="E51" s="57"/>
      <c r="F51" s="57"/>
      <c r="G51" s="57"/>
      <c r="H51" s="57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>
        <v>145</v>
      </c>
      <c r="B52" s="61">
        <f>269+13</f>
        <v>282</v>
      </c>
      <c r="C52" s="61"/>
      <c r="D52" s="61"/>
      <c r="E52" s="57"/>
      <c r="F52" s="57"/>
      <c r="G52" s="57"/>
      <c r="H52" s="57"/>
      <c r="I52" s="52">
        <f t="shared" si="1"/>
        <v>1.3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>
        <v>150</v>
      </c>
      <c r="B53" s="61">
        <f>268+12+13</f>
        <v>293</v>
      </c>
      <c r="C53" s="61">
        <v>13</v>
      </c>
      <c r="D53" s="61">
        <f>B53</f>
        <v>293</v>
      </c>
      <c r="E53" s="57"/>
      <c r="F53" s="57"/>
      <c r="G53" s="57"/>
      <c r="H53" s="57"/>
      <c r="I53" s="52">
        <f t="shared" si="1"/>
        <v>2.2000000000000002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79"/>
      <c r="B54" s="61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79"/>
      <c r="B55" s="61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pédonculé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89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1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20</v>
      </c>
      <c r="B62" s="61">
        <f>42+0</f>
        <v>42</v>
      </c>
      <c r="C62" s="53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25</v>
      </c>
      <c r="B63" s="61">
        <f>62+8</f>
        <v>70</v>
      </c>
      <c r="C63" s="53">
        <v>1</v>
      </c>
      <c r="D63" s="61">
        <f>8</f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30</v>
      </c>
      <c r="B64" s="61">
        <f>76+21</f>
        <v>97</v>
      </c>
      <c r="C64" s="53"/>
      <c r="D64" s="61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35</v>
      </c>
      <c r="B65" s="61">
        <f>95+21+21</f>
        <v>137</v>
      </c>
      <c r="C65" s="61">
        <v>2</v>
      </c>
      <c r="D65" s="61">
        <f>21+21</f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40</v>
      </c>
      <c r="B66" s="61">
        <f>116+21</f>
        <v>137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45</v>
      </c>
      <c r="B67" s="61">
        <f>137+21+21</f>
        <v>179</v>
      </c>
      <c r="C67" s="61">
        <v>3</v>
      </c>
      <c r="D67" s="61">
        <f>21+21</f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50</v>
      </c>
      <c r="B68" s="61">
        <f>157+21</f>
        <v>178</v>
      </c>
      <c r="C68" s="61"/>
      <c r="D68" s="61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>
        <v>55</v>
      </c>
      <c r="B69" s="61">
        <f>176+21+21</f>
        <v>218</v>
      </c>
      <c r="C69" s="61">
        <v>4</v>
      </c>
      <c r="D69" s="61">
        <f>21+21</f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>
        <v>65</v>
      </c>
      <c r="B70" s="61">
        <f>208+21+21</f>
        <v>250</v>
      </c>
      <c r="C70" s="61">
        <v>5</v>
      </c>
      <c r="D70" s="61">
        <f>21+21</f>
        <v>42</v>
      </c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>
        <v>75</v>
      </c>
      <c r="B71" s="61">
        <f>231+21+21</f>
        <v>273</v>
      </c>
      <c r="C71" s="61">
        <v>6</v>
      </c>
      <c r="D71" s="61">
        <f>21+21</f>
        <v>42</v>
      </c>
      <c r="E71" s="54"/>
      <c r="F71" s="54"/>
      <c r="G71" s="54"/>
      <c r="H71" s="54"/>
      <c r="I71" s="52">
        <f t="shared" si="2"/>
        <v>6.5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>
        <v>85</v>
      </c>
      <c r="B72" s="61">
        <f>248+21+21</f>
        <v>290</v>
      </c>
      <c r="C72" s="61">
        <v>7</v>
      </c>
      <c r="D72" s="61">
        <f>21+21</f>
        <v>42</v>
      </c>
      <c r="E72" s="54"/>
      <c r="F72" s="54"/>
      <c r="G72" s="54"/>
      <c r="H72" s="54"/>
      <c r="I72" s="52">
        <f t="shared" si="2"/>
        <v>5.9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>
        <v>95</v>
      </c>
      <c r="B73" s="61">
        <f>258+21+21</f>
        <v>300</v>
      </c>
      <c r="C73" s="61">
        <v>8</v>
      </c>
      <c r="D73" s="61">
        <f>21+21</f>
        <v>42</v>
      </c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>
        <v>105</v>
      </c>
      <c r="B74" s="61">
        <f>264+20+21</f>
        <v>305</v>
      </c>
      <c r="C74" s="61">
        <v>9</v>
      </c>
      <c r="D74" s="61">
        <f>20+21</f>
        <v>41</v>
      </c>
      <c r="E74" s="57"/>
      <c r="F74" s="57"/>
      <c r="G74" s="57"/>
      <c r="H74" s="57"/>
      <c r="I74" s="52">
        <f t="shared" si="2"/>
        <v>4.7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>
        <v>115</v>
      </c>
      <c r="B75" s="61">
        <f>267+18+19</f>
        <v>304</v>
      </c>
      <c r="C75" s="61">
        <v>10</v>
      </c>
      <c r="D75" s="61">
        <f>18+19</f>
        <v>37</v>
      </c>
      <c r="E75" s="57"/>
      <c r="F75" s="57"/>
      <c r="G75" s="57"/>
      <c r="H75" s="57"/>
      <c r="I75" s="52">
        <f t="shared" si="2"/>
        <v>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>
        <v>125</v>
      </c>
      <c r="B76" s="61">
        <f>268+16+17</f>
        <v>301</v>
      </c>
      <c r="C76" s="61">
        <v>11</v>
      </c>
      <c r="D76" s="61">
        <f>16+17</f>
        <v>33</v>
      </c>
      <c r="E76" s="57"/>
      <c r="F76" s="57"/>
      <c r="G76" s="57"/>
      <c r="H76" s="57"/>
      <c r="I76" s="52">
        <f t="shared" si="2"/>
        <v>3.4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>
        <v>135</v>
      </c>
      <c r="B77" s="61">
        <f>269+14+15</f>
        <v>298</v>
      </c>
      <c r="C77" s="61">
        <v>12</v>
      </c>
      <c r="D77" s="61">
        <f>14+15</f>
        <v>29</v>
      </c>
      <c r="E77" s="57"/>
      <c r="F77" s="57"/>
      <c r="G77" s="57"/>
      <c r="H77" s="57"/>
      <c r="I77" s="52">
        <f t="shared" si="2"/>
        <v>3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>
        <v>145</v>
      </c>
      <c r="B78" s="61">
        <f>269+13</f>
        <v>282</v>
      </c>
      <c r="C78" s="61"/>
      <c r="D78" s="61"/>
      <c r="E78" s="57"/>
      <c r="F78" s="57"/>
      <c r="G78" s="57"/>
      <c r="H78" s="57"/>
      <c r="I78" s="52">
        <f t="shared" si="2"/>
        <v>1.3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>
        <v>150</v>
      </c>
      <c r="B79" s="61">
        <f>268+12+13</f>
        <v>293</v>
      </c>
      <c r="C79" s="61">
        <v>13</v>
      </c>
      <c r="D79" s="61">
        <f>B79</f>
        <v>293</v>
      </c>
      <c r="E79" s="57"/>
      <c r="F79" s="57"/>
      <c r="G79" s="57"/>
      <c r="H79" s="57"/>
      <c r="I79" s="52">
        <f t="shared" si="2"/>
        <v>2.2000000000000002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279"/>
      <c r="B80" s="61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279"/>
      <c r="B81" s="61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Aulne glutineux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89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10</v>
      </c>
      <c r="B88" s="61">
        <f>8+1</f>
        <v>9</v>
      </c>
      <c r="C88" s="61"/>
      <c r="D88" s="61"/>
      <c r="E88" s="54"/>
      <c r="F88" s="54"/>
      <c r="G88" s="54"/>
      <c r="H88" s="91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15</v>
      </c>
      <c r="B89" s="61">
        <f>33+3</f>
        <v>36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5.4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20</v>
      </c>
      <c r="B90" s="61">
        <f>75+9+3</f>
        <v>87</v>
      </c>
      <c r="C90" s="61">
        <v>1</v>
      </c>
      <c r="D90" s="61">
        <f>9+3</f>
        <v>12</v>
      </c>
      <c r="E90" s="91"/>
      <c r="F90" s="91"/>
      <c r="G90" s="91"/>
      <c r="H90" s="91">
        <v>1</v>
      </c>
      <c r="I90" s="56">
        <f t="shared" si="3"/>
        <v>10.199999999999999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25</v>
      </c>
      <c r="B91" s="61">
        <f>98+18</f>
        <v>116</v>
      </c>
      <c r="C91" s="61"/>
      <c r="D91" s="61"/>
      <c r="E91" s="91"/>
      <c r="F91" s="91"/>
      <c r="G91" s="91"/>
      <c r="H91" s="91"/>
      <c r="I91" s="56">
        <f t="shared" si="3"/>
        <v>8.1999999999999993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30</v>
      </c>
      <c r="B92" s="61">
        <f>117+20+18</f>
        <v>155</v>
      </c>
      <c r="C92" s="61">
        <v>2</v>
      </c>
      <c r="D92" s="61">
        <f>20+18</f>
        <v>38</v>
      </c>
      <c r="E92" s="91"/>
      <c r="F92" s="91"/>
      <c r="G92" s="91"/>
      <c r="H92" s="91">
        <v>1</v>
      </c>
      <c r="I92" s="56">
        <f t="shared" si="3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35</v>
      </c>
      <c r="B93" s="61">
        <f>132+21</f>
        <v>153</v>
      </c>
      <c r="C93" s="61"/>
      <c r="D93" s="61"/>
      <c r="E93" s="91"/>
      <c r="F93" s="91"/>
      <c r="G93" s="91"/>
      <c r="H93" s="91"/>
      <c r="I93" s="56">
        <f t="shared" si="3"/>
        <v>7.2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61">
        <v>40</v>
      </c>
      <c r="B94" s="61">
        <f>145+22+21</f>
        <v>188</v>
      </c>
      <c r="C94" s="61">
        <v>3</v>
      </c>
      <c r="D94" s="61">
        <f>22+21</f>
        <v>43</v>
      </c>
      <c r="E94" s="91"/>
      <c r="F94" s="91"/>
      <c r="G94" s="91"/>
      <c r="H94" s="91"/>
      <c r="I94" s="56">
        <f t="shared" si="3"/>
        <v>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1">
        <v>45</v>
      </c>
      <c r="B95" s="61">
        <f>155+22</f>
        <v>177</v>
      </c>
      <c r="C95" s="61"/>
      <c r="D95" s="61"/>
      <c r="E95" s="54"/>
      <c r="F95" s="54"/>
      <c r="G95" s="54"/>
      <c r="H95" s="54"/>
      <c r="I95" s="56">
        <f t="shared" si="3"/>
        <v>6.4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1">
        <v>50</v>
      </c>
      <c r="B96" s="61">
        <f>163+21+22</f>
        <v>206</v>
      </c>
      <c r="C96" s="61">
        <v>4</v>
      </c>
      <c r="D96" s="61">
        <f>21+22</f>
        <v>43</v>
      </c>
      <c r="E96" s="54"/>
      <c r="F96" s="54"/>
      <c r="G96" s="54"/>
      <c r="H96" s="54"/>
      <c r="I96" s="56">
        <f t="shared" si="3"/>
        <v>5.8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1">
        <v>55</v>
      </c>
      <c r="B97" s="61">
        <f>171+20</f>
        <v>191</v>
      </c>
      <c r="C97" s="61"/>
      <c r="D97" s="61"/>
      <c r="E97" s="54"/>
      <c r="F97" s="54"/>
      <c r="G97" s="54"/>
      <c r="H97" s="54"/>
      <c r="I97" s="56">
        <f t="shared" si="3"/>
        <v>5.6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1">
        <v>60</v>
      </c>
      <c r="B98" s="61">
        <f>177+19+20</f>
        <v>216</v>
      </c>
      <c r="C98" s="61">
        <v>5</v>
      </c>
      <c r="D98" s="61">
        <f>19+20</f>
        <v>39</v>
      </c>
      <c r="E98" s="54"/>
      <c r="F98" s="54"/>
      <c r="G98" s="54"/>
      <c r="H98" s="54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1">
        <v>65</v>
      </c>
      <c r="B99" s="61">
        <f>183+18</f>
        <v>201</v>
      </c>
      <c r="C99" s="61"/>
      <c r="D99" s="61"/>
      <c r="E99" s="54"/>
      <c r="F99" s="54"/>
      <c r="G99" s="54"/>
      <c r="H99" s="54"/>
      <c r="I99" s="56">
        <f t="shared" si="3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1">
        <v>70</v>
      </c>
      <c r="B100" s="61">
        <f>188+17+18</f>
        <v>223</v>
      </c>
      <c r="C100" s="61">
        <v>6</v>
      </c>
      <c r="D100" s="61">
        <f>17+18</f>
        <v>35</v>
      </c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1">
        <v>75</v>
      </c>
      <c r="B101" s="61">
        <f>192+16</f>
        <v>208</v>
      </c>
      <c r="C101" s="61"/>
      <c r="D101" s="61"/>
      <c r="E101" s="54"/>
      <c r="F101" s="54"/>
      <c r="G101" s="54"/>
      <c r="H101" s="54"/>
      <c r="I101" s="56">
        <f t="shared" si="3"/>
        <v>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1">
        <v>80</v>
      </c>
      <c r="B102" s="61">
        <f>196+15+16</f>
        <v>227</v>
      </c>
      <c r="C102" s="61">
        <v>7</v>
      </c>
      <c r="D102" s="61">
        <f>15+16</f>
        <v>31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1">
        <v>85</v>
      </c>
      <c r="B103" s="61">
        <f>200+14</f>
        <v>214</v>
      </c>
      <c r="C103" s="61"/>
      <c r="D103" s="61"/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279">
        <v>90</v>
      </c>
      <c r="B104" s="61">
        <f>204+13+14</f>
        <v>231</v>
      </c>
      <c r="C104" s="61">
        <v>8</v>
      </c>
      <c r="D104" s="61">
        <f>204+13+14</f>
        <v>231</v>
      </c>
      <c r="E104" s="54"/>
      <c r="F104" s="54"/>
      <c r="G104" s="54"/>
      <c r="H104" s="54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279"/>
      <c r="B105" s="61"/>
      <c r="C105" s="61"/>
      <c r="D105" s="61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279"/>
      <c r="B106" s="61"/>
      <c r="C106" s="61"/>
      <c r="D106" s="61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279"/>
      <c r="B107" s="61"/>
      <c r="C107" s="61"/>
      <c r="D107" s="61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Bouleau verruqueux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89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>
        <v>15</v>
      </c>
      <c r="B114" s="61">
        <f>42</f>
        <v>42</v>
      </c>
      <c r="C114" s="61"/>
      <c r="D114" s="61"/>
      <c r="E114" s="54"/>
      <c r="F114" s="54"/>
      <c r="G114" s="54"/>
      <c r="H114" s="91"/>
      <c r="I114" s="56">
        <f>IFERROR(B114/A114,"")</f>
        <v>2.8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>
        <v>20</v>
      </c>
      <c r="B115" s="61">
        <f>54+15</f>
        <v>69</v>
      </c>
      <c r="C115" s="61">
        <v>1</v>
      </c>
      <c r="D115" s="61">
        <f>15</f>
        <v>15</v>
      </c>
      <c r="E115" s="54"/>
      <c r="F115" s="54"/>
      <c r="G115" s="54"/>
      <c r="H115" s="91">
        <v>1</v>
      </c>
      <c r="I115" s="56">
        <f t="shared" ref="I115:I133" si="4">IF(A115&lt;&gt;0,(B115-(B114-D114))/(A115-A114),"")</f>
        <v>5.4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>
        <v>25</v>
      </c>
      <c r="B116" s="61">
        <f>73+10</f>
        <v>83</v>
      </c>
      <c r="C116" s="61"/>
      <c r="D116" s="61"/>
      <c r="E116" s="91"/>
      <c r="F116" s="91"/>
      <c r="G116" s="91"/>
      <c r="H116" s="91"/>
      <c r="I116" s="56">
        <f t="shared" si="4"/>
        <v>5.8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>
        <v>30</v>
      </c>
      <c r="B117" s="61">
        <f>92+11+10</f>
        <v>113</v>
      </c>
      <c r="C117" s="61">
        <v>2</v>
      </c>
      <c r="D117" s="61">
        <f>11+10</f>
        <v>21</v>
      </c>
      <c r="E117" s="91"/>
      <c r="F117" s="91"/>
      <c r="G117" s="91"/>
      <c r="H117" s="91">
        <v>1</v>
      </c>
      <c r="I117" s="56">
        <f t="shared" si="4"/>
        <v>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>
        <v>35</v>
      </c>
      <c r="B118" s="61">
        <f>109+12</f>
        <v>121</v>
      </c>
      <c r="C118" s="61"/>
      <c r="D118" s="61"/>
      <c r="E118" s="91"/>
      <c r="F118" s="91"/>
      <c r="G118" s="91"/>
      <c r="H118" s="91"/>
      <c r="I118" s="56">
        <f t="shared" si="4"/>
        <v>5.8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>
        <v>40</v>
      </c>
      <c r="B119" s="61">
        <f>126+13+12</f>
        <v>151</v>
      </c>
      <c r="C119" s="61">
        <v>3</v>
      </c>
      <c r="D119" s="61">
        <f>13+12</f>
        <v>25</v>
      </c>
      <c r="E119" s="91"/>
      <c r="F119" s="91"/>
      <c r="G119" s="91"/>
      <c r="H119" s="91"/>
      <c r="I119" s="56">
        <f t="shared" si="4"/>
        <v>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1">
        <v>45</v>
      </c>
      <c r="B120" s="61">
        <f>142+14</f>
        <v>156</v>
      </c>
      <c r="C120" s="61"/>
      <c r="D120" s="61"/>
      <c r="E120" s="91"/>
      <c r="F120" s="91"/>
      <c r="G120" s="91"/>
      <c r="H120" s="91"/>
      <c r="I120" s="56">
        <f t="shared" si="4"/>
        <v>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1">
        <v>50</v>
      </c>
      <c r="B121" s="61">
        <f>157+14+14</f>
        <v>185</v>
      </c>
      <c r="C121" s="61">
        <v>4</v>
      </c>
      <c r="D121" s="61">
        <f>14+14</f>
        <v>28</v>
      </c>
      <c r="E121" s="54"/>
      <c r="F121" s="54"/>
      <c r="G121" s="54"/>
      <c r="H121" s="54"/>
      <c r="I121" s="56">
        <f t="shared" si="4"/>
        <v>5.8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1">
        <v>55</v>
      </c>
      <c r="B122" s="61">
        <f>170+14</f>
        <v>184</v>
      </c>
      <c r="C122" s="61"/>
      <c r="D122" s="61"/>
      <c r="E122" s="54"/>
      <c r="F122" s="54"/>
      <c r="G122" s="54"/>
      <c r="H122" s="54"/>
      <c r="I122" s="56">
        <f t="shared" si="4"/>
        <v>5.4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1">
        <v>60</v>
      </c>
      <c r="B123" s="61">
        <f>183+14+14</f>
        <v>211</v>
      </c>
      <c r="C123" s="61">
        <v>5</v>
      </c>
      <c r="D123" s="61">
        <f>14+14</f>
        <v>28</v>
      </c>
      <c r="E123" s="54"/>
      <c r="F123" s="54"/>
      <c r="G123" s="54"/>
      <c r="H123" s="54"/>
      <c r="I123" s="56">
        <f t="shared" si="4"/>
        <v>5.4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1">
        <v>65</v>
      </c>
      <c r="B124" s="61">
        <f>194+14</f>
        <v>208</v>
      </c>
      <c r="C124" s="61"/>
      <c r="D124" s="61"/>
      <c r="E124" s="54"/>
      <c r="F124" s="54"/>
      <c r="G124" s="54"/>
      <c r="H124" s="54"/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1">
        <v>70</v>
      </c>
      <c r="B125" s="61">
        <f>204+14+14</f>
        <v>232</v>
      </c>
      <c r="C125" s="61">
        <v>6</v>
      </c>
      <c r="D125" s="61">
        <f>14+14</f>
        <v>28</v>
      </c>
      <c r="E125" s="54"/>
      <c r="F125" s="54"/>
      <c r="G125" s="54"/>
      <c r="H125" s="54"/>
      <c r="I125" s="56">
        <f t="shared" si="4"/>
        <v>4.8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1">
        <v>75</v>
      </c>
      <c r="B126" s="61">
        <f>213+14</f>
        <v>227</v>
      </c>
      <c r="C126" s="61"/>
      <c r="D126" s="61"/>
      <c r="E126" s="54"/>
      <c r="F126" s="54"/>
      <c r="G126" s="54"/>
      <c r="H126" s="54"/>
      <c r="I126" s="56">
        <f t="shared" si="4"/>
        <v>4.5999999999999996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1">
        <v>80</v>
      </c>
      <c r="B127" s="61">
        <f>221+13+14</f>
        <v>248</v>
      </c>
      <c r="C127" s="61">
        <v>7</v>
      </c>
      <c r="D127" s="61">
        <f>13+14</f>
        <v>27</v>
      </c>
      <c r="E127" s="54"/>
      <c r="F127" s="54"/>
      <c r="G127" s="54"/>
      <c r="H127" s="54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61">
        <v>85</v>
      </c>
      <c r="B128" s="61">
        <f>228+13</f>
        <v>241</v>
      </c>
      <c r="C128" s="61"/>
      <c r="D128" s="61"/>
      <c r="E128" s="57"/>
      <c r="F128" s="57"/>
      <c r="G128" s="57"/>
      <c r="H128" s="57"/>
      <c r="I128" s="56">
        <f t="shared" si="4"/>
        <v>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61">
        <v>90</v>
      </c>
      <c r="B129" s="61">
        <f>234+12+13</f>
        <v>259</v>
      </c>
      <c r="C129" s="61">
        <v>8</v>
      </c>
      <c r="D129" s="61">
        <f>234+12+13</f>
        <v>259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279"/>
      <c r="B130" s="61"/>
      <c r="C130" s="61"/>
      <c r="D130" s="61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279"/>
      <c r="B131" s="61"/>
      <c r="C131" s="61"/>
      <c r="D131" s="61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279"/>
      <c r="B132" s="61"/>
      <c r="C132" s="61"/>
      <c r="D132" s="61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279"/>
      <c r="B133" s="61"/>
      <c r="C133" s="61"/>
      <c r="D133" s="61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>Charme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89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>
        <v>15</v>
      </c>
      <c r="B140" s="289">
        <f>57/1.56</f>
        <v>36.53846153846154</v>
      </c>
      <c r="C140" s="289"/>
      <c r="D140" s="289"/>
      <c r="E140" s="54"/>
      <c r="F140" s="54"/>
      <c r="G140" s="54"/>
      <c r="H140" s="54"/>
      <c r="I140" s="59">
        <f>IFERROR(B140/A140,"")</f>
        <v>2.4358974358974361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>
        <v>20</v>
      </c>
      <c r="B141" s="289">
        <f>95/1.56</f>
        <v>60.897435897435898</v>
      </c>
      <c r="C141" s="289">
        <v>1</v>
      </c>
      <c r="D141" s="290">
        <f>(15+11)/1.56</f>
        <v>16.666666666666668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4.8717948717948714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>
        <v>25</v>
      </c>
      <c r="B142" s="289">
        <f>131/1.56</f>
        <v>83.974358974358978</v>
      </c>
      <c r="C142" s="289"/>
      <c r="D142" s="289"/>
      <c r="E142" s="54"/>
      <c r="F142" s="54"/>
      <c r="G142" s="54"/>
      <c r="H142" s="54"/>
      <c r="I142" s="59">
        <f t="shared" si="5"/>
        <v>7.9487179487179507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>
        <v>30</v>
      </c>
      <c r="B143" s="289">
        <f>(163+19)/1.56</f>
        <v>116.66666666666666</v>
      </c>
      <c r="C143" s="289">
        <v>2</v>
      </c>
      <c r="D143" s="289">
        <f>(21+19)/1.56</f>
        <v>25.641025641025639</v>
      </c>
      <c r="E143" s="54"/>
      <c r="F143" s="54"/>
      <c r="G143" s="54"/>
      <c r="H143" s="54">
        <v>1</v>
      </c>
      <c r="I143" s="59">
        <f t="shared" si="5"/>
        <v>6.5384615384615357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>
        <v>35</v>
      </c>
      <c r="B144" s="289">
        <f>192/1.56</f>
        <v>123.07692307692307</v>
      </c>
      <c r="C144" s="289"/>
      <c r="D144" s="289"/>
      <c r="E144" s="54"/>
      <c r="F144" s="54"/>
      <c r="G144" s="54"/>
      <c r="H144" s="54"/>
      <c r="I144" s="59">
        <f t="shared" si="5"/>
        <v>6.4102564102564088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61">
        <v>40</v>
      </c>
      <c r="B145" s="289">
        <f>(216+22)/1.56</f>
        <v>152.56410256410257</v>
      </c>
      <c r="C145" s="289">
        <v>3</v>
      </c>
      <c r="D145" s="289">
        <f>(23+22)/1.56</f>
        <v>28.846153846153847</v>
      </c>
      <c r="E145" s="54"/>
      <c r="F145" s="54"/>
      <c r="G145" s="54"/>
      <c r="H145" s="54"/>
      <c r="I145" s="59">
        <f t="shared" si="5"/>
        <v>5.8974358974359005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61">
        <v>45</v>
      </c>
      <c r="B146" s="289">
        <f>238/1.56</f>
        <v>152.56410256410257</v>
      </c>
      <c r="C146" s="289"/>
      <c r="D146" s="289"/>
      <c r="E146" s="54"/>
      <c r="F146" s="54"/>
      <c r="G146" s="54"/>
      <c r="H146" s="54"/>
      <c r="I146" s="59">
        <f t="shared" si="5"/>
        <v>5.7692307692307683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61">
        <v>50</v>
      </c>
      <c r="B147" s="289">
        <f>(257+24)/1.56</f>
        <v>180.12820512820511</v>
      </c>
      <c r="C147" s="289">
        <v>4</v>
      </c>
      <c r="D147" s="289">
        <f>(24+24)/1.56</f>
        <v>30.769230769230766</v>
      </c>
      <c r="E147" s="54"/>
      <c r="F147" s="54"/>
      <c r="G147" s="54"/>
      <c r="H147" s="54"/>
      <c r="I147" s="59">
        <f>IF(A147&lt;&gt;0,(B147-(B146-D146))/(A147-A146),"")</f>
        <v>5.5128205128205083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61">
        <v>55</v>
      </c>
      <c r="B148" s="289">
        <f>274/1.56</f>
        <v>175.64102564102564</v>
      </c>
      <c r="C148" s="289"/>
      <c r="D148" s="289"/>
      <c r="E148" s="54"/>
      <c r="F148" s="54"/>
      <c r="G148" s="54"/>
      <c r="H148" s="54"/>
      <c r="I148" s="59">
        <f t="shared" si="5"/>
        <v>5.2564102564102599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61">
        <v>60</v>
      </c>
      <c r="B149" s="289">
        <f>(289+23)/1.56</f>
        <v>200</v>
      </c>
      <c r="C149" s="289">
        <v>5</v>
      </c>
      <c r="D149" s="289">
        <f>(23+23)/1.56</f>
        <v>29.487179487179485</v>
      </c>
      <c r="E149" s="54"/>
      <c r="F149" s="54"/>
      <c r="G149" s="54"/>
      <c r="H149" s="54"/>
      <c r="I149" s="59">
        <f t="shared" si="5"/>
        <v>4.8717948717948731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61">
        <v>65</v>
      </c>
      <c r="B150" s="289">
        <f>302/1.56</f>
        <v>193.58974358974359</v>
      </c>
      <c r="C150" s="289"/>
      <c r="D150" s="289"/>
      <c r="E150" s="54"/>
      <c r="F150" s="54"/>
      <c r="G150" s="54"/>
      <c r="H150" s="54"/>
      <c r="I150" s="59">
        <f t="shared" si="5"/>
        <v>4.6153846153846132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61">
        <v>70</v>
      </c>
      <c r="B151" s="289">
        <f>(313+23)/1.56</f>
        <v>215.38461538461539</v>
      </c>
      <c r="C151" s="289">
        <v>6</v>
      </c>
      <c r="D151" s="289">
        <f>(22+23)/1.56</f>
        <v>28.846153846153847</v>
      </c>
      <c r="E151" s="54"/>
      <c r="F151" s="54"/>
      <c r="G151" s="54"/>
      <c r="H151" s="54"/>
      <c r="I151" s="59">
        <f t="shared" si="5"/>
        <v>4.3589743589743595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61">
        <v>75</v>
      </c>
      <c r="B152" s="289">
        <f>324/1.56</f>
        <v>207.69230769230768</v>
      </c>
      <c r="C152" s="289"/>
      <c r="D152" s="289"/>
      <c r="E152" s="54"/>
      <c r="F152" s="54"/>
      <c r="G152" s="54"/>
      <c r="H152" s="54"/>
      <c r="I152" s="59">
        <f t="shared" si="5"/>
        <v>4.2307692307692264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61">
        <v>80</v>
      </c>
      <c r="B153" s="289">
        <f>(333+22)/1.56</f>
        <v>227.56410256410257</v>
      </c>
      <c r="C153" s="289">
        <v>7</v>
      </c>
      <c r="D153" s="289">
        <f>(21+22)/1.56</f>
        <v>27.564102564102562</v>
      </c>
      <c r="E153" s="54"/>
      <c r="F153" s="54"/>
      <c r="G153" s="54"/>
      <c r="H153" s="54"/>
      <c r="I153" s="59">
        <f t="shared" si="5"/>
        <v>3.974358974358978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61">
        <v>85</v>
      </c>
      <c r="B154" s="289">
        <f>342/1.56</f>
        <v>219.23076923076923</v>
      </c>
      <c r="C154" s="289"/>
      <c r="D154" s="289"/>
      <c r="E154" s="54"/>
      <c r="F154" s="54"/>
      <c r="G154" s="54"/>
      <c r="H154" s="54"/>
      <c r="I154" s="59">
        <f t="shared" si="5"/>
        <v>3.8461538461538454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61">
        <v>90</v>
      </c>
      <c r="B155" s="289">
        <f>(350+20)/1.56</f>
        <v>237.17948717948718</v>
      </c>
      <c r="C155" s="289">
        <v>8</v>
      </c>
      <c r="D155" s="289">
        <f>(20+20)/1.56</f>
        <v>25.641025641025639</v>
      </c>
      <c r="E155" s="54"/>
      <c r="F155" s="54"/>
      <c r="G155" s="54"/>
      <c r="H155" s="54"/>
      <c r="I155" s="59">
        <f t="shared" si="5"/>
        <v>3.5897435897435912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61">
        <v>100</v>
      </c>
      <c r="B156" s="289">
        <f>(365+19)/1.56</f>
        <v>246.15384615384613</v>
      </c>
      <c r="C156" s="289">
        <v>9</v>
      </c>
      <c r="D156" s="289">
        <f>(18+19)/1.56</f>
        <v>23.717948717948715</v>
      </c>
      <c r="E156" s="54"/>
      <c r="F156" s="54"/>
      <c r="G156" s="54"/>
      <c r="H156" s="54"/>
      <c r="I156" s="59">
        <f t="shared" si="5"/>
        <v>3.4615384615384586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61">
        <v>110</v>
      </c>
      <c r="B157" s="289">
        <f>(377+18)/1.56</f>
        <v>253.2051282051282</v>
      </c>
      <c r="C157" s="289">
        <v>10</v>
      </c>
      <c r="D157" s="289">
        <f>(17+18)/1.56</f>
        <v>22.435897435897434</v>
      </c>
      <c r="E157" s="54"/>
      <c r="F157" s="54"/>
      <c r="G157" s="54"/>
      <c r="H157" s="54"/>
      <c r="I157" s="59">
        <f t="shared" si="5"/>
        <v>3.0769230769230802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61">
        <v>120</v>
      </c>
      <c r="B158" s="289">
        <f>(388+17)/1.56</f>
        <v>259.61538461538458</v>
      </c>
      <c r="C158" s="289">
        <v>11</v>
      </c>
      <c r="D158" s="289">
        <f>(388+17)/1.56</f>
        <v>259.61538461538458</v>
      </c>
      <c r="E158" s="54"/>
      <c r="F158" s="54"/>
      <c r="G158" s="54"/>
      <c r="H158" s="54"/>
      <c r="I158" s="59">
        <f t="shared" si="5"/>
        <v>2.884615384615381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61"/>
      <c r="B159" s="289"/>
      <c r="C159" s="289"/>
      <c r="D159" s="289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>Tilleul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89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>
        <v>15</v>
      </c>
      <c r="B166" s="61">
        <f>78/1.56</f>
        <v>50</v>
      </c>
      <c r="C166" s="61"/>
      <c r="D166" s="61"/>
      <c r="E166" s="54"/>
      <c r="F166" s="54"/>
      <c r="G166" s="54"/>
      <c r="H166" s="54"/>
      <c r="I166" s="52">
        <f>IFERROR(B166/A166,"")</f>
        <v>3.3333333333333335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>
        <v>20</v>
      </c>
      <c r="B167" s="61">
        <f>126/1.56</f>
        <v>80.769230769230759</v>
      </c>
      <c r="C167" s="61">
        <v>1</v>
      </c>
      <c r="D167" s="61">
        <f>(22+16)/1.56</f>
        <v>24.358974358974358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6.1538461538461515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>
        <v>25</v>
      </c>
      <c r="B168" s="61">
        <f>170/1.56</f>
        <v>108.97435897435896</v>
      </c>
      <c r="C168" s="61"/>
      <c r="D168" s="61"/>
      <c r="E168" s="54"/>
      <c r="F168" s="54"/>
      <c r="G168" s="54"/>
      <c r="H168" s="54"/>
      <c r="I168" s="52">
        <f t="shared" si="6"/>
        <v>10.512820512820513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>
        <v>30</v>
      </c>
      <c r="B169" s="61">
        <f>(208+25)/1.56</f>
        <v>149.35897435897436</v>
      </c>
      <c r="C169" s="61">
        <v>2</v>
      </c>
      <c r="D169" s="61">
        <f>(26+25)/1.56</f>
        <v>32.692307692307693</v>
      </c>
      <c r="E169" s="54"/>
      <c r="F169" s="54">
        <v>0.1</v>
      </c>
      <c r="G169" s="54"/>
      <c r="H169" s="54">
        <v>0.9</v>
      </c>
      <c r="I169" s="52">
        <f t="shared" si="6"/>
        <v>8.0769230769230802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>
        <v>35</v>
      </c>
      <c r="B170" s="61">
        <f>242/1.56</f>
        <v>155.12820512820511</v>
      </c>
      <c r="C170" s="61"/>
      <c r="D170" s="61"/>
      <c r="E170" s="54"/>
      <c r="F170" s="54"/>
      <c r="G170" s="54"/>
      <c r="H170" s="54"/>
      <c r="I170" s="52">
        <f t="shared" si="6"/>
        <v>7.6923076923076881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>
        <v>40</v>
      </c>
      <c r="B171" s="61">
        <f>(271+27)/1.56</f>
        <v>191.02564102564102</v>
      </c>
      <c r="C171" s="61">
        <v>3</v>
      </c>
      <c r="D171" s="61">
        <f>(27+27)/1.56</f>
        <v>34.615384615384613</v>
      </c>
      <c r="E171" s="54"/>
      <c r="F171" s="54"/>
      <c r="G171" s="54"/>
      <c r="H171" s="54"/>
      <c r="I171" s="52">
        <f t="shared" si="6"/>
        <v>7.1794871794871824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61">
        <v>45</v>
      </c>
      <c r="B172" s="61">
        <f>297/1.56</f>
        <v>190.38461538461539</v>
      </c>
      <c r="C172" s="61"/>
      <c r="D172" s="61"/>
      <c r="E172" s="54"/>
      <c r="F172" s="54"/>
      <c r="G172" s="54"/>
      <c r="H172" s="54"/>
      <c r="I172" s="52">
        <f t="shared" si="6"/>
        <v>6.7948717948717956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61">
        <v>50</v>
      </c>
      <c r="B173" s="61">
        <f>(320+26)/1.56</f>
        <v>221.7948717948718</v>
      </c>
      <c r="C173" s="61">
        <v>4</v>
      </c>
      <c r="D173" s="61">
        <f>(25+26)/1.56</f>
        <v>32.692307692307693</v>
      </c>
      <c r="E173" s="54"/>
      <c r="F173" s="54"/>
      <c r="G173" s="54"/>
      <c r="H173" s="54"/>
      <c r="I173" s="52">
        <f t="shared" si="6"/>
        <v>6.2820512820512819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61">
        <v>55</v>
      </c>
      <c r="B174" s="61">
        <f>340/1.56</f>
        <v>217.94871794871793</v>
      </c>
      <c r="C174" s="61"/>
      <c r="D174" s="61"/>
      <c r="E174" s="54"/>
      <c r="F174" s="54"/>
      <c r="G174" s="54"/>
      <c r="H174" s="54"/>
      <c r="I174" s="52">
        <f t="shared" si="6"/>
        <v>5.7692307692307683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61">
        <v>60</v>
      </c>
      <c r="B175" s="61">
        <f>(358+24)/1.56</f>
        <v>244.87179487179486</v>
      </c>
      <c r="C175" s="61">
        <v>5</v>
      </c>
      <c r="D175" s="61">
        <f>(23+24)/1.56</f>
        <v>30.128205128205128</v>
      </c>
      <c r="E175" s="54"/>
      <c r="F175" s="54"/>
      <c r="G175" s="54"/>
      <c r="H175" s="54"/>
      <c r="I175" s="52">
        <f t="shared" si="6"/>
        <v>5.3846153846153868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61">
        <v>65</v>
      </c>
      <c r="B176" s="61">
        <f>375/1.56</f>
        <v>240.38461538461539</v>
      </c>
      <c r="C176" s="61"/>
      <c r="D176" s="61"/>
      <c r="E176" s="54"/>
      <c r="F176" s="54"/>
      <c r="G176" s="54"/>
      <c r="H176" s="54"/>
      <c r="I176" s="52">
        <f t="shared" si="6"/>
        <v>5.1282051282051331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61">
        <v>70</v>
      </c>
      <c r="B177" s="61">
        <f>(393+21)/1.56</f>
        <v>265.38461538461536</v>
      </c>
      <c r="C177" s="61">
        <v>6</v>
      </c>
      <c r="D177" s="61">
        <f>(22+21)/1.56</f>
        <v>27.564102564102562</v>
      </c>
      <c r="E177" s="54"/>
      <c r="F177" s="54"/>
      <c r="G177" s="54"/>
      <c r="H177" s="54"/>
      <c r="I177" s="52">
        <f t="shared" si="6"/>
        <v>4.9999999999999947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61">
        <v>75</v>
      </c>
      <c r="B178" s="61">
        <f>407/1.56</f>
        <v>260.89743589743591</v>
      </c>
      <c r="C178" s="61"/>
      <c r="D178" s="61"/>
      <c r="E178" s="54"/>
      <c r="F178" s="54"/>
      <c r="G178" s="54"/>
      <c r="H178" s="54"/>
      <c r="I178" s="52">
        <f t="shared" si="6"/>
        <v>4.6153846153846247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61">
        <v>80</v>
      </c>
      <c r="B179" s="61">
        <f>(419+21)/1.56</f>
        <v>282.05128205128204</v>
      </c>
      <c r="C179" s="61">
        <v>7</v>
      </c>
      <c r="D179" s="61">
        <f>(20+21)/1.56</f>
        <v>26.282051282051281</v>
      </c>
      <c r="E179" s="54"/>
      <c r="F179" s="54"/>
      <c r="G179" s="54"/>
      <c r="H179" s="54"/>
      <c r="I179" s="52">
        <f t="shared" si="6"/>
        <v>4.2307692307692264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61">
        <v>85</v>
      </c>
      <c r="B180" s="61">
        <f>431/1.56</f>
        <v>276.28205128205127</v>
      </c>
      <c r="C180" s="61"/>
      <c r="D180" s="61"/>
      <c r="E180" s="54"/>
      <c r="F180" s="54"/>
      <c r="G180" s="54"/>
      <c r="H180" s="54"/>
      <c r="I180" s="52">
        <f t="shared" si="6"/>
        <v>4.1025641025640995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61">
        <v>90</v>
      </c>
      <c r="B181" s="61">
        <f>(442+19)/1.56</f>
        <v>295.5128205128205</v>
      </c>
      <c r="C181" s="61">
        <v>8</v>
      </c>
      <c r="D181" s="61">
        <f>(19+19)/1.56</f>
        <v>24.358974358974358</v>
      </c>
      <c r="E181" s="54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61">
        <v>95</v>
      </c>
      <c r="B182" s="61">
        <f>452/1.56</f>
        <v>289.74358974358972</v>
      </c>
      <c r="C182" s="61"/>
      <c r="D182" s="61"/>
      <c r="E182" s="54"/>
      <c r="F182" s="54"/>
      <c r="G182" s="54"/>
      <c r="H182" s="54"/>
      <c r="I182" s="52">
        <f t="shared" si="6"/>
        <v>3.7179487179487181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61">
        <v>100</v>
      </c>
      <c r="B183" s="61">
        <f>(462+18)/1.56</f>
        <v>307.69230769230768</v>
      </c>
      <c r="C183" s="61">
        <v>9</v>
      </c>
      <c r="D183" s="61">
        <f>(17+18)/1.56</f>
        <v>22.435897435897434</v>
      </c>
      <c r="E183" s="54"/>
      <c r="F183" s="54"/>
      <c r="G183" s="54"/>
      <c r="H183" s="54"/>
      <c r="I183" s="52">
        <f t="shared" si="6"/>
        <v>3.5897435897435912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61">
        <v>105</v>
      </c>
      <c r="B184" s="61">
        <f>470/1.56</f>
        <v>301.28205128205127</v>
      </c>
      <c r="C184" s="61"/>
      <c r="D184" s="61"/>
      <c r="E184" s="54"/>
      <c r="F184" s="54"/>
      <c r="G184" s="54"/>
      <c r="H184" s="54"/>
      <c r="I184" s="52">
        <f t="shared" si="6"/>
        <v>3.2051282051282102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61">
        <v>110</v>
      </c>
      <c r="B185" s="61">
        <f>(479+17)/1.56</f>
        <v>317.94871794871796</v>
      </c>
      <c r="C185" s="61">
        <v>10</v>
      </c>
      <c r="D185" s="61">
        <f>B185</f>
        <v>317.94871794871796</v>
      </c>
      <c r="E185" s="54"/>
      <c r="F185" s="54"/>
      <c r="G185" s="54"/>
      <c r="H185" s="54"/>
      <c r="I185" s="52">
        <f t="shared" si="6"/>
        <v>3.333333333333337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>Merisier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89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>
        <v>25</v>
      </c>
      <c r="B192" s="61">
        <v>89</v>
      </c>
      <c r="C192" s="61">
        <v>1</v>
      </c>
      <c r="D192" s="61">
        <v>28</v>
      </c>
      <c r="E192" s="54"/>
      <c r="F192" s="54"/>
      <c r="G192" s="54"/>
      <c r="H192" s="54">
        <v>1</v>
      </c>
      <c r="I192" s="52">
        <f>IFERROR(B192/A192,"")</f>
        <v>3.56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>
        <v>30</v>
      </c>
      <c r="B193" s="61">
        <v>132</v>
      </c>
      <c r="C193" s="61">
        <v>2</v>
      </c>
      <c r="D193" s="61">
        <v>24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14.2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>
        <v>35</v>
      </c>
      <c r="B194" s="61">
        <v>173</v>
      </c>
      <c r="C194" s="61">
        <v>3</v>
      </c>
      <c r="D194" s="61">
        <v>27</v>
      </c>
      <c r="E194" s="54"/>
      <c r="F194" s="54"/>
      <c r="G194" s="54"/>
      <c r="H194" s="54"/>
      <c r="I194" s="52">
        <f t="shared" si="7"/>
        <v>13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>
        <v>40</v>
      </c>
      <c r="B195" s="61">
        <v>208</v>
      </c>
      <c r="C195" s="61">
        <v>4</v>
      </c>
      <c r="D195" s="61">
        <v>32</v>
      </c>
      <c r="E195" s="54"/>
      <c r="F195" s="54"/>
      <c r="G195" s="54"/>
      <c r="H195" s="54"/>
      <c r="I195" s="52">
        <f t="shared" si="7"/>
        <v>12.4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>
        <v>45</v>
      </c>
      <c r="B196" s="61">
        <v>233</v>
      </c>
      <c r="C196" s="61">
        <v>5</v>
      </c>
      <c r="D196" s="61">
        <v>31</v>
      </c>
      <c r="E196" s="54"/>
      <c r="F196" s="54"/>
      <c r="G196" s="54"/>
      <c r="H196" s="54"/>
      <c r="I196" s="52">
        <f t="shared" si="7"/>
        <v>11.4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>
        <v>50</v>
      </c>
      <c r="B197" s="61">
        <v>253</v>
      </c>
      <c r="C197" s="61">
        <v>6</v>
      </c>
      <c r="D197" s="61">
        <v>30</v>
      </c>
      <c r="E197" s="54"/>
      <c r="F197" s="54"/>
      <c r="G197" s="54"/>
      <c r="H197" s="54"/>
      <c r="I197" s="52">
        <f t="shared" si="7"/>
        <v>10.199999999999999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>
        <v>55</v>
      </c>
      <c r="B198" s="61">
        <v>264</v>
      </c>
      <c r="C198" s="61">
        <v>7</v>
      </c>
      <c r="D198" s="61">
        <v>30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>
        <v>60</v>
      </c>
      <c r="B199" s="61">
        <v>271</v>
      </c>
      <c r="C199" s="53">
        <v>8</v>
      </c>
      <c r="D199" s="61">
        <v>27</v>
      </c>
      <c r="E199" s="54"/>
      <c r="F199" s="54"/>
      <c r="G199" s="54"/>
      <c r="H199" s="54"/>
      <c r="I199" s="52">
        <f t="shared" si="7"/>
        <v>7.4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>
        <v>65</v>
      </c>
      <c r="B200" s="61">
        <v>276</v>
      </c>
      <c r="C200" s="53">
        <v>9</v>
      </c>
      <c r="D200" s="61">
        <v>26</v>
      </c>
      <c r="E200" s="54"/>
      <c r="F200" s="54"/>
      <c r="G200" s="54"/>
      <c r="H200" s="54"/>
      <c r="I200" s="52">
        <f t="shared" si="7"/>
        <v>6.4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>
        <v>70</v>
      </c>
      <c r="B201" s="61">
        <v>280</v>
      </c>
      <c r="C201" s="58">
        <v>10</v>
      </c>
      <c r="D201" s="61">
        <v>20</v>
      </c>
      <c r="E201" s="64"/>
      <c r="F201" s="64"/>
      <c r="G201" s="64"/>
      <c r="H201" s="64"/>
      <c r="I201" s="52">
        <f t="shared" si="7"/>
        <v>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>
        <v>75</v>
      </c>
      <c r="B202" s="61">
        <v>286</v>
      </c>
      <c r="C202" s="58">
        <v>11</v>
      </c>
      <c r="D202" s="61">
        <v>286</v>
      </c>
      <c r="E202" s="64"/>
      <c r="F202" s="64"/>
      <c r="G202" s="64"/>
      <c r="H202" s="64"/>
      <c r="I202" s="52">
        <f t="shared" si="7"/>
        <v>5.2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8"/>
      <c r="B203" s="58"/>
      <c r="C203" s="58"/>
      <c r="D203" s="58"/>
      <c r="E203" s="64"/>
      <c r="F203" s="64"/>
      <c r="G203" s="64"/>
      <c r="H203" s="6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8"/>
      <c r="B204" s="58"/>
      <c r="C204" s="58"/>
      <c r="D204" s="58"/>
      <c r="E204" s="65"/>
      <c r="F204" s="65"/>
      <c r="G204" s="65"/>
      <c r="H204" s="65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>Erable champêtre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89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>
        <v>15</v>
      </c>
      <c r="B218" s="61">
        <f>(9)</f>
        <v>9</v>
      </c>
      <c r="C218" s="53"/>
      <c r="D218" s="61"/>
      <c r="E218" s="54"/>
      <c r="F218" s="54"/>
      <c r="G218" s="54"/>
      <c r="H218" s="54"/>
      <c r="I218" s="56">
        <f>IFERROR(B218/A218,"")</f>
        <v>0.6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>
        <v>20</v>
      </c>
      <c r="B219" s="61">
        <f>(57+0)</f>
        <v>57</v>
      </c>
      <c r="C219" s="53"/>
      <c r="D219" s="61">
        <f>(21+0)</f>
        <v>21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288">
        <v>25</v>
      </c>
      <c r="B220" s="61">
        <f>(86)</f>
        <v>86</v>
      </c>
      <c r="C220" s="53"/>
      <c r="D220" s="61"/>
      <c r="E220" s="54"/>
      <c r="F220" s="54"/>
      <c r="G220" s="54"/>
      <c r="H220" s="54"/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3">
        <v>30</v>
      </c>
      <c r="B221" s="61">
        <f>(114+21)</f>
        <v>135</v>
      </c>
      <c r="C221" s="53"/>
      <c r="D221" s="61">
        <f>(21+21)</f>
        <v>42</v>
      </c>
      <c r="E221" s="54"/>
      <c r="F221" s="54"/>
      <c r="G221" s="54"/>
      <c r="H221" s="54">
        <v>1</v>
      </c>
      <c r="I221" s="56">
        <f t="shared" si="8"/>
        <v>9.8000000000000007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3">
        <v>35</v>
      </c>
      <c r="B222" s="61">
        <f>(136)</f>
        <v>136</v>
      </c>
      <c r="C222" s="53"/>
      <c r="D222" s="61"/>
      <c r="E222" s="54"/>
      <c r="F222" s="54"/>
      <c r="G222" s="54"/>
      <c r="H222" s="54"/>
      <c r="I222" s="56">
        <f t="shared" si="8"/>
        <v>8.6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288">
        <v>40</v>
      </c>
      <c r="B223" s="61">
        <f>(153+21)</f>
        <v>174</v>
      </c>
      <c r="C223" s="53"/>
      <c r="D223" s="61">
        <f>(21+21)</f>
        <v>42</v>
      </c>
      <c r="E223" s="54"/>
      <c r="F223" s="54"/>
      <c r="G223" s="54"/>
      <c r="H223" s="54"/>
      <c r="I223" s="56">
        <f t="shared" si="8"/>
        <v>7.6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3">
        <v>45</v>
      </c>
      <c r="B224" s="61">
        <f>(165)</f>
        <v>165</v>
      </c>
      <c r="C224" s="53"/>
      <c r="D224" s="61"/>
      <c r="E224" s="54"/>
      <c r="F224" s="54"/>
      <c r="G224" s="54"/>
      <c r="H224" s="54"/>
      <c r="I224" s="56">
        <f t="shared" si="8"/>
        <v>6.6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3">
        <v>50</v>
      </c>
      <c r="B225" s="61">
        <f>(174+18)</f>
        <v>192</v>
      </c>
      <c r="C225" s="53"/>
      <c r="D225" s="61">
        <f>(13+18)</f>
        <v>31</v>
      </c>
      <c r="E225" s="54"/>
      <c r="F225" s="54"/>
      <c r="G225" s="54"/>
      <c r="H225" s="54"/>
      <c r="I225" s="56">
        <f t="shared" si="8"/>
        <v>5.4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288">
        <v>55</v>
      </c>
      <c r="B226" s="61">
        <f>(185)</f>
        <v>185</v>
      </c>
      <c r="C226" s="53"/>
      <c r="D226" s="61"/>
      <c r="E226" s="54"/>
      <c r="F226" s="54"/>
      <c r="G226" s="54"/>
      <c r="H226" s="54"/>
      <c r="I226" s="56">
        <f t="shared" si="8"/>
        <v>4.8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3">
        <v>60</v>
      </c>
      <c r="B227" s="61">
        <f>(195+11)</f>
        <v>206</v>
      </c>
      <c r="C227" s="53"/>
      <c r="D227" s="61">
        <f>(9+11)</f>
        <v>20</v>
      </c>
      <c r="E227" s="54"/>
      <c r="F227" s="54"/>
      <c r="G227" s="54"/>
      <c r="H227" s="54"/>
      <c r="I227" s="56">
        <f t="shared" si="8"/>
        <v>4.2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3">
        <v>65</v>
      </c>
      <c r="B228" s="61">
        <f>(202)</f>
        <v>202</v>
      </c>
      <c r="C228" s="53"/>
      <c r="D228" s="61"/>
      <c r="E228" s="54"/>
      <c r="F228" s="54"/>
      <c r="G228" s="54"/>
      <c r="H228" s="54"/>
      <c r="I228" s="56">
        <f t="shared" si="8"/>
        <v>3.2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288">
        <v>70</v>
      </c>
      <c r="B229" s="61">
        <f>(209+8)</f>
        <v>217</v>
      </c>
      <c r="C229" s="53"/>
      <c r="D229" s="61">
        <f>(8+8)</f>
        <v>16</v>
      </c>
      <c r="E229" s="54"/>
      <c r="F229" s="54"/>
      <c r="G229" s="54"/>
      <c r="H229" s="54"/>
      <c r="I229" s="56">
        <f t="shared" si="8"/>
        <v>3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3">
        <v>75</v>
      </c>
      <c r="B230" s="61">
        <f>(214)</f>
        <v>214</v>
      </c>
      <c r="C230" s="53"/>
      <c r="D230" s="61"/>
      <c r="E230" s="57"/>
      <c r="F230" s="57"/>
      <c r="G230" s="57"/>
      <c r="H230" s="57"/>
      <c r="I230" s="56">
        <f t="shared" si="8"/>
        <v>2.6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53">
        <v>80</v>
      </c>
      <c r="B231" s="61">
        <f>(219+7)</f>
        <v>226</v>
      </c>
      <c r="C231" s="61"/>
      <c r="D231" s="61">
        <f>B231</f>
        <v>226</v>
      </c>
      <c r="E231" s="66"/>
      <c r="F231" s="66"/>
      <c r="G231" s="66"/>
      <c r="H231" s="66"/>
      <c r="I231" s="56">
        <f t="shared" si="8"/>
        <v>2.4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61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279"/>
      <c r="B234" s="61"/>
      <c r="C234" s="61"/>
      <c r="D234" s="61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279"/>
      <c r="B235" s="61"/>
      <c r="C235" s="61"/>
      <c r="D235" s="61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279"/>
      <c r="B236" s="61"/>
      <c r="C236" s="61"/>
      <c r="D236" s="61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279"/>
      <c r="B237" s="61"/>
      <c r="C237" s="61"/>
      <c r="D237" s="61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>Alisier torminal</v>
      </c>
      <c r="C240" s="25" t="s">
        <v>324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89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>
        <v>15</v>
      </c>
      <c r="B244" s="61">
        <v>22</v>
      </c>
      <c r="C244" s="61"/>
      <c r="D244" s="61"/>
      <c r="E244" s="54"/>
      <c r="F244" s="54"/>
      <c r="G244" s="54"/>
      <c r="H244" s="54"/>
      <c r="I244" s="56">
        <f>IFERROR(B244/A244,"")</f>
        <v>1.4666666666666666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>
        <v>20</v>
      </c>
      <c r="B245" s="61">
        <v>44</v>
      </c>
      <c r="C245" s="61">
        <v>1</v>
      </c>
      <c r="D245" s="61">
        <v>5</v>
      </c>
      <c r="E245" s="54"/>
      <c r="F245" s="54">
        <v>0.1</v>
      </c>
      <c r="G245" s="54"/>
      <c r="H245" s="54">
        <v>0.9</v>
      </c>
      <c r="I245" s="56">
        <f>IF(A245&lt;&gt;0,(B245-(B244-D244))/(A245-A244),"")</f>
        <v>4.4000000000000004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>
        <v>25</v>
      </c>
      <c r="B246" s="61">
        <f>55+12</f>
        <v>67</v>
      </c>
      <c r="C246" s="61"/>
      <c r="D246" s="61"/>
      <c r="E246" s="54"/>
      <c r="F246" s="54"/>
      <c r="G246" s="54"/>
      <c r="H246" s="54"/>
      <c r="I246" s="56">
        <f>IF(A246&lt;&gt;0,(B246-(B245-D245))/(A246-A245),"")</f>
        <v>5.6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>
        <v>30</v>
      </c>
      <c r="B247" s="61">
        <f>70+14+12</f>
        <v>96</v>
      </c>
      <c r="C247" s="61">
        <v>2</v>
      </c>
      <c r="D247" s="61">
        <f>14+12</f>
        <v>26</v>
      </c>
      <c r="E247" s="54"/>
      <c r="F247" s="54">
        <v>0.1</v>
      </c>
      <c r="G247" s="54"/>
      <c r="H247" s="54">
        <v>0.9</v>
      </c>
      <c r="I247" s="56">
        <f t="shared" ref="I247:I263" si="9">IF(A247&lt;&gt;0,(B247-(B246-D246))/(A247-A246),"")</f>
        <v>5.8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>
        <v>35</v>
      </c>
      <c r="B248" s="61">
        <f>86+15</f>
        <v>101</v>
      </c>
      <c r="C248" s="61"/>
      <c r="D248" s="61"/>
      <c r="E248" s="54"/>
      <c r="F248" s="54"/>
      <c r="G248" s="54"/>
      <c r="H248" s="54"/>
      <c r="I248" s="56">
        <f t="shared" si="9"/>
        <v>6.2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>
        <v>40</v>
      </c>
      <c r="B249" s="61">
        <f>101+16+15</f>
        <v>132</v>
      </c>
      <c r="C249" s="61">
        <v>3</v>
      </c>
      <c r="D249" s="61">
        <f>16+15</f>
        <v>31</v>
      </c>
      <c r="E249" s="54"/>
      <c r="F249" s="54"/>
      <c r="G249" s="54"/>
      <c r="H249" s="54"/>
      <c r="I249" s="56">
        <f t="shared" si="9"/>
        <v>6.2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61">
        <v>45</v>
      </c>
      <c r="B250" s="61">
        <f>116+17</f>
        <v>133</v>
      </c>
      <c r="C250" s="61"/>
      <c r="D250" s="61"/>
      <c r="E250" s="54"/>
      <c r="F250" s="54"/>
      <c r="G250" s="54"/>
      <c r="H250" s="54"/>
      <c r="I250" s="56">
        <f t="shared" si="9"/>
        <v>6.4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61">
        <v>50</v>
      </c>
      <c r="B251" s="61">
        <f>130+18+17</f>
        <v>165</v>
      </c>
      <c r="C251" s="61">
        <v>4</v>
      </c>
      <c r="D251" s="61">
        <f>18+17</f>
        <v>35</v>
      </c>
      <c r="E251" s="54"/>
      <c r="F251" s="54"/>
      <c r="G251" s="54"/>
      <c r="H251" s="54"/>
      <c r="I251" s="56">
        <f t="shared" si="9"/>
        <v>6.4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61">
        <v>55</v>
      </c>
      <c r="B252" s="61">
        <f>143+18</f>
        <v>161</v>
      </c>
      <c r="C252" s="61"/>
      <c r="D252" s="61"/>
      <c r="E252" s="54"/>
      <c r="F252" s="54"/>
      <c r="G252" s="54"/>
      <c r="H252" s="54"/>
      <c r="I252" s="56">
        <f t="shared" si="9"/>
        <v>6.2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61">
        <v>60</v>
      </c>
      <c r="B253" s="61">
        <f>155+18+18</f>
        <v>191</v>
      </c>
      <c r="C253" s="61">
        <v>5</v>
      </c>
      <c r="D253" s="61">
        <f>18+18</f>
        <v>36</v>
      </c>
      <c r="E253" s="54"/>
      <c r="F253" s="54"/>
      <c r="G253" s="54"/>
      <c r="H253" s="54"/>
      <c r="I253" s="56">
        <f t="shared" si="9"/>
        <v>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61">
        <v>65</v>
      </c>
      <c r="B254" s="61">
        <f>167+18</f>
        <v>185</v>
      </c>
      <c r="C254" s="61"/>
      <c r="D254" s="61"/>
      <c r="E254" s="54"/>
      <c r="F254" s="54"/>
      <c r="G254" s="54"/>
      <c r="H254" s="54"/>
      <c r="I254" s="56">
        <f t="shared" si="9"/>
        <v>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61">
        <v>70</v>
      </c>
      <c r="B255" s="61">
        <f>177+18+18</f>
        <v>213</v>
      </c>
      <c r="C255" s="61">
        <v>6</v>
      </c>
      <c r="D255" s="61">
        <f>18+18</f>
        <v>36</v>
      </c>
      <c r="E255" s="54"/>
      <c r="F255" s="54"/>
      <c r="G255" s="54"/>
      <c r="H255" s="54"/>
      <c r="I255" s="56">
        <f t="shared" si="9"/>
        <v>5.6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61">
        <v>75</v>
      </c>
      <c r="B256" s="61">
        <f>187+17</f>
        <v>204</v>
      </c>
      <c r="C256" s="61"/>
      <c r="D256" s="61"/>
      <c r="E256" s="54"/>
      <c r="F256" s="54"/>
      <c r="G256" s="54"/>
      <c r="H256" s="54"/>
      <c r="I256" s="56">
        <f t="shared" si="9"/>
        <v>5.4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61">
        <v>80</v>
      </c>
      <c r="B257" s="61">
        <f>196+17+17</f>
        <v>230</v>
      </c>
      <c r="C257" s="61">
        <v>7</v>
      </c>
      <c r="D257" s="61">
        <f>17+17</f>
        <v>34</v>
      </c>
      <c r="E257" s="54"/>
      <c r="F257" s="54"/>
      <c r="G257" s="54"/>
      <c r="H257" s="54"/>
      <c r="I257" s="56">
        <f t="shared" si="9"/>
        <v>5.2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61">
        <v>85</v>
      </c>
      <c r="B258" s="61">
        <f>205+17</f>
        <v>222</v>
      </c>
      <c r="C258" s="61"/>
      <c r="D258" s="61"/>
      <c r="E258" s="54"/>
      <c r="F258" s="54"/>
      <c r="G258" s="54"/>
      <c r="H258" s="54"/>
      <c r="I258" s="56">
        <f t="shared" si="9"/>
        <v>5.2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61">
        <v>90</v>
      </c>
      <c r="B259" s="61">
        <f>212+16+17</f>
        <v>245</v>
      </c>
      <c r="C259" s="61">
        <v>8</v>
      </c>
      <c r="D259" s="61">
        <f>16+17</f>
        <v>33</v>
      </c>
      <c r="E259" s="54"/>
      <c r="F259" s="54"/>
      <c r="G259" s="54"/>
      <c r="H259" s="54"/>
      <c r="I259" s="56">
        <f t="shared" si="9"/>
        <v>4.5999999999999996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61">
        <v>95</v>
      </c>
      <c r="B260" s="61">
        <f>219+15</f>
        <v>234</v>
      </c>
      <c r="C260" s="61"/>
      <c r="D260" s="61"/>
      <c r="E260" s="54"/>
      <c r="F260" s="54"/>
      <c r="G260" s="54"/>
      <c r="H260" s="54"/>
      <c r="I260" s="56">
        <f t="shared" si="9"/>
        <v>4.4000000000000004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61">
        <v>100</v>
      </c>
      <c r="B261" s="61">
        <f>226+15+15</f>
        <v>256</v>
      </c>
      <c r="C261" s="61">
        <v>9</v>
      </c>
      <c r="D261" s="61">
        <f>15+15</f>
        <v>30</v>
      </c>
      <c r="E261" s="54"/>
      <c r="F261" s="54"/>
      <c r="G261" s="54"/>
      <c r="H261" s="54"/>
      <c r="I261" s="56">
        <f t="shared" si="9"/>
        <v>4.4000000000000004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61">
        <v>110</v>
      </c>
      <c r="B262" s="61">
        <f>237+14+14</f>
        <v>265</v>
      </c>
      <c r="C262" s="61">
        <v>10</v>
      </c>
      <c r="D262" s="61">
        <f>14+14</f>
        <v>28</v>
      </c>
      <c r="E262" s="54"/>
      <c r="F262" s="54"/>
      <c r="G262" s="54"/>
      <c r="H262" s="54"/>
      <c r="I262" s="56">
        <f t="shared" si="9"/>
        <v>3.9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61">
        <v>120</v>
      </c>
      <c r="B263" s="61">
        <f>247+13+13</f>
        <v>273</v>
      </c>
      <c r="C263" s="61">
        <v>11</v>
      </c>
      <c r="D263" s="61">
        <f>247+13+13</f>
        <v>273</v>
      </c>
      <c r="E263" s="54"/>
      <c r="F263" s="54"/>
      <c r="G263" s="54"/>
      <c r="H263" s="54"/>
      <c r="I263" s="56">
        <f t="shared" si="9"/>
        <v>3.6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89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279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279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279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279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279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279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279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279"/>
      <c r="B284" s="61"/>
      <c r="C284" s="53"/>
      <c r="D284" s="61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279"/>
      <c r="B285" s="61"/>
      <c r="C285" s="53"/>
      <c r="D285" s="61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279"/>
      <c r="B286" s="61"/>
      <c r="C286" s="53"/>
      <c r="D286" s="61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279"/>
      <c r="B287" s="61"/>
      <c r="C287" s="53"/>
      <c r="D287" s="61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279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279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7" sqref="C27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5"/>
      <c r="B7" s="29" t="s">
        <v>295</v>
      </c>
      <c r="C7" s="106" t="s">
        <v>214</v>
      </c>
      <c r="D7" s="231"/>
      <c r="E7" s="107"/>
      <c r="F7" s="29" t="s">
        <v>295</v>
      </c>
      <c r="G7" s="106" t="s">
        <v>215</v>
      </c>
      <c r="H7" s="232"/>
      <c r="I7" s="232"/>
      <c r="J7" s="232"/>
      <c r="K7" s="232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5">
      <c r="A8" s="111">
        <v>1</v>
      </c>
      <c r="B8" s="62">
        <v>1</v>
      </c>
      <c r="C8" s="52" t="s">
        <v>177</v>
      </c>
      <c r="D8" s="25"/>
      <c r="E8" s="111">
        <v>4</v>
      </c>
      <c r="F8" s="62">
        <v>0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0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2"/>
      <c r="B13" s="113"/>
      <c r="C13" s="104" t="s">
        <v>273</v>
      </c>
      <c r="D13" s="232"/>
      <c r="E13" s="105"/>
      <c r="F13" s="113"/>
      <c r="G13" s="104" t="s">
        <v>301</v>
      </c>
      <c r="H13" s="232"/>
      <c r="I13" s="232"/>
      <c r="J13" s="232"/>
      <c r="K13" s="232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5">
      <c r="A14" s="232"/>
      <c r="B14" s="113"/>
      <c r="C14" s="104" t="s">
        <v>309</v>
      </c>
      <c r="D14" s="232"/>
      <c r="E14" s="105"/>
      <c r="F14" s="113"/>
      <c r="G14" s="104" t="s">
        <v>294</v>
      </c>
      <c r="H14" s="232"/>
      <c r="I14" s="232"/>
      <c r="J14" s="232"/>
      <c r="K14" s="232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2">
        <v>1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2">
        <f>SUM(B16:B18)</f>
        <v>1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69" bestFit="1" customWidth="1"/>
    <col min="2" max="4" width="11.453125" style="69"/>
    <col min="5" max="5" width="9.54296875" style="69" customWidth="1"/>
    <col min="6" max="7" width="11.453125" style="69"/>
    <col min="8" max="8" width="10.6328125" style="69" customWidth="1"/>
    <col min="9" max="9" width="9.453125" style="69" customWidth="1"/>
    <col min="10" max="11" width="10.54296875" style="69" bestFit="1" customWidth="1"/>
    <col min="12" max="12" width="14" style="69" bestFit="1" customWidth="1"/>
    <col min="13" max="13" width="14" style="69" customWidth="1"/>
    <col min="14" max="23" width="11.453125" style="69"/>
    <col min="24" max="24" width="11.6328125" style="69" bestFit="1" customWidth="1"/>
    <col min="25" max="25" width="14.54296875" style="69" bestFit="1" customWidth="1"/>
    <col min="26" max="26" width="12.453125" style="69" bestFit="1" customWidth="1"/>
    <col min="27" max="27" width="9.6328125" style="69" bestFit="1" customWidth="1"/>
    <col min="28" max="28" width="11" style="69" bestFit="1" customWidth="1"/>
    <col min="29" max="29" width="9.453125" style="69" bestFit="1" customWidth="1"/>
    <col min="30" max="31" width="9.453125" style="69" customWidth="1"/>
    <col min="32" max="32" width="11.453125" style="69"/>
    <col min="33" max="34" width="14" style="69" bestFit="1" customWidth="1"/>
    <col min="35" max="35" width="10.54296875" style="69" bestFit="1" customWidth="1"/>
    <col min="36" max="36" width="9.453125" style="69" bestFit="1" customWidth="1"/>
    <col min="37" max="38" width="10.54296875" style="69" bestFit="1" customWidth="1"/>
    <col min="39" max="41" width="10.54296875" style="69" customWidth="1"/>
    <col min="42" max="42" width="9" style="69" bestFit="1" customWidth="1"/>
    <col min="43" max="43" width="10.54296875" style="69" bestFit="1" customWidth="1"/>
    <col min="44" max="44" width="9.36328125" style="69" bestFit="1" customWidth="1"/>
    <col min="45" max="45" width="11.6328125" style="69" bestFit="1" customWidth="1"/>
    <col min="46" max="46" width="8.453125" style="69" bestFit="1" customWidth="1"/>
    <col min="47" max="47" width="9.453125" style="69" bestFit="1" customWidth="1"/>
    <col min="48" max="48" width="9.6328125" style="69" bestFit="1" customWidth="1"/>
    <col min="49" max="49" width="11" style="69" bestFit="1" customWidth="1"/>
    <col min="50" max="50" width="9.453125" style="69" bestFit="1" customWidth="1"/>
    <col min="51" max="52" width="9.453125" style="69" customWidth="1"/>
    <col min="53" max="53" width="10.54296875" style="69" bestFit="1" customWidth="1"/>
    <col min="54" max="54" width="14.36328125" style="69" customWidth="1"/>
    <col min="55" max="55" width="14" style="69" customWidth="1"/>
    <col min="56" max="56" width="10.54296875" style="69" bestFit="1" customWidth="1"/>
    <col min="57" max="57" width="9.453125" style="69" bestFit="1" customWidth="1"/>
    <col min="58" max="59" width="10.54296875" style="69" bestFit="1" customWidth="1"/>
    <col min="60" max="62" width="10.54296875" style="69" customWidth="1"/>
    <col min="63" max="63" width="9" style="69" bestFit="1" customWidth="1"/>
    <col min="64" max="64" width="10.54296875" style="69" bestFit="1" customWidth="1"/>
    <col min="65" max="65" width="9.36328125" style="69" bestFit="1" customWidth="1"/>
    <col min="66" max="66" width="11.6328125" style="69" bestFit="1" customWidth="1"/>
    <col min="67" max="67" width="8.453125" style="69" bestFit="1" customWidth="1"/>
    <col min="68" max="68" width="9.453125" style="69" bestFit="1" customWidth="1"/>
    <col min="69" max="69" width="9.6328125" style="69" bestFit="1" customWidth="1"/>
    <col min="70" max="70" width="11" style="69" bestFit="1" customWidth="1"/>
    <col min="71" max="71" width="9.453125" style="69" bestFit="1" customWidth="1"/>
    <col min="72" max="73" width="9.453125" style="69" customWidth="1"/>
    <col min="74" max="74" width="10.54296875" style="69" bestFit="1" customWidth="1"/>
    <col min="75" max="75" width="14" style="69" bestFit="1" customWidth="1"/>
    <col min="76" max="76" width="13.90625" style="69" customWidth="1"/>
    <col min="77" max="77" width="10.54296875" style="69" bestFit="1" customWidth="1"/>
    <col min="78" max="78" width="9.453125" style="69" bestFit="1" customWidth="1"/>
    <col min="79" max="80" width="10.54296875" style="69" bestFit="1" customWidth="1"/>
    <col min="81" max="83" width="10.54296875" style="69" customWidth="1"/>
    <col min="84" max="84" width="11.453125" style="69"/>
    <col min="85" max="85" width="10.54296875" style="69" bestFit="1" customWidth="1"/>
    <col min="86" max="86" width="9.36328125" style="69" bestFit="1" customWidth="1"/>
    <col min="87" max="87" width="11.6328125" style="69" bestFit="1" customWidth="1"/>
    <col min="88" max="88" width="8.453125" style="69" bestFit="1" customWidth="1"/>
    <col min="89" max="89" width="9.453125" style="69" bestFit="1" customWidth="1"/>
    <col min="90" max="90" width="9.6328125" style="69" bestFit="1" customWidth="1"/>
    <col min="91" max="91" width="11" style="69" bestFit="1" customWidth="1"/>
    <col min="92" max="92" width="9.453125" style="69" bestFit="1" customWidth="1"/>
    <col min="93" max="94" width="9.453125" style="69" customWidth="1"/>
    <col min="95" max="95" width="11.453125" style="69"/>
    <col min="96" max="97" width="14" style="69" customWidth="1"/>
    <col min="98" max="98" width="10.54296875" style="69" bestFit="1" customWidth="1"/>
    <col min="99" max="99" width="9.453125" style="69" bestFit="1" customWidth="1"/>
    <col min="100" max="101" width="10.54296875" style="69" bestFit="1" customWidth="1"/>
    <col min="102" max="104" width="10.54296875" style="69" customWidth="1"/>
    <col min="105" max="105" width="9" style="69" bestFit="1" customWidth="1"/>
    <col min="106" max="106" width="10.54296875" style="69" bestFit="1" customWidth="1"/>
    <col min="107" max="107" width="9.36328125" style="69" bestFit="1" customWidth="1"/>
    <col min="108" max="108" width="11.6328125" style="69" bestFit="1" customWidth="1"/>
    <col min="109" max="109" width="8.453125" style="69" bestFit="1" customWidth="1"/>
    <col min="110" max="110" width="9.453125" style="69" bestFit="1" customWidth="1"/>
    <col min="111" max="111" width="9.6328125" style="69" bestFit="1" customWidth="1"/>
    <col min="112" max="112" width="11" style="69" bestFit="1" customWidth="1"/>
    <col min="113" max="113" width="9.453125" style="69" bestFit="1" customWidth="1"/>
    <col min="114" max="115" width="9.453125" style="69" customWidth="1"/>
    <col min="116" max="116" width="10.54296875" style="69" bestFit="1" customWidth="1"/>
    <col min="117" max="117" width="14.36328125" style="69" customWidth="1"/>
    <col min="118" max="118" width="14" style="69" bestFit="1" customWidth="1"/>
    <col min="119" max="119" width="10.54296875" style="69" bestFit="1" customWidth="1"/>
    <col min="120" max="120" width="9.453125" style="69" bestFit="1" customWidth="1"/>
    <col min="121" max="122" width="10.54296875" style="69" bestFit="1" customWidth="1"/>
    <col min="123" max="125" width="10.54296875" style="69" customWidth="1"/>
    <col min="126" max="126" width="9" style="69" bestFit="1" customWidth="1"/>
    <col min="127" max="127" width="10.54296875" style="69" bestFit="1" customWidth="1"/>
    <col min="128" max="128" width="9.36328125" style="69" bestFit="1" customWidth="1"/>
    <col min="129" max="129" width="11.6328125" style="69" bestFit="1" customWidth="1"/>
    <col min="130" max="130" width="8.453125" style="69" bestFit="1" customWidth="1"/>
    <col min="131" max="131" width="9.453125" style="69" bestFit="1" customWidth="1"/>
    <col min="132" max="132" width="9.6328125" style="69" bestFit="1" customWidth="1"/>
    <col min="133" max="133" width="11" style="69" bestFit="1" customWidth="1"/>
    <col min="134" max="134" width="9.453125" style="69" bestFit="1" customWidth="1"/>
    <col min="135" max="136" width="9.453125" style="69" customWidth="1"/>
    <col min="137" max="137" width="10.54296875" style="69" bestFit="1" customWidth="1"/>
    <col min="138" max="139" width="14" style="69" customWidth="1"/>
    <col min="140" max="140" width="10.54296875" style="69" bestFit="1" customWidth="1"/>
    <col min="141" max="141" width="9.453125" style="69" bestFit="1" customWidth="1"/>
    <col min="142" max="143" width="10.54296875" style="69" bestFit="1" customWidth="1"/>
    <col min="144" max="146" width="10.54296875" style="69" customWidth="1"/>
    <col min="147" max="147" width="9" style="69" bestFit="1" customWidth="1"/>
    <col min="148" max="148" width="10.54296875" style="69" bestFit="1" customWidth="1"/>
    <col min="149" max="149" width="9.36328125" style="69" bestFit="1" customWidth="1"/>
    <col min="150" max="150" width="11.6328125" style="69" bestFit="1" customWidth="1"/>
    <col min="151" max="151" width="8.453125" style="69" bestFit="1" customWidth="1"/>
    <col min="152" max="152" width="9.453125" style="69" bestFit="1" customWidth="1"/>
    <col min="153" max="153" width="9.6328125" style="69" bestFit="1" customWidth="1"/>
    <col min="154" max="154" width="11" style="69" bestFit="1" customWidth="1"/>
    <col min="155" max="155" width="9.453125" style="69" bestFit="1" customWidth="1"/>
    <col min="156" max="157" width="9.453125" style="69" customWidth="1"/>
    <col min="158" max="158" width="11.453125" style="69"/>
    <col min="159" max="160" width="14" style="69" bestFit="1" customWidth="1"/>
    <col min="161" max="161" width="10.54296875" style="69" bestFit="1" customWidth="1"/>
    <col min="162" max="162" width="9.453125" style="69" bestFit="1" customWidth="1"/>
    <col min="163" max="164" width="10.54296875" style="69" bestFit="1" customWidth="1"/>
    <col min="165" max="167" width="10.54296875" style="69" customWidth="1"/>
    <col min="168" max="168" width="9" style="69" bestFit="1" customWidth="1"/>
    <col min="169" max="169" width="10.54296875" style="69" bestFit="1" customWidth="1"/>
    <col min="170" max="170" width="9.36328125" style="69" bestFit="1" customWidth="1"/>
    <col min="171" max="171" width="11.6328125" style="69" bestFit="1" customWidth="1"/>
    <col min="172" max="172" width="8.08984375" style="69" bestFit="1" customWidth="1"/>
    <col min="173" max="173" width="9.453125" style="69" bestFit="1" customWidth="1"/>
    <col min="174" max="174" width="9.6328125" style="69" bestFit="1" customWidth="1"/>
    <col min="175" max="175" width="11" style="69" bestFit="1" customWidth="1"/>
    <col min="176" max="176" width="9.453125" style="69" bestFit="1" customWidth="1"/>
    <col min="177" max="178" width="9.453125" style="69" customWidth="1"/>
    <col min="179" max="179" width="10.54296875" style="69" bestFit="1" customWidth="1"/>
    <col min="180" max="181" width="14" style="69" bestFit="1" customWidth="1"/>
    <col min="182" max="182" width="10.54296875" style="69" bestFit="1" customWidth="1"/>
    <col min="183" max="183" width="9.453125" style="69" bestFit="1" customWidth="1"/>
    <col min="184" max="185" width="10.54296875" style="69" bestFit="1" customWidth="1"/>
    <col min="186" max="188" width="10.54296875" style="69" customWidth="1"/>
    <col min="189" max="189" width="9" style="69" bestFit="1" customWidth="1"/>
    <col min="190" max="190" width="10.54296875" style="69" bestFit="1" customWidth="1"/>
    <col min="191" max="191" width="9.36328125" style="69" bestFit="1" customWidth="1"/>
    <col min="192" max="192" width="11.453125" style="69"/>
    <col min="193" max="193" width="8.453125" style="69" bestFit="1" customWidth="1"/>
    <col min="194" max="194" width="9.453125" style="69" bestFit="1" customWidth="1"/>
    <col min="195" max="195" width="9.6328125" style="69" bestFit="1" customWidth="1"/>
    <col min="196" max="196" width="11" style="69" bestFit="1" customWidth="1"/>
    <col min="197" max="197" width="9.453125" style="69" bestFit="1" customWidth="1"/>
    <col min="198" max="199" width="9.453125" style="69" customWidth="1"/>
    <col min="200" max="200" width="10.54296875" style="69" bestFit="1" customWidth="1"/>
    <col min="201" max="201" width="14" style="69" customWidth="1"/>
    <col min="202" max="202" width="14.36328125" style="69" customWidth="1"/>
    <col min="203" max="203" width="10.54296875" style="69" bestFit="1" customWidth="1"/>
    <col min="204" max="204" width="9.453125" style="69" bestFit="1" customWidth="1"/>
    <col min="205" max="206" width="10.54296875" style="69" bestFit="1" customWidth="1"/>
    <col min="207" max="209" width="10.54296875" style="69" customWidth="1"/>
    <col min="210" max="210" width="9" style="69" bestFit="1" customWidth="1"/>
    <col min="211" max="211" width="10.54296875" style="69" bestFit="1" customWidth="1"/>
    <col min="212" max="212" width="9.36328125" style="69" bestFit="1" customWidth="1"/>
    <col min="213" max="213" width="11.6328125" style="69" bestFit="1" customWidth="1"/>
    <col min="214" max="214" width="8.453125" style="69" bestFit="1" customWidth="1"/>
    <col min="215" max="215" width="9.453125" style="69" bestFit="1" customWidth="1"/>
    <col min="216" max="216" width="9.6328125" style="69" bestFit="1" customWidth="1"/>
    <col min="217" max="217" width="11" style="69" bestFit="1" customWidth="1"/>
    <col min="218" max="218" width="9.453125" style="69" bestFit="1" customWidth="1"/>
    <col min="219" max="16384" width="11.453125" style="69"/>
  </cols>
  <sheetData>
    <row r="1" spans="1:218" s="5" customFormat="1" ht="26.5" thickBot="1" x14ac:dyDescent="0.6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pédonculé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Aulne glutineux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Bouleau verruqueux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Charme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Tilleul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Merisier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Erable champêtre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Alisier torminal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5" thickBot="1" x14ac:dyDescent="0.4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469.15492079216403</v>
      </c>
      <c r="T3" s="60">
        <f>IF('Données projet'!E9&gt;30,$R$33-$H$33,LOOKUP('Données projet'!$E$9,$A$3:$A$203,R3:R203)-LOOKUP('Données projet'!$E$9,$A$3:$A$203,$H$3:$H$203))</f>
        <v>250.47702091764884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442.49274132121275</v>
      </c>
      <c r="AO3" s="60">
        <f>IF('Données projet'!E10&gt;30,$AM$33-$H$33,LOOKUP('Données projet'!$E$10,$A$3:$A$203,AM3:AM203)-LOOKUP('Données projet'!$E$10,$A$3:$A$203,$H$3:$H$203))</f>
        <v>237.37463556402756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267.90768140488603</v>
      </c>
      <c r="BJ3" s="60">
        <f>IF('Données projet'!E11&gt;30,$BH$33-$H$33,LOOKUP('Données projet'!$E$11,$A$3:$A$203,BH3:BH203)-LOOKUP('Données projet'!$E$11,$A$3:$A$203,$H$3:$H$203))</f>
        <v>280.25465074992258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308.6594206517259</v>
      </c>
      <c r="CE3" s="60">
        <f>IF('Données projet'!E12&gt;30,$CC$33-$H$33,LOOKUP('Données projet'!$E$12,$A$3:$A$203,CC3:CC203)-LOOKUP('Données projet'!$E$12,$A$3:$A$203,$H$3:$H$203))</f>
        <v>258.90832875500325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397.63792993520934</v>
      </c>
      <c r="CZ3" s="60">
        <f>IF('Données projet'!E13&gt;30,$CX$33-$H$33,LOOKUP('Données projet'!$E$13,$A$3:$A$203,CX3:CX203)-LOOKUP('Données projet'!$E$13,$A$3:$A$203,$H$3:$H$203))</f>
        <v>300.63705521148802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343.94240546037798</v>
      </c>
      <c r="DU3" s="60">
        <f>IF('Données projet'!E14&gt;30,$DS$33-$H$33,LOOKUP('Données projet'!$E$14,$A$3:$A$203,DS3:DS203)-LOOKUP('Données projet'!$E$14,$A$3:$A$203,$H$3:$H$203))</f>
        <v>277.30931495079346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308.76306523144956</v>
      </c>
      <c r="EP3" s="60">
        <f>IF('Données projet'!E15&gt;30,$EN$33-$H$33,LOOKUP('Données projet'!$E$15,$A$3:$A$203,EN3:EN203)-LOOKUP('Données projet'!$E$15,$A$3:$A$203,$H$3:$H$203))</f>
        <v>283.28099819802776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296.01124173332352</v>
      </c>
      <c r="FK3" s="60">
        <f>IF('Données projet'!E16&gt;30,$FI$33-$H$33,LOOKUP('Données projet'!$E$16,$A$3:$A$203,FI3:FI203)-LOOKUP('Données projet'!$E$16,$A$3:$A$203,$H$3:$H$203))</f>
        <v>315.50730924873733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391.18744390931187</v>
      </c>
      <c r="GF3" s="60">
        <f>IF('Données projet'!E17&gt;30,$GD$33-$H$33,LOOKUP('Données projet'!$E$17,$A$3:$A$203,GD3:GD203)-LOOKUP('Données projet'!$E$17,$A$3:$A$203,$H$3:$H$203))</f>
        <v>261.46982358454386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170.57875918674947</v>
      </c>
      <c r="S4" s="60">
        <f ca="1">AVERAGE(OFFSET($R$3,0,0,'Données projet'!$E$9+1,1))-AVERAGE(OFFSET($H$3,0,0,'Données projet'!$E$9+1,1))</f>
        <v>469.15492079216403</v>
      </c>
      <c r="T4" s="60">
        <f>$T$3</f>
        <v>250.47702091764884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1.0155020926567102</v>
      </c>
      <c r="AK4" s="14">
        <f>EXP(-1.0587+0.8836*LN(AJ4)+0.284)</f>
        <v>0.46714880239274614</v>
      </c>
      <c r="AL4" s="22">
        <f t="shared" ref="AL4:AL67" si="4">(AJ4+AK4)*0.475*44/12</f>
        <v>2.5822836422111366</v>
      </c>
      <c r="AM4" s="60">
        <f t="shared" ref="AM4:AM67" si="5">AL4+(AD4+AE4)*44/12</f>
        <v>170.39471759513498</v>
      </c>
      <c r="AN4" s="60">
        <f ca="1">AVERAGE(OFFSET($AM$3,0,0,'Données projet'!$E$10+1,1))-AVERAGE(OFFSET($H$3,0,0,'Données projet'!$E$10+1,1))</f>
        <v>442.49274132121275</v>
      </c>
      <c r="AO4" s="60">
        <f>$AO$3</f>
        <v>237.37463556402756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0.81620291163608694</v>
      </c>
      <c r="BF4" s="14">
        <f>EXP(-1.0587+0.8836*LN(BE4)+0.284)</f>
        <v>0.38513847027569503</v>
      </c>
      <c r="BG4" s="22">
        <f t="shared" ref="BG4:BG67" si="7">(BE4+BF4)*0.475*44/12</f>
        <v>2.0923362401630201</v>
      </c>
      <c r="BH4" s="60">
        <f t="shared" ref="BH4:BH67" si="8">BG4+(AY4+AZ4)*44/12</f>
        <v>169.90477019308685</v>
      </c>
      <c r="BI4" s="60">
        <f ca="1">AVERAGE(OFFSET($BH$3,0,0,'Données projet'!$E$11+1,1))-AVERAGE(OFFSET($H$3,0,0,'Données projet'!$E$11+1,1))</f>
        <v>267.90768140488603</v>
      </c>
      <c r="BJ4" s="60">
        <f>$BJ$3</f>
        <v>280.25465074992258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</v>
      </c>
      <c r="BY4" s="13">
        <f>IF('Données projet'!$A$114&gt;35,BY3+BX4-CG3,IF(A4&lt;'Données projet'!$A$114,$BV$205^A4,IF(A4='Données projet'!$A$114,'Données projet'!$B$114,BY3+BX4-CG3)))</f>
        <v>1.282970348825361</v>
      </c>
      <c r="BZ4" s="14">
        <f>BY4*VLOOKUP('Données projet'!$B$12,Paramètres!$A$1:$I$89,3,0)*VLOOKUP('Données projet'!$B$12,Paramètres!$A$1:$I$89,5,0)</f>
        <v>1.040745546967133</v>
      </c>
      <c r="CA4" s="14">
        <f>EXP(-1.0587+0.8836*LN(BZ4)+0.284)</f>
        <v>0.47739483859767334</v>
      </c>
      <c r="CB4" s="22">
        <f t="shared" ref="CB4:CB67" si="10">(BZ4+CA4)*0.475*44/12</f>
        <v>2.6440945048587046</v>
      </c>
      <c r="CC4" s="60">
        <f t="shared" ref="CC4:CC67" si="11">CB4+(BT4+BU4)*44/12</f>
        <v>170.45652845778255</v>
      </c>
      <c r="CD4" s="60">
        <f ca="1">AVERAGE(OFFSET($CC$3,0,0,'Données projet'!$E$12+1,1))-AVERAGE(OFFSET($H$3,0,0,'Données projet'!$E$12+1,1))</f>
        <v>308.6594206517259</v>
      </c>
      <c r="CE4" s="60">
        <f>$CE$3</f>
        <v>258.90832875500325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2.4358974358974361</v>
      </c>
      <c r="CT4" s="13">
        <f>IF('Données projet'!$A$140&gt;35,CT3+CS4-DB3,IF(A4&lt;'Données projet'!$A$140,$CQ$205^A4,IF(A4='Données projet'!$A$140,'Données projet'!$B$140,CT3+CS4-DB3)))</f>
        <v>1.2711106295585217</v>
      </c>
      <c r="CU4" s="18">
        <f>CT4*VLOOKUP('Données projet'!$B$13,Paramètres!$A$1:$I$89,3,0)*VLOOKUP('Données projet'!$B$13,Paramètres!$A$1:$I$89,5,0)</f>
        <v>1.2095888750878894</v>
      </c>
      <c r="CV4" s="14">
        <f>EXP(-1.0587+0.8836*LN(CU4)+0.284)</f>
        <v>0.5452187850680178</v>
      </c>
      <c r="CW4" s="22">
        <f t="shared" ref="CW4:CW67" si="13">(CU4+CV4)*0.475*44/12</f>
        <v>3.0562900081048716</v>
      </c>
      <c r="CX4" s="60">
        <f t="shared" ref="CX4:CX67" si="14">CW4+(CO4+CP4)*44/12</f>
        <v>170.86872396102871</v>
      </c>
      <c r="CY4" s="60">
        <f ca="1">AVERAGE(OFFSET($CX$3,0,0,'Données projet'!$E$13+1,1))-AVERAGE(OFFSET($H$3,0,0,'Données projet'!$E$13+1,1))</f>
        <v>397.63792993520934</v>
      </c>
      <c r="CZ4" s="60">
        <f>$CZ$3</f>
        <v>300.63705521148802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3.3333333333333335</v>
      </c>
      <c r="DO4" s="13">
        <f>IF('Données projet'!$A$166&gt;35,DO3+DN4-DW3,IF(A4&lt;'Données projet'!$A$166,$DL$205^A4,IF(A4='Données projet'!$A$166,'Données projet'!$B$166,DO3+DN4-DW3)))</f>
        <v>1.2979700365523266</v>
      </c>
      <c r="DP4" s="18">
        <f>DO4*VLOOKUP('Données projet'!$B$14,Paramètres!$A$1:$I$89,3,0)*VLOOKUP('Données projet'!$B$14,Paramètres!$A$1:$I$89,5,0)</f>
        <v>0.87067830051930062</v>
      </c>
      <c r="DQ4" s="14">
        <f>EXP(-1.0587+0.8836*LN(DP4)+0.284)</f>
        <v>0.40776537662742923</v>
      </c>
      <c r="DR4" s="22">
        <f t="shared" ref="DR4:DR67" si="16">(DP4+DQ4)*0.475*44/12</f>
        <v>2.226622737697221</v>
      </c>
      <c r="DS4" s="60">
        <f t="shared" ref="DS4:DS67" si="17">DR4+(DJ4+DK4)*44/12</f>
        <v>170.03905669062107</v>
      </c>
      <c r="DT4" s="60">
        <f ca="1">AVERAGE(OFFSET($DS$3,0,0,'Données projet'!$E$14+1,1))-AVERAGE(OFFSET($H$3,0,0,'Données projet'!$E$14+1,1))</f>
        <v>343.94240546037798</v>
      </c>
      <c r="DU4" s="60">
        <f>$DU$3</f>
        <v>277.30931495079346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3.56</v>
      </c>
      <c r="EJ4" s="13">
        <f>IF('Données projet'!$A$192&gt;35,EJ3+EI4-ER3,IF(A4&lt;'Données projet'!$A$192,$EG$205^A4,IF(A4='Données projet'!$A$192,'Données projet'!$B$192,EJ3+EI4-ER3)))</f>
        <v>1.1966732973638288</v>
      </c>
      <c r="EK4" s="18">
        <f>EJ4*VLOOKUP('Données projet'!$B$15,Paramètres!$A$1:$I$89,3,0)*VLOOKUP('Données projet'!$B$15,Paramètres!$A$1:$I$89,5,0)</f>
        <v>0.93340517194378647</v>
      </c>
      <c r="EL4" s="14">
        <f>EXP(-1.0587+0.8836*LN(EK4)+0.284)</f>
        <v>0.43361679609549247</v>
      </c>
      <c r="EM4" s="22">
        <f t="shared" ref="EM4:EM67" si="19">(EK4+EL4)*0.475*44/12</f>
        <v>2.3808965943350775</v>
      </c>
      <c r="EN4" s="60">
        <f t="shared" ref="EN4:EN67" si="20">EM4+(EE4+EF4)*44/12</f>
        <v>170.19333054725891</v>
      </c>
      <c r="EO4" s="60">
        <f ca="1">AVERAGE(OFFSET($EN$3,0,0,'Données projet'!$E$15+1,1))-AVERAGE(OFFSET($H$3,0,0,'Données projet'!$E$15+1,1))</f>
        <v>308.76306523144956</v>
      </c>
      <c r="EP4" s="60">
        <f>$EP$3</f>
        <v>283.28099819802776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0.6</v>
      </c>
      <c r="FE4" s="13">
        <f>IF('Données projet'!$A$218&gt;35,FE3+FD4-FM3,IF(A4&lt;'Données projet'!$A$218,$FB$205^A4,IF(A4='Données projet'!$A$218,'Données projet'!$B$218,FE3+FD4-FM3)))</f>
        <v>1.1577536725165907</v>
      </c>
      <c r="FF4" s="18">
        <f>FE4*VLOOKUP('Données projet'!$B$16,Paramètres!$A$1:$I$89,3,0)*VLOOKUP('Données projet'!$B$16,Paramètres!$A$1:$I$89,5,0)</f>
        <v>1.0114136083104937</v>
      </c>
      <c r="FG4" s="14">
        <f>EXP(-1.0587+0.8836*LN(FF4)+0.284)</f>
        <v>0.46548655994988658</v>
      </c>
      <c r="FH4" s="22">
        <f t="shared" ref="FH4:FH67" si="22">(FF4+FG4)*0.475*44/12</f>
        <v>2.5722677930534954</v>
      </c>
      <c r="FI4" s="60">
        <f t="shared" ref="FI4:FI67" si="23">FH4+(EZ4+FA4)*44/12</f>
        <v>170.38470174597734</v>
      </c>
      <c r="FJ4" s="60">
        <f ca="1">AVERAGE(OFFSET($FI$3,0,0,'Données projet'!$E$16+1,1))-AVERAGE(OFFSET($H$3,0,0,'Données projet'!$E$16+1,1))</f>
        <v>296.01124173332352</v>
      </c>
      <c r="FK4" s="60">
        <f>$FK$3</f>
        <v>315.50730924873733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1.4666666666666666</v>
      </c>
      <c r="FZ4" s="13">
        <f>IF('Données projet'!$A$244&gt;35,FZ3+FY4-GH3,IF(A4&lt;'Données projet'!$A$244,$FW$205^A4,IF(A4='Données projet'!$A$244,'Données projet'!$B$244,FZ3+FY4-GH3)))</f>
        <v>1.2288386014896442</v>
      </c>
      <c r="GA4" s="18">
        <f>FZ4*VLOOKUP('Données projet'!$B$17,Paramètres!$A$1:$I$89,3,0)*VLOOKUP('Données projet'!$B$17,Paramètres!$A$1:$I$89,5,0)</f>
        <v>1.1885326953607838</v>
      </c>
      <c r="GB4" s="14">
        <f>EXP(-1.0587+0.8836*LN(GA4)+0.284)</f>
        <v>0.53682397334185816</v>
      </c>
      <c r="GC4" s="22">
        <f t="shared" ref="GC4:GC67" si="25">(GA4+GB4)*0.475*44/12</f>
        <v>3.0049961979904345</v>
      </c>
      <c r="GD4" s="60">
        <f t="shared" ref="GD4:GD67" si="26">GC4+(FU4+FV4)*44/12</f>
        <v>170.81743015091428</v>
      </c>
      <c r="GE4" s="60">
        <f ca="1">AVERAGE(OFFSET($GD$3,0,0,'Données projet'!$E$17+1,1))-AVERAGE(OFFSET($H$3,0,0,'Données projet'!$E$17+1,1))</f>
        <v>391.18744390931187</v>
      </c>
      <c r="GF4" s="60">
        <f>$GF$3</f>
        <v>261.46982358454386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173.90956899732174</v>
      </c>
      <c r="S5" s="60">
        <f ca="1">AVERAGE(OFFSET($R$3,0,0,'Données projet'!$E$9+1,1))-AVERAGE(OFFSET($H$3,0,0,'Données projet'!$E$9+1,1))</f>
        <v>469.15492079216403</v>
      </c>
      <c r="T5" s="60">
        <f t="shared" ref="T5:T68" si="34">$T$3</f>
        <v>250.47702091764884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1.2241743829417828</v>
      </c>
      <c r="AK5" s="14">
        <f t="shared" ref="AK5:AK68" si="35">EXP(-1.0587+0.8836*LN(AJ5)+0.284)</f>
        <v>0.55102384568700224</v>
      </c>
      <c r="AL5" s="22">
        <f t="shared" si="4"/>
        <v>3.0918035815284672</v>
      </c>
      <c r="AM5" s="60">
        <f t="shared" si="5"/>
        <v>173.6890848690293</v>
      </c>
      <c r="AN5" s="60">
        <f ca="1">AVERAGE(OFFSET($AM$3,0,0,'Données projet'!$E$10+1,1))-AVERAGE(OFFSET($H$3,0,0,'Données projet'!$E$10+1,1))</f>
        <v>442.49274132121275</v>
      </c>
      <c r="AO5" s="60">
        <f t="shared" ref="AO5:AO68" si="36">$AO$3</f>
        <v>237.37463556402756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1.0167692200293437</v>
      </c>
      <c r="BF5" s="14">
        <f t="shared" ref="BF5:BF68" si="37">EXP(-1.0587+0.8836*LN(BE5)+0.284)</f>
        <v>0.46766381619902025</v>
      </c>
      <c r="BG5" s="22">
        <f t="shared" si="7"/>
        <v>2.5853875380977338</v>
      </c>
      <c r="BH5" s="60">
        <f t="shared" si="8"/>
        <v>173.18266882559857</v>
      </c>
      <c r="BI5" s="60">
        <f ca="1">AVERAGE(OFFSET($BH$3,0,0,'Données projet'!$E$11+1,1))-AVERAGE(OFFSET($H$3,0,0,'Données projet'!$E$11+1,1))</f>
        <v>267.90768140488603</v>
      </c>
      <c r="BJ5" s="60">
        <f t="shared" ref="BJ5:BJ68" si="38">$BJ$3</f>
        <v>280.25465074992258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</v>
      </c>
      <c r="BY5" s="13">
        <f>IF('Données projet'!$A$114&gt;35,BY4+BX5-CG4,IF(A5&lt;'Données projet'!$A$114,$BV$205^A5,IF(A5='Données projet'!$A$114,'Données projet'!$B$114,BY4+BX5-CG4)))</f>
        <v>1.6460129159650685</v>
      </c>
      <c r="BZ5" s="14">
        <f>BY5*VLOOKUP('Données projet'!$B$12,Paramètres!$A$1:$I$89,3,0)*VLOOKUP('Données projet'!$B$12,Paramètres!$A$1:$I$89,5,0)</f>
        <v>1.3352456774308636</v>
      </c>
      <c r="CA5" s="14">
        <f t="shared" ref="CA5:CA68" si="39">EXP(-1.0587+0.8836*LN(BZ5)+0.284)</f>
        <v>0.59497391287501122</v>
      </c>
      <c r="CB5" s="22">
        <f t="shared" si="10"/>
        <v>3.3617991197827322</v>
      </c>
      <c r="CC5" s="60">
        <f t="shared" si="11"/>
        <v>173.95908040728358</v>
      </c>
      <c r="CD5" s="60">
        <f ca="1">AVERAGE(OFFSET($CC$3,0,0,'Données projet'!$E$12+1,1))-AVERAGE(OFFSET($H$3,0,0,'Données projet'!$E$12+1,1))</f>
        <v>308.6594206517259</v>
      </c>
      <c r="CE5" s="60">
        <f t="shared" ref="CE5:CE68" si="40">$CE$3</f>
        <v>258.90832875500325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2.4358974358974361</v>
      </c>
      <c r="CT5" s="13">
        <f>IF('Données projet'!$A$140&gt;35,CT4+CS5-DB4,IF(A5&lt;'Données projet'!$A$140,$CQ$205^A5,IF(A5='Données projet'!$A$140,'Données projet'!$B$140,CT4+CS5-DB4)))</f>
        <v>1.6157222325766614</v>
      </c>
      <c r="CU5" s="18">
        <f>CT5*VLOOKUP('Données projet'!$B$13,Paramètres!$A$1:$I$89,3,0)*VLOOKUP('Données projet'!$B$13,Paramètres!$A$1:$I$89,5,0)</f>
        <v>1.5375212765199511</v>
      </c>
      <c r="CV5" s="14">
        <f t="shared" ref="CV5:CV68" si="41">EXP(-1.0587+0.8836*LN(CU5)+0.284)</f>
        <v>0.67394928852564717</v>
      </c>
      <c r="CW5" s="22">
        <f t="shared" si="13"/>
        <v>3.8516445674544162</v>
      </c>
      <c r="CX5" s="60">
        <f t="shared" si="14"/>
        <v>174.44892585495526</v>
      </c>
      <c r="CY5" s="60">
        <f ca="1">AVERAGE(OFFSET($CX$3,0,0,'Données projet'!$E$13+1,1))-AVERAGE(OFFSET($H$3,0,0,'Données projet'!$E$13+1,1))</f>
        <v>397.63792993520934</v>
      </c>
      <c r="CZ5" s="60">
        <f t="shared" ref="CZ5:CZ68" si="42">$CZ$3</f>
        <v>300.63705521148802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3.3333333333333335</v>
      </c>
      <c r="DO5" s="13">
        <f>IF('Données projet'!$A$166&gt;35,DO4+DN5-DW4,IF(A5&lt;'Données projet'!$A$166,$DL$205^A5,IF(A5='Données projet'!$A$166,'Données projet'!$B$166,DO4+DN5-DW4)))</f>
        <v>1.6847262157876479</v>
      </c>
      <c r="DP5" s="18">
        <f>DO5*VLOOKUP('Données projet'!$B$14,Paramètres!$A$1:$I$89,3,0)*VLOOKUP('Données projet'!$B$14,Paramètres!$A$1:$I$89,5,0)</f>
        <v>1.1301143455503542</v>
      </c>
      <c r="DQ5" s="14">
        <f t="shared" ref="DQ5:DQ68" si="43">EXP(-1.0587+0.8836*LN(DP5)+0.284)</f>
        <v>0.5134415452108555</v>
      </c>
      <c r="DR5" s="22">
        <f t="shared" si="16"/>
        <v>2.8625265097424397</v>
      </c>
      <c r="DS5" s="60">
        <f t="shared" si="17"/>
        <v>173.45980779724329</v>
      </c>
      <c r="DT5" s="60">
        <f ca="1">AVERAGE(OFFSET($DS$3,0,0,'Données projet'!$E$14+1,1))-AVERAGE(OFFSET($H$3,0,0,'Données projet'!$E$14+1,1))</f>
        <v>343.94240546037798</v>
      </c>
      <c r="DU5" s="60">
        <f t="shared" ref="DU5:DU68" si="44">$DU$3</f>
        <v>277.30931495079346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3.56</v>
      </c>
      <c r="EJ5" s="13">
        <f>IF('Données projet'!$A$192&gt;35,EJ4+EI5-ER4,IF(A5&lt;'Données projet'!$A$192,$EG$205^A5,IF(A5='Données projet'!$A$192,'Données projet'!$B$192,EJ4+EI5-ER4)))</f>
        <v>1.4320269806236186</v>
      </c>
      <c r="EK5" s="18">
        <f>EJ5*VLOOKUP('Données projet'!$B$15,Paramètres!$A$1:$I$89,3,0)*VLOOKUP('Données projet'!$B$15,Paramètres!$A$1:$I$89,5,0)</f>
        <v>1.1169810448864226</v>
      </c>
      <c r="EL5" s="14">
        <f t="shared" ref="EL5:EL68" si="45">EXP(-1.0587+0.8836*LN(EK5)+0.284)</f>
        <v>0.50816568684575236</v>
      </c>
      <c r="EM5" s="22">
        <f t="shared" si="19"/>
        <v>2.8304638911002047</v>
      </c>
      <c r="EN5" s="60">
        <f t="shared" si="20"/>
        <v>173.42774517860104</v>
      </c>
      <c r="EO5" s="60">
        <f ca="1">AVERAGE(OFFSET($EN$3,0,0,'Données projet'!$E$15+1,1))-AVERAGE(OFFSET($H$3,0,0,'Données projet'!$E$15+1,1))</f>
        <v>308.76306523144956</v>
      </c>
      <c r="EP5" s="60">
        <f t="shared" ref="EP5:EP68" si="46">$EP$3</f>
        <v>283.28099819802776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0.6</v>
      </c>
      <c r="FE5" s="13">
        <f>IF('Données projet'!$A$218&gt;35,FE4+FD5-FM4,IF(A5&lt;'Données projet'!$A$218,$FB$205^A5,IF(A5='Données projet'!$A$218,'Données projet'!$B$218,FE4+FD5-FM4)))</f>
        <v>1.340393566225653</v>
      </c>
      <c r="FF5" s="18">
        <f>FE5*VLOOKUP('Données projet'!$B$16,Paramètres!$A$1:$I$89,3,0)*VLOOKUP('Données projet'!$B$16,Paramètres!$A$1:$I$89,5,0)</f>
        <v>1.1709678194547306</v>
      </c>
      <c r="FG5" s="14">
        <f t="shared" ref="FG5:FG68" si="47">EXP(-1.0587+0.8836*LN(FF5)+0.284)</f>
        <v>0.52980785325350399</v>
      </c>
      <c r="FH5" s="22">
        <f t="shared" si="22"/>
        <v>2.9621842966335081</v>
      </c>
      <c r="FI5" s="60">
        <f t="shared" si="23"/>
        <v>173.55946558413433</v>
      </c>
      <c r="FJ5" s="60">
        <f ca="1">AVERAGE(OFFSET($FI$3,0,0,'Données projet'!$E$16+1,1))-AVERAGE(OFFSET($H$3,0,0,'Données projet'!$E$16+1,1))</f>
        <v>296.01124173332352</v>
      </c>
      <c r="FK5" s="60">
        <f t="shared" ref="FK5:FK68" si="48">$FK$3</f>
        <v>315.50730924873733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1.4666666666666666</v>
      </c>
      <c r="FZ5" s="13">
        <f>IF('Données projet'!$A$244&gt;35,FZ4+FY5-GH4,IF(A5&lt;'Données projet'!$A$244,$FW$205^A5,IF(A5='Données projet'!$A$244,'Données projet'!$B$244,FZ4+FY5-GH4)))</f>
        <v>1.5100443085110247</v>
      </c>
      <c r="GA5" s="18">
        <f>FZ5*VLOOKUP('Données projet'!$B$17,Paramètres!$A$1:$I$89,3,0)*VLOOKUP('Données projet'!$B$17,Paramètres!$A$1:$I$89,5,0)</f>
        <v>1.460514855191863</v>
      </c>
      <c r="GB5" s="14">
        <f t="shared" ref="GB5:GB68" si="49">EXP(-1.0587+0.8836*LN(GA5)+0.284)</f>
        <v>0.64403511553142201</v>
      </c>
      <c r="GC5" s="22">
        <f t="shared" si="25"/>
        <v>3.6654245323430543</v>
      </c>
      <c r="GD5" s="60">
        <f t="shared" si="26"/>
        <v>174.26270581984389</v>
      </c>
      <c r="GE5" s="60">
        <f ca="1">AVERAGE(OFFSET($GD$3,0,0,'Données projet'!$E$17+1,1))-AVERAGE(OFFSET($H$3,0,0,'Données projet'!$E$17+1,1))</f>
        <v>391.18744390931187</v>
      </c>
      <c r="GF5" s="60">
        <f t="shared" ref="GF5:GF68" si="50">$GF$3</f>
        <v>261.46982358454386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177.32142247633229</v>
      </c>
      <c r="S6" s="60">
        <f ca="1">AVERAGE(OFFSET($R$3,0,0,'Données projet'!$E$9+1,1))-AVERAGE(OFFSET($H$3,0,0,'Données projet'!$E$9+1,1))</f>
        <v>469.15492079216403</v>
      </c>
      <c r="T6" s="60">
        <f t="shared" si="34"/>
        <v>250.47702091764884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1.4757260774621526</v>
      </c>
      <c r="AK6" s="14">
        <f t="shared" si="35"/>
        <v>0.64995837934402878</v>
      </c>
      <c r="AL6" s="22">
        <f t="shared" si="4"/>
        <v>3.7022337622707653</v>
      </c>
      <c r="AM6" s="60">
        <f t="shared" si="5"/>
        <v>177.05725433215565</v>
      </c>
      <c r="AN6" s="60">
        <f ca="1">AVERAGE(OFFSET($AM$3,0,0,'Données projet'!$E$10+1,1))-AVERAGE(OFFSET($H$3,0,0,'Données projet'!$E$10+1,1))</f>
        <v>442.49274132121275</v>
      </c>
      <c r="AO6" s="60">
        <f t="shared" si="36"/>
        <v>237.37463556402756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1.2666208758392912</v>
      </c>
      <c r="BF6" s="14">
        <f t="shared" si="37"/>
        <v>0.56787223780909624</v>
      </c>
      <c r="BG6" s="22">
        <f t="shared" si="7"/>
        <v>3.1950755062709413</v>
      </c>
      <c r="BH6" s="60">
        <f t="shared" si="8"/>
        <v>176.55009607615582</v>
      </c>
      <c r="BI6" s="60">
        <f ca="1">AVERAGE(OFFSET($BH$3,0,0,'Données projet'!$E$11+1,1))-AVERAGE(OFFSET($H$3,0,0,'Données projet'!$E$11+1,1))</f>
        <v>267.90768140488603</v>
      </c>
      <c r="BJ6" s="60">
        <f t="shared" si="38"/>
        <v>280.25465074992258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</v>
      </c>
      <c r="BY6" s="13">
        <f>IF('Données projet'!$A$114&gt;35,BY5+BX6-CG5,IF(A6&lt;'Données projet'!$A$114,$BV$205^A6,IF(A6='Données projet'!$A$114,'Données projet'!$B$114,BY5+BX6-CG5)))</f>
        <v>2.1117857649667533</v>
      </c>
      <c r="BZ6" s="14">
        <f>BY6*VLOOKUP('Données projet'!$B$12,Paramètres!$A$1:$I$89,3,0)*VLOOKUP('Données projet'!$B$12,Paramètres!$A$1:$I$89,5,0)</f>
        <v>1.7130806125410305</v>
      </c>
      <c r="CA6" s="14">
        <f t="shared" si="39"/>
        <v>0.74151190666753608</v>
      </c>
      <c r="CB6" s="22">
        <f t="shared" si="10"/>
        <v>4.2750819709549202</v>
      </c>
      <c r="CC6" s="60">
        <f t="shared" si="11"/>
        <v>177.6301025408398</v>
      </c>
      <c r="CD6" s="60">
        <f ca="1">AVERAGE(OFFSET($CC$3,0,0,'Données projet'!$E$12+1,1))-AVERAGE(OFFSET($H$3,0,0,'Données projet'!$E$12+1,1))</f>
        <v>308.6594206517259</v>
      </c>
      <c r="CE6" s="60">
        <f t="shared" si="40"/>
        <v>258.90832875500325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2.4358974358974361</v>
      </c>
      <c r="CT6" s="13">
        <f>IF('Données projet'!$A$140&gt;35,CT5+CS6-DB5,IF(A6&lt;'Données projet'!$A$140,$CQ$205^A6,IF(A6='Données projet'!$A$140,'Données projet'!$B$140,CT5+CS6-DB5)))</f>
        <v>2.0537617042422203</v>
      </c>
      <c r="CU6" s="18">
        <f>CT6*VLOOKUP('Données projet'!$B$13,Paramètres!$A$1:$I$89,3,0)*VLOOKUP('Données projet'!$B$13,Paramètres!$A$1:$I$89,5,0)</f>
        <v>1.9543596377568968</v>
      </c>
      <c r="CV6" s="14">
        <f t="shared" si="41"/>
        <v>0.83307409051865666</v>
      </c>
      <c r="CW6" s="22">
        <f t="shared" si="13"/>
        <v>4.8547804100799219</v>
      </c>
      <c r="CX6" s="60">
        <f t="shared" si="14"/>
        <v>178.2098009799648</v>
      </c>
      <c r="CY6" s="60">
        <f ca="1">AVERAGE(OFFSET($CX$3,0,0,'Données projet'!$E$13+1,1))-AVERAGE(OFFSET($H$3,0,0,'Données projet'!$E$13+1,1))</f>
        <v>397.63792993520934</v>
      </c>
      <c r="CZ6" s="60">
        <f t="shared" si="42"/>
        <v>300.63705521148802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3.3333333333333335</v>
      </c>
      <c r="DO6" s="13">
        <f>IF('Données projet'!$A$166&gt;35,DO5+DN6-DW5,IF(A6&lt;'Données projet'!$A$166,$DL$205^A6,IF(A6='Données projet'!$A$166,'Données projet'!$B$166,DO5+DN6-DW5)))</f>
        <v>2.1867241478865562</v>
      </c>
      <c r="DP6" s="18">
        <f>DO6*VLOOKUP('Données projet'!$B$14,Paramètres!$A$1:$I$89,3,0)*VLOOKUP('Données projet'!$B$14,Paramètres!$A$1:$I$89,5,0)</f>
        <v>1.4668545584023018</v>
      </c>
      <c r="DQ6" s="14">
        <f t="shared" si="43"/>
        <v>0.64650467023192038</v>
      </c>
      <c r="DR6" s="22">
        <f t="shared" si="16"/>
        <v>3.6807673232046039</v>
      </c>
      <c r="DS6" s="60">
        <f t="shared" si="17"/>
        <v>177.03578789308949</v>
      </c>
      <c r="DT6" s="60">
        <f ca="1">AVERAGE(OFFSET($DS$3,0,0,'Données projet'!$E$14+1,1))-AVERAGE(OFFSET($H$3,0,0,'Données projet'!$E$14+1,1))</f>
        <v>343.94240546037798</v>
      </c>
      <c r="DU6" s="60">
        <f t="shared" si="44"/>
        <v>277.30931495079346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3.56</v>
      </c>
      <c r="EJ6" s="13">
        <f>IF('Données projet'!$A$192&gt;35,EJ5+EI6-ER5,IF(A6&lt;'Données projet'!$A$192,$EG$205^A6,IF(A6='Données projet'!$A$192,'Données projet'!$B$192,EJ5+EI6-ER5)))</f>
        <v>1.7136684488168334</v>
      </c>
      <c r="EK6" s="18">
        <f>EJ6*VLOOKUP('Données projet'!$B$15,Paramètres!$A$1:$I$89,3,0)*VLOOKUP('Données projet'!$B$15,Paramètres!$A$1:$I$89,5,0)</f>
        <v>1.33666139007713</v>
      </c>
      <c r="EL6" s="14">
        <f t="shared" si="45"/>
        <v>0.59553127926010163</v>
      </c>
      <c r="EM6" s="22">
        <f t="shared" si="19"/>
        <v>3.3652355657623452</v>
      </c>
      <c r="EN6" s="60">
        <f t="shared" si="20"/>
        <v>176.72025613564722</v>
      </c>
      <c r="EO6" s="60">
        <f ca="1">AVERAGE(OFFSET($EN$3,0,0,'Données projet'!$E$15+1,1))-AVERAGE(OFFSET($H$3,0,0,'Données projet'!$E$15+1,1))</f>
        <v>308.76306523144956</v>
      </c>
      <c r="EP6" s="60">
        <f t="shared" si="46"/>
        <v>283.28099819802776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0.6</v>
      </c>
      <c r="FE6" s="13">
        <f>IF('Données projet'!$A$218&gt;35,FE5+FD6-FM5,IF(A6&lt;'Données projet'!$A$218,$FB$205^A6,IF(A6='Données projet'!$A$218,'Données projet'!$B$218,FE5+FD6-FM5)))</f>
        <v>1.5518455739153598</v>
      </c>
      <c r="FF6" s="18">
        <f>FE6*VLOOKUP('Données projet'!$B$16,Paramètres!$A$1:$I$89,3,0)*VLOOKUP('Données projet'!$B$16,Paramètres!$A$1:$I$89,5,0)</f>
        <v>1.3556922933724584</v>
      </c>
      <c r="FG6" s="14">
        <f t="shared" si="47"/>
        <v>0.6030171126730397</v>
      </c>
      <c r="FH6" s="22">
        <f t="shared" si="22"/>
        <v>3.4114188821959091</v>
      </c>
      <c r="FI6" s="60">
        <f t="shared" si="23"/>
        <v>176.76643945208079</v>
      </c>
      <c r="FJ6" s="60">
        <f ca="1">AVERAGE(OFFSET($FI$3,0,0,'Données projet'!$E$16+1,1))-AVERAGE(OFFSET($H$3,0,0,'Données projet'!$E$16+1,1))</f>
        <v>296.01124173332352</v>
      </c>
      <c r="FK6" s="60">
        <f t="shared" si="48"/>
        <v>315.50730924873733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1.4666666666666666</v>
      </c>
      <c r="FZ6" s="13">
        <f>IF('Données projet'!$A$244&gt;35,FZ5+FY6-GH5,IF(A6&lt;'Données projet'!$A$244,$FW$205^A6,IF(A6='Données projet'!$A$244,'Données projet'!$B$244,FZ5+FY6-GH5)))</f>
        <v>1.8556007362580844</v>
      </c>
      <c r="GA6" s="18">
        <f>FZ6*VLOOKUP('Données projet'!$B$17,Paramètres!$A$1:$I$89,3,0)*VLOOKUP('Données projet'!$B$17,Paramètres!$A$1:$I$89,5,0)</f>
        <v>1.7947370321088194</v>
      </c>
      <c r="GB6" s="14">
        <f t="shared" si="49"/>
        <v>0.7726577996423285</v>
      </c>
      <c r="GC6" s="22">
        <f t="shared" si="25"/>
        <v>4.4715459986332498</v>
      </c>
      <c r="GD6" s="60">
        <f t="shared" si="26"/>
        <v>177.82656656851813</v>
      </c>
      <c r="GE6" s="60">
        <f ca="1">AVERAGE(OFFSET($GD$3,0,0,'Données projet'!$E$17+1,1))-AVERAGE(OFFSET($H$3,0,0,'Données projet'!$E$17+1,1))</f>
        <v>391.18744390931187</v>
      </c>
      <c r="GF6" s="60">
        <f t="shared" si="50"/>
        <v>261.46982358454386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180.83628892348293</v>
      </c>
      <c r="S7" s="60">
        <f ca="1">AVERAGE(OFFSET($R$3,0,0,'Données projet'!$E$9+1,1))-AVERAGE(OFFSET($H$3,0,0,'Données projet'!$E$9+1,1))</f>
        <v>469.15492079216403</v>
      </c>
      <c r="T7" s="60">
        <f t="shared" si="34"/>
        <v>250.47702091764884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1.7789683284079942</v>
      </c>
      <c r="AK7" s="14">
        <f t="shared" si="35"/>
        <v>0.76665628572357314</v>
      </c>
      <c r="AL7" s="22">
        <f t="shared" si="4"/>
        <v>4.4336295362791462</v>
      </c>
      <c r="AM7" s="60">
        <f t="shared" si="5"/>
        <v>180.51975160045609</v>
      </c>
      <c r="AN7" s="60">
        <f ca="1">AVERAGE(OFFSET($AM$3,0,0,'Données projet'!$E$10+1,1))-AVERAGE(OFFSET($H$3,0,0,'Données projet'!$E$10+1,1))</f>
        <v>442.49274132121275</v>
      </c>
      <c r="AO7" s="60">
        <f t="shared" si="36"/>
        <v>237.37463556402756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1.5778688137959096</v>
      </c>
      <c r="BF7" s="14">
        <f t="shared" si="37"/>
        <v>0.68955276697540291</v>
      </c>
      <c r="BG7" s="22">
        <f t="shared" si="7"/>
        <v>3.9490925865100355</v>
      </c>
      <c r="BH7" s="60">
        <f t="shared" si="8"/>
        <v>180.03521465068698</v>
      </c>
      <c r="BI7" s="60">
        <f ca="1">AVERAGE(OFFSET($BH$3,0,0,'Données projet'!$E$11+1,1))-AVERAGE(OFFSET($H$3,0,0,'Données projet'!$E$11+1,1))</f>
        <v>267.90768140488603</v>
      </c>
      <c r="BJ7" s="60">
        <f t="shared" si="38"/>
        <v>280.25465074992258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</v>
      </c>
      <c r="BY7" s="13">
        <f>IF('Données projet'!$A$114&gt;35,BY6+BX7-CG6,IF(A7&lt;'Données projet'!$A$114,$BV$205^A7,IF(A7='Données projet'!$A$114,'Données projet'!$B$114,BY6+BX7-CG6)))</f>
        <v>2.7093585195238274</v>
      </c>
      <c r="BZ7" s="14">
        <f>BY7*VLOOKUP('Données projet'!$B$12,Paramètres!$A$1:$I$89,3,0)*VLOOKUP('Données projet'!$B$12,Paramètres!$A$1:$I$89,5,0)</f>
        <v>2.197831631037729</v>
      </c>
      <c r="CA7" s="14">
        <f t="shared" si="39"/>
        <v>0.92414120322151361</v>
      </c>
      <c r="CB7" s="22">
        <f t="shared" si="10"/>
        <v>5.4374360196681799</v>
      </c>
      <c r="CC7" s="60">
        <f t="shared" si="11"/>
        <v>181.52355808384513</v>
      </c>
      <c r="CD7" s="60">
        <f ca="1">AVERAGE(OFFSET($CC$3,0,0,'Données projet'!$E$12+1,1))-AVERAGE(OFFSET($H$3,0,0,'Données projet'!$E$12+1,1))</f>
        <v>308.6594206517259</v>
      </c>
      <c r="CE7" s="60">
        <f t="shared" si="40"/>
        <v>258.90832875500325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2.4358974358974361</v>
      </c>
      <c r="CT7" s="13">
        <f>IF('Données projet'!$A$140&gt;35,CT6+CS7-DB6,IF(A7&lt;'Données projet'!$A$140,$CQ$205^A7,IF(A7='Données projet'!$A$140,'Données projet'!$B$140,CT6+CS7-DB6)))</f>
        <v>2.610558332842511</v>
      </c>
      <c r="CU7" s="18">
        <f>CT7*VLOOKUP('Données projet'!$B$13,Paramètres!$A$1:$I$89,3,0)*VLOOKUP('Données projet'!$B$13,Paramètres!$A$1:$I$89,5,0)</f>
        <v>2.4842073095329336</v>
      </c>
      <c r="CV7" s="14">
        <f t="shared" si="41"/>
        <v>1.029769527335997</v>
      </c>
      <c r="CW7" s="22">
        <f t="shared" si="13"/>
        <v>6.1201763242133866</v>
      </c>
      <c r="CX7" s="60">
        <f t="shared" si="14"/>
        <v>182.20629838839034</v>
      </c>
      <c r="CY7" s="60">
        <f ca="1">AVERAGE(OFFSET($CX$3,0,0,'Données projet'!$E$13+1,1))-AVERAGE(OFFSET($H$3,0,0,'Données projet'!$E$13+1,1))</f>
        <v>397.63792993520934</v>
      </c>
      <c r="CZ7" s="60">
        <f t="shared" si="42"/>
        <v>300.63705521148802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3.3333333333333335</v>
      </c>
      <c r="DO7" s="13">
        <f>IF('Données projet'!$A$166&gt;35,DO6+DN7-DW6,IF(A7&lt;'Données projet'!$A$166,$DL$205^A7,IF(A7='Données projet'!$A$166,'Données projet'!$B$166,DO6+DN7-DW6)))</f>
        <v>2.8383024221621684</v>
      </c>
      <c r="DP7" s="18">
        <f>DO7*VLOOKUP('Données projet'!$B$14,Paramètres!$A$1:$I$89,3,0)*VLOOKUP('Données projet'!$B$14,Paramètres!$A$1:$I$89,5,0)</f>
        <v>1.9039332647863827</v>
      </c>
      <c r="DQ7" s="14">
        <f t="shared" si="43"/>
        <v>0.81405233474053373</v>
      </c>
      <c r="DR7" s="22">
        <f t="shared" si="16"/>
        <v>4.7338249191760466</v>
      </c>
      <c r="DS7" s="60">
        <f t="shared" si="17"/>
        <v>180.81994698335299</v>
      </c>
      <c r="DT7" s="60">
        <f ca="1">AVERAGE(OFFSET($DS$3,0,0,'Données projet'!$E$14+1,1))-AVERAGE(OFFSET($H$3,0,0,'Données projet'!$E$14+1,1))</f>
        <v>343.94240546037798</v>
      </c>
      <c r="DU7" s="60">
        <f t="shared" si="44"/>
        <v>277.30931495079346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3.56</v>
      </c>
      <c r="EJ7" s="13">
        <f>IF('Données projet'!$A$192&gt;35,EJ6+EI7-ER6,IF(A7&lt;'Données projet'!$A$192,$EG$205^A7,IF(A7='Données projet'!$A$192,'Données projet'!$B$192,EJ6+EI7-ER6)))</f>
        <v>2.0507012732339978</v>
      </c>
      <c r="EK7" s="18">
        <f>EJ7*VLOOKUP('Données projet'!$B$15,Paramètres!$A$1:$I$89,3,0)*VLOOKUP('Données projet'!$B$15,Paramètres!$A$1:$I$89,5,0)</f>
        <v>1.5995469931225184</v>
      </c>
      <c r="EL7" s="14">
        <f t="shared" si="45"/>
        <v>0.69791706476400706</v>
      </c>
      <c r="EM7" s="22">
        <f t="shared" si="19"/>
        <v>4.0014165674856983</v>
      </c>
      <c r="EN7" s="60">
        <f t="shared" si="20"/>
        <v>180.08753863166265</v>
      </c>
      <c r="EO7" s="60">
        <f ca="1">AVERAGE(OFFSET($EN$3,0,0,'Données projet'!$E$15+1,1))-AVERAGE(OFFSET($H$3,0,0,'Données projet'!$E$15+1,1))</f>
        <v>308.76306523144956</v>
      </c>
      <c r="EP7" s="60">
        <f t="shared" si="46"/>
        <v>283.28099819802776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0.6</v>
      </c>
      <c r="FE7" s="13">
        <f>IF('Données projet'!$A$218&gt;35,FE6+FD7-FM6,IF(A7&lt;'Données projet'!$A$218,$FB$205^A7,IF(A7='Données projet'!$A$218,'Données projet'!$B$218,FE6+FD7-FM6)))</f>
        <v>1.796654912379124</v>
      </c>
      <c r="FF7" s="18">
        <f>FE7*VLOOKUP('Données projet'!$B$16,Paramètres!$A$1:$I$89,3,0)*VLOOKUP('Données projet'!$B$16,Paramètres!$A$1:$I$89,5,0)</f>
        <v>1.5695577314544029</v>
      </c>
      <c r="FG7" s="14">
        <f t="shared" si="47"/>
        <v>0.68634248424879218</v>
      </c>
      <c r="FH7" s="22">
        <f t="shared" si="22"/>
        <v>3.9290262090163979</v>
      </c>
      <c r="FI7" s="60">
        <f t="shared" si="23"/>
        <v>180.01514827319335</v>
      </c>
      <c r="FJ7" s="60">
        <f ca="1">AVERAGE(OFFSET($FI$3,0,0,'Données projet'!$E$16+1,1))-AVERAGE(OFFSET($H$3,0,0,'Données projet'!$E$16+1,1))</f>
        <v>296.01124173332352</v>
      </c>
      <c r="FK7" s="60">
        <f t="shared" si="48"/>
        <v>315.50730924873733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1.4666666666666666</v>
      </c>
      <c r="FZ7" s="13">
        <f>IF('Données projet'!$A$244&gt;35,FZ6+FY7-GH6,IF(A7&lt;'Données projet'!$A$244,$FW$205^A7,IF(A7='Données projet'!$A$244,'Données projet'!$B$244,FZ6+FY7-GH6)))</f>
        <v>2.2802338136665385</v>
      </c>
      <c r="GA7" s="18">
        <f>FZ7*VLOOKUP('Données projet'!$B$17,Paramètres!$A$1:$I$89,3,0)*VLOOKUP('Données projet'!$B$17,Paramètres!$A$1:$I$89,5,0)</f>
        <v>2.2054421445782761</v>
      </c>
      <c r="GB7" s="14">
        <f t="shared" si="49"/>
        <v>0.92696820553878212</v>
      </c>
      <c r="GC7" s="22">
        <f t="shared" si="25"/>
        <v>5.455614693120542</v>
      </c>
      <c r="GD7" s="60">
        <f t="shared" si="26"/>
        <v>181.54173675729749</v>
      </c>
      <c r="GE7" s="60">
        <f ca="1">AVERAGE(OFFSET($GD$3,0,0,'Données projet'!$E$17+1,1))-AVERAGE(OFFSET($H$3,0,0,'Données projet'!$E$17+1,1))</f>
        <v>391.18744390931187</v>
      </c>
      <c r="GF7" s="60">
        <f t="shared" si="50"/>
        <v>261.46982358454386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184.48041712822103</v>
      </c>
      <c r="S8" s="60">
        <f ca="1">AVERAGE(OFFSET($R$3,0,0,'Données projet'!$E$9+1,1))-AVERAGE(OFFSET($H$3,0,0,'Données projet'!$E$9+1,1))</f>
        <v>469.15492079216403</v>
      </c>
      <c r="T8" s="60">
        <f t="shared" si="34"/>
        <v>250.47702091764884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2.1445228635663907</v>
      </c>
      <c r="AK8" s="14">
        <f t="shared" si="35"/>
        <v>0.90430692044106609</v>
      </c>
      <c r="AL8" s="22">
        <f t="shared" si="4"/>
        <v>5.3100452071463202</v>
      </c>
      <c r="AM8" s="60">
        <f t="shared" si="5"/>
        <v>184.10109308359367</v>
      </c>
      <c r="AN8" s="60">
        <f ca="1">AVERAGE(OFFSET($AM$3,0,0,'Données projet'!$E$10+1,1))-AVERAGE(OFFSET($H$3,0,0,'Données projet'!$E$10+1,1))</f>
        <v>442.49274132121275</v>
      </c>
      <c r="AO8" s="60">
        <f t="shared" si="36"/>
        <v>237.37463556402756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1.9656000000000005</v>
      </c>
      <c r="BF8" s="14">
        <f t="shared" si="37"/>
        <v>0.83730632840564978</v>
      </c>
      <c r="BG8" s="22">
        <f t="shared" si="7"/>
        <v>4.8817285219731739</v>
      </c>
      <c r="BH8" s="60">
        <f t="shared" si="8"/>
        <v>183.67277639842052</v>
      </c>
      <c r="BI8" s="60">
        <f ca="1">AVERAGE(OFFSET($BH$3,0,0,'Données projet'!$E$11+1,1))-AVERAGE(OFFSET($H$3,0,0,'Données projet'!$E$11+1,1))</f>
        <v>267.90768140488603</v>
      </c>
      <c r="BJ8" s="60">
        <f t="shared" si="38"/>
        <v>280.25465074992258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</v>
      </c>
      <c r="BY8" s="13">
        <f>IF('Données projet'!$A$114&gt;35,BY7+BX8-CG7,IF(A8&lt;'Données projet'!$A$114,$BV$205^A8,IF(A8='Données projet'!$A$114,'Données projet'!$B$114,BY7+BX8-CG7)))</f>
        <v>3.4760266448864483</v>
      </c>
      <c r="BZ8" s="14">
        <f>BY8*VLOOKUP('Données projet'!$B$12,Paramètres!$A$1:$I$89,3,0)*VLOOKUP('Données projet'!$B$12,Paramètres!$A$1:$I$89,5,0)</f>
        <v>2.8197528143318871</v>
      </c>
      <c r="CA8" s="14">
        <f t="shared" si="39"/>
        <v>1.1517508428554772</v>
      </c>
      <c r="CB8" s="22">
        <f t="shared" si="10"/>
        <v>6.9170355362679921</v>
      </c>
      <c r="CC8" s="60">
        <f t="shared" si="11"/>
        <v>185.70808341271535</v>
      </c>
      <c r="CD8" s="60">
        <f ca="1">AVERAGE(OFFSET($CC$3,0,0,'Données projet'!$E$12+1,1))-AVERAGE(OFFSET($H$3,0,0,'Données projet'!$E$12+1,1))</f>
        <v>308.6594206517259</v>
      </c>
      <c r="CE8" s="60">
        <f t="shared" si="40"/>
        <v>258.90832875500325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2.4358974358974361</v>
      </c>
      <c r="CT8" s="13">
        <f>IF('Données projet'!$A$140&gt;35,CT7+CS8-DB7,IF(A8&lt;'Données projet'!$A$140,$CQ$205^A8,IF(A8='Données projet'!$A$140,'Données projet'!$B$140,CT7+CS8-DB7)))</f>
        <v>3.3183084459586891</v>
      </c>
      <c r="CU8" s="18">
        <f>CT8*VLOOKUP('Données projet'!$B$13,Paramètres!$A$1:$I$89,3,0)*VLOOKUP('Données projet'!$B$13,Paramètres!$A$1:$I$89,5,0)</f>
        <v>3.1577023171742886</v>
      </c>
      <c r="CV8" s="14">
        <f t="shared" si="41"/>
        <v>1.2729063254981332</v>
      </c>
      <c r="CW8" s="22">
        <f t="shared" si="13"/>
        <v>7.7166433859878012</v>
      </c>
      <c r="CX8" s="60">
        <f t="shared" si="14"/>
        <v>186.50769126243515</v>
      </c>
      <c r="CY8" s="60">
        <f ca="1">AVERAGE(OFFSET($CX$3,0,0,'Données projet'!$E$13+1,1))-AVERAGE(OFFSET($H$3,0,0,'Données projet'!$E$13+1,1))</f>
        <v>397.63792993520934</v>
      </c>
      <c r="CZ8" s="60">
        <f t="shared" si="42"/>
        <v>300.63705521148802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3.3333333333333335</v>
      </c>
      <c r="DO8" s="13">
        <f>IF('Données projet'!$A$166&gt;35,DO7+DN8-DW7,IF(A8&lt;'Données projet'!$A$166,$DL$205^A8,IF(A8='Données projet'!$A$166,'Données projet'!$B$166,DO7+DN8-DW7)))</f>
        <v>3.6840314986403868</v>
      </c>
      <c r="DP8" s="18">
        <f>DO8*VLOOKUP('Données projet'!$B$14,Paramètres!$A$1:$I$89,3,0)*VLOOKUP('Données projet'!$B$14,Paramètres!$A$1:$I$89,5,0)</f>
        <v>2.4712483292879717</v>
      </c>
      <c r="DQ8" s="14">
        <f t="shared" si="43"/>
        <v>1.0250215260762008</v>
      </c>
      <c r="DR8" s="22">
        <f t="shared" si="16"/>
        <v>6.0893366647592657</v>
      </c>
      <c r="DS8" s="60">
        <f t="shared" si="17"/>
        <v>184.88038454120661</v>
      </c>
      <c r="DT8" s="60">
        <f ca="1">AVERAGE(OFFSET($DS$3,0,0,'Données projet'!$E$14+1,1))-AVERAGE(OFFSET($H$3,0,0,'Données projet'!$E$14+1,1))</f>
        <v>343.94240546037798</v>
      </c>
      <c r="DU8" s="60">
        <f t="shared" si="44"/>
        <v>277.30931495079346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3.56</v>
      </c>
      <c r="EJ8" s="13">
        <f>IF('Données projet'!$A$192&gt;35,EJ7+EI8-ER7,IF(A8&lt;'Données projet'!$A$192,$EG$205^A8,IF(A8='Données projet'!$A$192,'Données projet'!$B$192,EJ7+EI8-ER7)))</f>
        <v>2.4540194545491301</v>
      </c>
      <c r="EK8" s="18">
        <f>EJ8*VLOOKUP('Données projet'!$B$15,Paramètres!$A$1:$I$89,3,0)*VLOOKUP('Données projet'!$B$15,Paramètres!$A$1:$I$89,5,0)</f>
        <v>1.9141351745483215</v>
      </c>
      <c r="EL8" s="14">
        <f t="shared" si="45"/>
        <v>0.81790536660639246</v>
      </c>
      <c r="EM8" s="22">
        <f t="shared" si="19"/>
        <v>4.7583039425111266</v>
      </c>
      <c r="EN8" s="60">
        <f t="shared" si="20"/>
        <v>183.54935181895848</v>
      </c>
      <c r="EO8" s="60">
        <f ca="1">AVERAGE(OFFSET($EN$3,0,0,'Données projet'!$E$15+1,1))-AVERAGE(OFFSET($H$3,0,0,'Données projet'!$E$15+1,1))</f>
        <v>308.76306523144956</v>
      </c>
      <c r="EP8" s="60">
        <f t="shared" si="46"/>
        <v>283.28099819802776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0.6</v>
      </c>
      <c r="FE8" s="13">
        <f>IF('Données projet'!$A$218&gt;35,FE7+FD8-FM7,IF(A8&lt;'Données projet'!$A$218,$FB$205^A8,IF(A8='Données projet'!$A$218,'Données projet'!$B$218,FE7+FD8-FM7)))</f>
        <v>2.0800838230519041</v>
      </c>
      <c r="FF8" s="18">
        <f>FE8*VLOOKUP('Données projet'!$B$16,Paramètres!$A$1:$I$89,3,0)*VLOOKUP('Données projet'!$B$16,Paramètres!$A$1:$I$89,5,0)</f>
        <v>1.8171612278181437</v>
      </c>
      <c r="FG8" s="14">
        <f t="shared" si="47"/>
        <v>0.78118182019192373</v>
      </c>
      <c r="FH8" s="22">
        <f t="shared" si="22"/>
        <v>4.5254474752842002</v>
      </c>
      <c r="FI8" s="60">
        <f t="shared" si="23"/>
        <v>183.31649535173156</v>
      </c>
      <c r="FJ8" s="60">
        <f ca="1">AVERAGE(OFFSET($FI$3,0,0,'Données projet'!$E$16+1,1))-AVERAGE(OFFSET($H$3,0,0,'Données projet'!$E$16+1,1))</f>
        <v>296.01124173332352</v>
      </c>
      <c r="FK8" s="60">
        <f t="shared" si="48"/>
        <v>315.50730924873733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1.4666666666666666</v>
      </c>
      <c r="FZ8" s="13">
        <f>IF('Données projet'!$A$244&gt;35,FZ7+FY8-GH7,IF(A8&lt;'Données projet'!$A$244,$FW$205^A8,IF(A8='Données projet'!$A$244,'Données projet'!$B$244,FZ7+FY8-GH7)))</f>
        <v>2.8020393306553872</v>
      </c>
      <c r="GA8" s="18">
        <f>FZ8*VLOOKUP('Données projet'!$B$17,Paramètres!$A$1:$I$89,3,0)*VLOOKUP('Données projet'!$B$17,Paramètres!$A$1:$I$89,5,0)</f>
        <v>2.7101324406098906</v>
      </c>
      <c r="GB8" s="14">
        <f t="shared" si="49"/>
        <v>1.1120965251079522</v>
      </c>
      <c r="GC8" s="22">
        <f t="shared" si="25"/>
        <v>6.6570487819585757</v>
      </c>
      <c r="GD8" s="60">
        <f t="shared" si="26"/>
        <v>185.44809665840592</v>
      </c>
      <c r="GE8" s="60">
        <f ca="1">AVERAGE(OFFSET($GD$3,0,0,'Données projet'!$E$17+1,1))-AVERAGE(OFFSET($H$3,0,0,'Données projet'!$E$17+1,1))</f>
        <v>391.18744390931187</v>
      </c>
      <c r="GF8" s="60">
        <f t="shared" si="50"/>
        <v>261.46982358454386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188.28519320362309</v>
      </c>
      <c r="S9" s="60">
        <f ca="1">AVERAGE(OFFSET($R$3,0,0,'Données projet'!$E$9+1,1))-AVERAGE(OFFSET($H$3,0,0,'Données projet'!$E$9+1,1))</f>
        <v>469.15492079216403</v>
      </c>
      <c r="T9" s="60">
        <f t="shared" si="34"/>
        <v>250.47702091764884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2.5851940357334171</v>
      </c>
      <c r="AK9" s="14">
        <f t="shared" si="35"/>
        <v>1.0666722775067177</v>
      </c>
      <c r="AL9" s="22">
        <f t="shared" si="4"/>
        <v>6.3603338288932347</v>
      </c>
      <c r="AM9" s="60">
        <f t="shared" si="5"/>
        <v>187.83058592515221</v>
      </c>
      <c r="AN9" s="60">
        <f ca="1">AVERAGE(OFFSET($AM$3,0,0,'Données projet'!$E$10+1,1))-AVERAGE(OFFSET($H$3,0,0,'Données projet'!$E$10+1,1))</f>
        <v>442.49274132121275</v>
      </c>
      <c r="AO9" s="60">
        <f t="shared" si="36"/>
        <v>237.37463556402756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2.448608734908261</v>
      </c>
      <c r="BF9" s="14">
        <f t="shared" si="37"/>
        <v>1.0167197075625076</v>
      </c>
      <c r="BG9" s="22">
        <f t="shared" si="7"/>
        <v>6.035447037303256</v>
      </c>
      <c r="BH9" s="60">
        <f t="shared" si="8"/>
        <v>187.50569913356222</v>
      </c>
      <c r="BI9" s="60">
        <f ca="1">AVERAGE(OFFSET($BH$3,0,0,'Données projet'!$E$11+1,1))-AVERAGE(OFFSET($H$3,0,0,'Données projet'!$E$11+1,1))</f>
        <v>267.90768140488603</v>
      </c>
      <c r="BJ9" s="60">
        <f t="shared" si="38"/>
        <v>280.25465074992258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</v>
      </c>
      <c r="BY9" s="13">
        <f>IF('Données projet'!$A$114&gt;35,BY8+BX9-CG8,IF(A9&lt;'Données projet'!$A$114,$BV$205^A9,IF(A9='Données projet'!$A$114,'Données projet'!$B$114,BY8+BX9-CG8)))</f>
        <v>4.4596391171162164</v>
      </c>
      <c r="BZ9" s="14">
        <f>BY9*VLOOKUP('Données projet'!$B$12,Paramètres!$A$1:$I$89,3,0)*VLOOKUP('Données projet'!$B$12,Paramètres!$A$1:$I$89,5,0)</f>
        <v>3.6176592518046751</v>
      </c>
      <c r="CA9" s="14">
        <f t="shared" si="39"/>
        <v>1.4354191755481527</v>
      </c>
      <c r="CB9" s="22">
        <f t="shared" si="10"/>
        <v>8.8007782609728427</v>
      </c>
      <c r="CC9" s="60">
        <f t="shared" si="11"/>
        <v>190.27103035723181</v>
      </c>
      <c r="CD9" s="60">
        <f ca="1">AVERAGE(OFFSET($CC$3,0,0,'Données projet'!$E$12+1,1))-AVERAGE(OFFSET($H$3,0,0,'Données projet'!$E$12+1,1))</f>
        <v>308.6594206517259</v>
      </c>
      <c r="CE9" s="60">
        <f t="shared" si="40"/>
        <v>258.90832875500325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2.4358974358974361</v>
      </c>
      <c r="CT9" s="13">
        <f>IF('Données projet'!$A$140&gt;35,CT8+CS9-DB8,IF(A9&lt;'Données projet'!$A$140,$CQ$205^A9,IF(A9='Données projet'!$A$140,'Données projet'!$B$140,CT8+CS9-DB8)))</f>
        <v>4.2179371378119086</v>
      </c>
      <c r="CU9" s="18">
        <f>CT9*VLOOKUP('Données projet'!$B$13,Paramètres!$A$1:$I$89,3,0)*VLOOKUP('Données projet'!$B$13,Paramètres!$A$1:$I$89,5,0)</f>
        <v>4.0137889803418121</v>
      </c>
      <c r="CV9" s="14">
        <f t="shared" si="41"/>
        <v>1.5734496608040387</v>
      </c>
      <c r="CW9" s="22">
        <f t="shared" si="13"/>
        <v>9.7311072999956902</v>
      </c>
      <c r="CX9" s="60">
        <f t="shared" si="14"/>
        <v>191.20135939625467</v>
      </c>
      <c r="CY9" s="60">
        <f ca="1">AVERAGE(OFFSET($CX$3,0,0,'Données projet'!$E$13+1,1))-AVERAGE(OFFSET($H$3,0,0,'Données projet'!$E$13+1,1))</f>
        <v>397.63792993520934</v>
      </c>
      <c r="CZ9" s="60">
        <f t="shared" si="42"/>
        <v>300.63705521148802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3.3333333333333335</v>
      </c>
      <c r="DO9" s="13">
        <f>IF('Données projet'!$A$166&gt;35,DO8+DN9-DW8,IF(A9&lt;'Données projet'!$A$166,$DL$205^A9,IF(A9='Données projet'!$A$166,'Données projet'!$B$166,DO8+DN9-DW8)))</f>
        <v>4.7817624989501848</v>
      </c>
      <c r="DP9" s="18">
        <f>DO9*VLOOKUP('Données projet'!$B$14,Paramètres!$A$1:$I$89,3,0)*VLOOKUP('Données projet'!$B$14,Paramètres!$A$1:$I$89,5,0)</f>
        <v>3.2076062842957844</v>
      </c>
      <c r="DQ9" s="14">
        <f t="shared" si="43"/>
        <v>1.2906653345014574</v>
      </c>
      <c r="DR9" s="22">
        <f t="shared" si="16"/>
        <v>7.8344897360718626</v>
      </c>
      <c r="DS9" s="60">
        <f t="shared" si="17"/>
        <v>189.30474183233085</v>
      </c>
      <c r="DT9" s="60">
        <f ca="1">AVERAGE(OFFSET($DS$3,0,0,'Données projet'!$E$14+1,1))-AVERAGE(OFFSET($H$3,0,0,'Données projet'!$E$14+1,1))</f>
        <v>343.94240546037798</v>
      </c>
      <c r="DU9" s="60">
        <f t="shared" si="44"/>
        <v>277.30931495079346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3.56</v>
      </c>
      <c r="EJ9" s="13">
        <f>IF('Données projet'!$A$192&gt;35,EJ8+EI9-ER8,IF(A9&lt;'Données projet'!$A$192,$EG$205^A9,IF(A9='Données projet'!$A$192,'Données projet'!$B$192,EJ8+EI9-ER8)))</f>
        <v>2.9366595524702919</v>
      </c>
      <c r="EK9" s="18">
        <f>EJ9*VLOOKUP('Données projet'!$B$15,Paramètres!$A$1:$I$89,3,0)*VLOOKUP('Données projet'!$B$15,Paramètres!$A$1:$I$89,5,0)</f>
        <v>2.2905944509268279</v>
      </c>
      <c r="EL9" s="14">
        <f t="shared" si="45"/>
        <v>0.95852246992949186</v>
      </c>
      <c r="EM9" s="22">
        <f t="shared" si="19"/>
        <v>5.6588786371580904</v>
      </c>
      <c r="EN9" s="60">
        <f t="shared" si="20"/>
        <v>187.12913073341707</v>
      </c>
      <c r="EO9" s="60">
        <f ca="1">AVERAGE(OFFSET($EN$3,0,0,'Données projet'!$E$15+1,1))-AVERAGE(OFFSET($H$3,0,0,'Données projet'!$E$15+1,1))</f>
        <v>308.76306523144956</v>
      </c>
      <c r="EP9" s="60">
        <f t="shared" si="46"/>
        <v>283.28099819802776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0.6</v>
      </c>
      <c r="FE9" s="13">
        <f>IF('Données projet'!$A$218&gt;35,FE8+FD9-FM8,IF(A9&lt;'Données projet'!$A$218,$FB$205^A9,IF(A9='Données projet'!$A$218,'Données projet'!$B$218,FE8+FD9-FM8)))</f>
        <v>2.4082246852806919</v>
      </c>
      <c r="FF9" s="18">
        <f>FE9*VLOOKUP('Données projet'!$B$16,Paramètres!$A$1:$I$89,3,0)*VLOOKUP('Données projet'!$B$16,Paramètres!$A$1:$I$89,5,0)</f>
        <v>2.1038250850612128</v>
      </c>
      <c r="FG9" s="14">
        <f t="shared" si="47"/>
        <v>0.88912612901456256</v>
      </c>
      <c r="FH9" s="22">
        <f t="shared" si="22"/>
        <v>5.2127233645153082</v>
      </c>
      <c r="FI9" s="60">
        <f t="shared" si="23"/>
        <v>186.68297546077429</v>
      </c>
      <c r="FJ9" s="60">
        <f ca="1">AVERAGE(OFFSET($FI$3,0,0,'Données projet'!$E$16+1,1))-AVERAGE(OFFSET($H$3,0,0,'Données projet'!$E$16+1,1))</f>
        <v>296.01124173332352</v>
      </c>
      <c r="FK9" s="60">
        <f t="shared" si="48"/>
        <v>315.50730924873733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1.4666666666666666</v>
      </c>
      <c r="FZ9" s="13">
        <f>IF('Données projet'!$A$244&gt;35,FZ8+FY9-GH8,IF(A9&lt;'Données projet'!$A$244,$FW$205^A9,IF(A9='Données projet'!$A$244,'Données projet'!$B$244,FZ8+FY9-GH8)))</f>
        <v>3.4432540924015447</v>
      </c>
      <c r="GA9" s="18">
        <f>FZ9*VLOOKUP('Données projet'!$B$17,Paramètres!$A$1:$I$89,3,0)*VLOOKUP('Données projet'!$B$17,Paramètres!$A$1:$I$89,5,0)</f>
        <v>3.3303153581707741</v>
      </c>
      <c r="GB9" s="14">
        <f t="shared" si="49"/>
        <v>1.3341975202249148</v>
      </c>
      <c r="GC9" s="22">
        <f t="shared" si="25"/>
        <v>8.1240265965391565</v>
      </c>
      <c r="GD9" s="60">
        <f t="shared" si="26"/>
        <v>189.59427869279813</v>
      </c>
      <c r="GE9" s="60">
        <f ca="1">AVERAGE(OFFSET($GD$3,0,0,'Données projet'!$E$17+1,1))-AVERAGE(OFFSET($H$3,0,0,'Données projet'!$E$17+1,1))</f>
        <v>391.18744390931187</v>
      </c>
      <c r="GF9" s="60">
        <f t="shared" si="50"/>
        <v>261.46982358454386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192.28817046759474</v>
      </c>
      <c r="S10" s="60">
        <f ca="1">AVERAGE(OFFSET($R$3,0,0,'Données projet'!$E$9+1,1))-AVERAGE(OFFSET($H$3,0,0,'Données projet'!$E$9+1,1))</f>
        <v>469.15492079216403</v>
      </c>
      <c r="T10" s="60">
        <f t="shared" si="34"/>
        <v>250.47702091764884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3.1164173233748005</v>
      </c>
      <c r="AK10" s="14">
        <f t="shared" si="35"/>
        <v>1.2581898046809412</v>
      </c>
      <c r="AL10" s="22">
        <f t="shared" si="4"/>
        <v>7.6191074146970825</v>
      </c>
      <c r="AM10" s="60">
        <f t="shared" si="5"/>
        <v>191.74328835043332</v>
      </c>
      <c r="AN10" s="60">
        <f ca="1">AVERAGE(OFFSET($AM$3,0,0,'Données projet'!$E$10+1,1))-AVERAGE(OFFSET($H$3,0,0,'Données projet'!$E$10+1,1))</f>
        <v>442.49274132121275</v>
      </c>
      <c r="AO10" s="60">
        <f t="shared" si="36"/>
        <v>237.37463556402756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3.0503076600880319</v>
      </c>
      <c r="BF10" s="14">
        <f t="shared" si="37"/>
        <v>1.2345767954654534</v>
      </c>
      <c r="BG10" s="22">
        <f t="shared" si="7"/>
        <v>7.4628404267556538</v>
      </c>
      <c r="BH10" s="60">
        <f t="shared" si="8"/>
        <v>191.5870213624919</v>
      </c>
      <c r="BI10" s="60">
        <f ca="1">AVERAGE(OFFSET($BH$3,0,0,'Données projet'!$E$11+1,1))-AVERAGE(OFFSET($H$3,0,0,'Données projet'!$E$11+1,1))</f>
        <v>267.90768140488603</v>
      </c>
      <c r="BJ10" s="60">
        <f t="shared" si="38"/>
        <v>280.25465074992258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</v>
      </c>
      <c r="BY10" s="13">
        <f>IF('Données projet'!$A$114&gt;35,BY9+BX10-CG9,IF(A10&lt;'Données projet'!$A$114,$BV$205^A10,IF(A10='Données projet'!$A$114,'Données projet'!$B$114,BY9+BX10-CG9)))</f>
        <v>5.7215847537218165</v>
      </c>
      <c r="BZ10" s="14">
        <f>BY10*VLOOKUP('Données projet'!$B$12,Paramètres!$A$1:$I$89,3,0)*VLOOKUP('Données projet'!$B$12,Paramètres!$A$1:$I$89,5,0)</f>
        <v>4.6413495522191379</v>
      </c>
      <c r="CA10" s="14">
        <f t="shared" si="39"/>
        <v>1.7889530728912018</v>
      </c>
      <c r="CB10" s="22">
        <f t="shared" si="10"/>
        <v>11.199443738733841</v>
      </c>
      <c r="CC10" s="60">
        <f t="shared" si="11"/>
        <v>195.32362467447007</v>
      </c>
      <c r="CD10" s="60">
        <f ca="1">AVERAGE(OFFSET($CC$3,0,0,'Données projet'!$E$12+1,1))-AVERAGE(OFFSET($H$3,0,0,'Données projet'!$E$12+1,1))</f>
        <v>308.6594206517259</v>
      </c>
      <c r="CE10" s="60">
        <f t="shared" si="40"/>
        <v>258.90832875500325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2.4358974358974361</v>
      </c>
      <c r="CT10" s="13">
        <f>IF('Données projet'!$A$140&gt;35,CT9+CS10-DB9,IF(A10&lt;'Données projet'!$A$140,$CQ$205^A10,IF(A10='Données projet'!$A$140,'Données projet'!$B$140,CT9+CS10-DB9)))</f>
        <v>5.3614647306823651</v>
      </c>
      <c r="CU10" s="18">
        <f>CT10*VLOOKUP('Données projet'!$B$13,Paramètres!$A$1:$I$89,3,0)*VLOOKUP('Données projet'!$B$13,Paramètres!$A$1:$I$89,5,0)</f>
        <v>5.1019698377173386</v>
      </c>
      <c r="CV10" s="14">
        <f t="shared" si="41"/>
        <v>1.9449536745097864</v>
      </c>
      <c r="CW10" s="22">
        <f t="shared" si="13"/>
        <v>12.273391783795576</v>
      </c>
      <c r="CX10" s="60">
        <f t="shared" si="14"/>
        <v>196.39757271953181</v>
      </c>
      <c r="CY10" s="60">
        <f ca="1">AVERAGE(OFFSET($CX$3,0,0,'Données projet'!$E$13+1,1))-AVERAGE(OFFSET($H$3,0,0,'Données projet'!$E$13+1,1))</f>
        <v>397.63792993520934</v>
      </c>
      <c r="CZ10" s="60">
        <f t="shared" si="42"/>
        <v>300.63705521148802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3.3333333333333335</v>
      </c>
      <c r="DO10" s="13">
        <f>IF('Données projet'!$A$166&gt;35,DO9+DN10-DW9,IF(A10&lt;'Données projet'!$A$166,$DL$205^A10,IF(A10='Données projet'!$A$166,'Données projet'!$B$166,DO9+DN10-DW9)))</f>
        <v>6.2065844455469161</v>
      </c>
      <c r="DP10" s="18">
        <f>DO10*VLOOKUP('Données projet'!$B$14,Paramètres!$A$1:$I$89,3,0)*VLOOKUP('Données projet'!$B$14,Paramètres!$A$1:$I$89,5,0)</f>
        <v>4.1633768460728717</v>
      </c>
      <c r="DQ10" s="14">
        <f t="shared" si="43"/>
        <v>1.6251531926949223</v>
      </c>
      <c r="DR10" s="22">
        <f t="shared" si="16"/>
        <v>10.081689817520575</v>
      </c>
      <c r="DS10" s="60">
        <f t="shared" si="17"/>
        <v>194.20587075325682</v>
      </c>
      <c r="DT10" s="60">
        <f ca="1">AVERAGE(OFFSET($DS$3,0,0,'Données projet'!$E$14+1,1))-AVERAGE(OFFSET($H$3,0,0,'Données projet'!$E$14+1,1))</f>
        <v>343.94240546037798</v>
      </c>
      <c r="DU10" s="60">
        <f t="shared" si="44"/>
        <v>277.30931495079346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3.56</v>
      </c>
      <c r="EJ10" s="13">
        <f>IF('Données projet'!$A$192&gt;35,EJ9+EI10-ER9,IF(A10&lt;'Données projet'!$A$192,$EG$205^A10,IF(A10='Données projet'!$A$192,'Données projet'!$B$192,EJ9+EI10-ER9)))</f>
        <v>3.5142220698896103</v>
      </c>
      <c r="EK10" s="18">
        <f>EJ10*VLOOKUP('Données projet'!$B$15,Paramètres!$A$1:$I$89,3,0)*VLOOKUP('Données projet'!$B$15,Paramètres!$A$1:$I$89,5,0)</f>
        <v>2.7410932145138962</v>
      </c>
      <c r="EL10" s="14">
        <f t="shared" si="45"/>
        <v>1.1233149492242895</v>
      </c>
      <c r="EM10" s="22">
        <f t="shared" si="19"/>
        <v>6.730510885177341</v>
      </c>
      <c r="EN10" s="60">
        <f t="shared" si="20"/>
        <v>190.85469182091359</v>
      </c>
      <c r="EO10" s="60">
        <f ca="1">AVERAGE(OFFSET($EN$3,0,0,'Données projet'!$E$15+1,1))-AVERAGE(OFFSET($H$3,0,0,'Données projet'!$E$15+1,1))</f>
        <v>308.76306523144956</v>
      </c>
      <c r="EP10" s="60">
        <f t="shared" si="46"/>
        <v>283.28099819802776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0.6</v>
      </c>
      <c r="FE10" s="13">
        <f>IF('Données projet'!$A$218&gt;35,FE9+FD10-FM9,IF(A10&lt;'Données projet'!$A$218,$FB$205^A10,IF(A10='Données projet'!$A$218,'Données projet'!$B$218,FE9+FD10-FM9)))</f>
        <v>2.788130973628832</v>
      </c>
      <c r="FF10" s="18">
        <f>FE10*VLOOKUP('Données projet'!$B$16,Paramètres!$A$1:$I$89,3,0)*VLOOKUP('Données projet'!$B$16,Paramètres!$A$1:$I$89,5,0)</f>
        <v>2.4357112185621479</v>
      </c>
      <c r="FG10" s="14">
        <f t="shared" si="47"/>
        <v>1.0119862660170416</v>
      </c>
      <c r="FH10" s="22">
        <f t="shared" si="22"/>
        <v>6.0047397856420881</v>
      </c>
      <c r="FI10" s="60">
        <f t="shared" si="23"/>
        <v>190.12892072137834</v>
      </c>
      <c r="FJ10" s="60">
        <f ca="1">AVERAGE(OFFSET($FI$3,0,0,'Données projet'!$E$16+1,1))-AVERAGE(OFFSET($H$3,0,0,'Données projet'!$E$16+1,1))</f>
        <v>296.01124173332352</v>
      </c>
      <c r="FK10" s="60">
        <f t="shared" si="48"/>
        <v>315.50730924873733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1.4666666666666666</v>
      </c>
      <c r="FZ10" s="13">
        <f>IF('Données projet'!$A$244&gt;35,FZ9+FY10-GH9,IF(A10&lt;'Données projet'!$A$244,$FW$205^A10,IF(A10='Données projet'!$A$244,'Données projet'!$B$244,FZ9+FY10-GH9)))</f>
        <v>4.2312035434802082</v>
      </c>
      <c r="GA10" s="18">
        <f>FZ10*VLOOKUP('Données projet'!$B$17,Paramètres!$A$1:$I$89,3,0)*VLOOKUP('Données projet'!$B$17,Paramètres!$A$1:$I$89,5,0)</f>
        <v>4.0924200672540572</v>
      </c>
      <c r="GB10" s="14">
        <f t="shared" si="49"/>
        <v>1.6006551434926186</v>
      </c>
      <c r="GC10" s="22">
        <f t="shared" si="25"/>
        <v>9.915439325383792</v>
      </c>
      <c r="GD10" s="60">
        <f t="shared" si="26"/>
        <v>194.03962026112004</v>
      </c>
      <c r="GE10" s="60">
        <f ca="1">AVERAGE(OFFSET($GD$3,0,0,'Données projet'!$E$17+1,1))-AVERAGE(OFFSET($H$3,0,0,'Données projet'!$E$17+1,1))</f>
        <v>391.18744390931187</v>
      </c>
      <c r="GF10" s="60">
        <f t="shared" si="50"/>
        <v>261.46982358454386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196.53430597224175</v>
      </c>
      <c r="S11" s="60">
        <f ca="1">AVERAGE(OFFSET($R$3,0,0,'Données projet'!$E$9+1,1))-AVERAGE(OFFSET($H$3,0,0,'Données projet'!$E$9+1,1))</f>
        <v>469.15492079216403</v>
      </c>
      <c r="T11" s="60">
        <f t="shared" si="34"/>
        <v>250.47702091764884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3.7567999922587045</v>
      </c>
      <c r="AK11" s="14">
        <f t="shared" si="35"/>
        <v>1.4840936789913857</v>
      </c>
      <c r="AL11" s="22">
        <f t="shared" si="4"/>
        <v>9.127889810760573</v>
      </c>
      <c r="AM11" s="60">
        <f t="shared" si="5"/>
        <v>195.88116267698112</v>
      </c>
      <c r="AN11" s="60">
        <f ca="1">AVERAGE(OFFSET($AM$3,0,0,'Données projet'!$E$10+1,1))-AVERAGE(OFFSET($H$3,0,0,'Données projet'!$E$10+1,1))</f>
        <v>442.49274132121275</v>
      </c>
      <c r="AO11" s="60">
        <f t="shared" si="36"/>
        <v>237.37463556402756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3.7998626275178737</v>
      </c>
      <c r="BF11" s="14">
        <f t="shared" si="37"/>
        <v>1.4991150978629391</v>
      </c>
      <c r="BG11" s="22">
        <f t="shared" si="7"/>
        <v>9.2290528717049156</v>
      </c>
      <c r="BH11" s="60">
        <f t="shared" si="8"/>
        <v>195.98232573792546</v>
      </c>
      <c r="BI11" s="60">
        <f ca="1">AVERAGE(OFFSET($BH$3,0,0,'Données projet'!$E$11+1,1))-AVERAGE(OFFSET($H$3,0,0,'Données projet'!$E$11+1,1))</f>
        <v>267.90768140488603</v>
      </c>
      <c r="BJ11" s="60">
        <f t="shared" si="38"/>
        <v>280.25465074992258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</v>
      </c>
      <c r="BY11" s="13">
        <f>IF('Données projet'!$A$114&gt;35,BY10+BX11-CG10,IF(A11&lt;'Données projet'!$A$114,$BV$205^A11,IF(A11='Données projet'!$A$114,'Données projet'!$B$114,BY10+BX11-CG10)))</f>
        <v>7.3406235873163457</v>
      </c>
      <c r="BZ11" s="14">
        <f>BY11*VLOOKUP('Données projet'!$B$12,Paramètres!$A$1:$I$89,3,0)*VLOOKUP('Données projet'!$B$12,Paramètres!$A$1:$I$89,5,0)</f>
        <v>5.95471385403102</v>
      </c>
      <c r="CA11" s="14">
        <f t="shared" si="39"/>
        <v>2.2295599442474598</v>
      </c>
      <c r="CB11" s="22">
        <f t="shared" si="10"/>
        <v>14.254276865335017</v>
      </c>
      <c r="CC11" s="60">
        <f t="shared" si="11"/>
        <v>201.00754973155557</v>
      </c>
      <c r="CD11" s="60">
        <f ca="1">AVERAGE(OFFSET($CC$3,0,0,'Données projet'!$E$12+1,1))-AVERAGE(OFFSET($H$3,0,0,'Données projet'!$E$12+1,1))</f>
        <v>308.6594206517259</v>
      </c>
      <c r="CE11" s="60">
        <f t="shared" si="40"/>
        <v>258.90832875500325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2.4358974358974361</v>
      </c>
      <c r="CT11" s="13">
        <f>IF('Données projet'!$A$140&gt;35,CT10+CS11-DB10,IF(A11&lt;'Données projet'!$A$140,$CQ$205^A11,IF(A11='Données projet'!$A$140,'Données projet'!$B$140,CT10+CS11-DB10)))</f>
        <v>6.815014809173471</v>
      </c>
      <c r="CU11" s="18">
        <f>CT11*VLOOKUP('Données projet'!$B$13,Paramètres!$A$1:$I$89,3,0)*VLOOKUP('Données projet'!$B$13,Paramètres!$A$1:$I$89,5,0)</f>
        <v>6.4851680924094746</v>
      </c>
      <c r="CV11" s="14">
        <f t="shared" si="41"/>
        <v>2.4041727487208409</v>
      </c>
      <c r="CW11" s="22">
        <f t="shared" si="13"/>
        <v>15.4822686316353</v>
      </c>
      <c r="CX11" s="60">
        <f t="shared" si="14"/>
        <v>202.23554149785585</v>
      </c>
      <c r="CY11" s="60">
        <f ca="1">AVERAGE(OFFSET($CX$3,0,0,'Données projet'!$E$13+1,1))-AVERAGE(OFFSET($H$3,0,0,'Données projet'!$E$13+1,1))</f>
        <v>397.63792993520934</v>
      </c>
      <c r="CZ11" s="60">
        <f t="shared" si="42"/>
        <v>300.63705521148802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3.3333333333333335</v>
      </c>
      <c r="DO11" s="13">
        <f>IF('Données projet'!$A$166&gt;35,DO10+DN11-DW10,IF(A11&lt;'Données projet'!$A$166,$DL$205^A11,IF(A11='Données projet'!$A$166,'Données projet'!$B$166,DO10+DN11-DW10)))</f>
        <v>8.0559606396516319</v>
      </c>
      <c r="DP11" s="18">
        <f>DO11*VLOOKUP('Données projet'!$B$14,Paramètres!$A$1:$I$89,3,0)*VLOOKUP('Données projet'!$B$14,Paramètres!$A$1:$I$89,5,0)</f>
        <v>5.4039383970783144</v>
      </c>
      <c r="DQ11" s="14">
        <f t="shared" si="43"/>
        <v>2.0463266728603036</v>
      </c>
      <c r="DR11" s="22">
        <f t="shared" si="16"/>
        <v>12.975878330143091</v>
      </c>
      <c r="DS11" s="60">
        <f t="shared" si="17"/>
        <v>199.72915119636366</v>
      </c>
      <c r="DT11" s="60">
        <f ca="1">AVERAGE(OFFSET($DS$3,0,0,'Données projet'!$E$14+1,1))-AVERAGE(OFFSET($H$3,0,0,'Données projet'!$E$14+1,1))</f>
        <v>343.94240546037798</v>
      </c>
      <c r="DU11" s="60">
        <f t="shared" si="44"/>
        <v>277.30931495079346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3.56</v>
      </c>
      <c r="EJ11" s="13">
        <f>IF('Données projet'!$A$192&gt;35,EJ10+EI11-ER10,IF(A11&lt;'Données projet'!$A$192,$EG$205^A11,IF(A11='Données projet'!$A$192,'Données projet'!$B$192,EJ10+EI11-ER10)))</f>
        <v>4.2053757120435398</v>
      </c>
      <c r="EK11" s="18">
        <f>EJ11*VLOOKUP('Données projet'!$B$15,Paramètres!$A$1:$I$89,3,0)*VLOOKUP('Données projet'!$B$15,Paramètres!$A$1:$I$89,5,0)</f>
        <v>3.2801930553939611</v>
      </c>
      <c r="EL11" s="14">
        <f t="shared" si="45"/>
        <v>1.3164391182645805</v>
      </c>
      <c r="EM11" s="22">
        <f t="shared" si="19"/>
        <v>8.0058010357886271</v>
      </c>
      <c r="EN11" s="60">
        <f t="shared" si="20"/>
        <v>194.75907390200919</v>
      </c>
      <c r="EO11" s="60">
        <f ca="1">AVERAGE(OFFSET($EN$3,0,0,'Données projet'!$E$15+1,1))-AVERAGE(OFFSET($H$3,0,0,'Données projet'!$E$15+1,1))</f>
        <v>308.76306523144956</v>
      </c>
      <c r="EP11" s="60">
        <f t="shared" si="46"/>
        <v>283.28099819802776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0.6</v>
      </c>
      <c r="FE11" s="13">
        <f>IF('Données projet'!$A$218&gt;35,FE10+FD11-FM10,IF(A11&lt;'Données projet'!$A$218,$FB$205^A11,IF(A11='Données projet'!$A$218,'Données projet'!$B$218,FE10+FD11-FM10)))</f>
        <v>3.227968874176038</v>
      </c>
      <c r="FF11" s="18">
        <f>FE11*VLOOKUP('Données projet'!$B$16,Paramètres!$A$1:$I$89,3,0)*VLOOKUP('Données projet'!$B$16,Paramètres!$A$1:$I$89,5,0)</f>
        <v>2.8199536084801871</v>
      </c>
      <c r="FG11" s="14">
        <f t="shared" si="47"/>
        <v>1.1518233118873293</v>
      </c>
      <c r="FH11" s="22">
        <f t="shared" si="22"/>
        <v>6.9175114696400923</v>
      </c>
      <c r="FI11" s="60">
        <f t="shared" si="23"/>
        <v>193.67078433586065</v>
      </c>
      <c r="FJ11" s="60">
        <f ca="1">AVERAGE(OFFSET($FI$3,0,0,'Données projet'!$E$16+1,1))-AVERAGE(OFFSET($H$3,0,0,'Données projet'!$E$16+1,1))</f>
        <v>296.01124173332352</v>
      </c>
      <c r="FK11" s="60">
        <f t="shared" si="48"/>
        <v>315.50730924873733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1.4666666666666666</v>
      </c>
      <c r="FZ11" s="13">
        <f>IF('Données projet'!$A$244&gt;35,FZ10+FY11-GH10,IF(A11&lt;'Données projet'!$A$244,$FW$205^A11,IF(A11='Données projet'!$A$244,'Données projet'!$B$244,FZ10+FY11-GH10)))</f>
        <v>5.1994662449882467</v>
      </c>
      <c r="GA11" s="18">
        <f>FZ11*VLOOKUP('Données projet'!$B$17,Paramètres!$A$1:$I$89,3,0)*VLOOKUP('Données projet'!$B$17,Paramètres!$A$1:$I$89,5,0)</f>
        <v>5.0289237521526324</v>
      </c>
      <c r="GB11" s="14">
        <f t="shared" si="49"/>
        <v>1.9203280245622605</v>
      </c>
      <c r="GC11" s="22">
        <f t="shared" si="25"/>
        <v>12.103280177778437</v>
      </c>
      <c r="GD11" s="60">
        <f t="shared" si="26"/>
        <v>198.85655304399899</v>
      </c>
      <c r="GE11" s="60">
        <f ca="1">AVERAGE(OFFSET($GD$3,0,0,'Données projet'!$E$17+1,1))-AVERAGE(OFFSET($H$3,0,0,'Données projet'!$E$17+1,1))</f>
        <v>391.18744390931187</v>
      </c>
      <c r="GF11" s="60">
        <f t="shared" si="50"/>
        <v>261.46982358454386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201.07744525705709</v>
      </c>
      <c r="S12" s="60">
        <f ca="1">AVERAGE(OFFSET($R$3,0,0,'Données projet'!$E$9+1,1))-AVERAGE(OFFSET($H$3,0,0,'Données projet'!$E$9+1,1))</f>
        <v>469.15492079216403</v>
      </c>
      <c r="T12" s="60">
        <f t="shared" si="34"/>
        <v>250.47702091764884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4.5287728559252471</v>
      </c>
      <c r="AK12" s="14">
        <f t="shared" si="35"/>
        <v>1.7505578568733651</v>
      </c>
      <c r="AL12" s="22">
        <f t="shared" si="4"/>
        <v>10.93650099145758</v>
      </c>
      <c r="AM12" s="60">
        <f t="shared" si="5"/>
        <v>200.29445974401366</v>
      </c>
      <c r="AN12" s="60">
        <f ca="1">AVERAGE(OFFSET($AM$3,0,0,'Données projet'!$E$10+1,1))-AVERAGE(OFFSET($H$3,0,0,'Données projet'!$E$10+1,1))</f>
        <v>442.49274132121275</v>
      </c>
      <c r="AO12" s="60">
        <f t="shared" si="36"/>
        <v>237.37463556402756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4.7336064413877299</v>
      </c>
      <c r="BF12" s="14">
        <f t="shared" si="37"/>
        <v>1.8203372077743676</v>
      </c>
      <c r="BG12" s="22">
        <f t="shared" si="7"/>
        <v>11.414785188957319</v>
      </c>
      <c r="BH12" s="60">
        <f t="shared" si="8"/>
        <v>200.7727439415134</v>
      </c>
      <c r="BI12" s="60">
        <f ca="1">AVERAGE(OFFSET($BH$3,0,0,'Données projet'!$E$11+1,1))-AVERAGE(OFFSET($H$3,0,0,'Données projet'!$E$11+1,1))</f>
        <v>267.90768140488603</v>
      </c>
      <c r="BJ12" s="60">
        <f t="shared" si="38"/>
        <v>280.25465074992258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</v>
      </c>
      <c r="BY12" s="13">
        <f>IF('Données projet'!$A$114&gt;35,BY11+BX12-CG11,IF(A12&lt;'Données projet'!$A$114,$BV$205^A12,IF(A12='Données projet'!$A$114,'Données projet'!$B$114,BY11+BX12-CG11)))</f>
        <v>9.4178024044149247</v>
      </c>
      <c r="BZ12" s="14">
        <f>BY12*VLOOKUP('Données projet'!$B$12,Paramètres!$A$1:$I$89,3,0)*VLOOKUP('Données projet'!$B$12,Paramètres!$A$1:$I$89,5,0)</f>
        <v>7.639721310461387</v>
      </c>
      <c r="CA12" s="14">
        <f t="shared" si="39"/>
        <v>2.7786852658795538</v>
      </c>
      <c r="CB12" s="22">
        <f t="shared" si="10"/>
        <v>18.145391453793806</v>
      </c>
      <c r="CC12" s="60">
        <f t="shared" si="11"/>
        <v>207.50335020634986</v>
      </c>
      <c r="CD12" s="60">
        <f ca="1">AVERAGE(OFFSET($CC$3,0,0,'Données projet'!$E$12+1,1))-AVERAGE(OFFSET($H$3,0,0,'Données projet'!$E$12+1,1))</f>
        <v>308.6594206517259</v>
      </c>
      <c r="CE12" s="60">
        <f t="shared" si="40"/>
        <v>258.90832875500325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2.4358974358974361</v>
      </c>
      <c r="CT12" s="13">
        <f>IF('Données projet'!$A$140&gt;35,CT11+CS12-DB11,IF(A12&lt;'Données projet'!$A$140,$CQ$205^A12,IF(A12='Données projet'!$A$140,'Données projet'!$B$140,CT11+CS12-DB11)))</f>
        <v>8.6626377645391397</v>
      </c>
      <c r="CU12" s="18">
        <f>CT12*VLOOKUP('Données projet'!$B$13,Paramètres!$A$1:$I$89,3,0)*VLOOKUP('Données projet'!$B$13,Paramètres!$A$1:$I$89,5,0)</f>
        <v>8.2433660967354445</v>
      </c>
      <c r="CV12" s="14">
        <f t="shared" si="41"/>
        <v>2.9718171087795939</v>
      </c>
      <c r="CW12" s="22">
        <f t="shared" si="13"/>
        <v>19.53311074960536</v>
      </c>
      <c r="CX12" s="60">
        <f t="shared" si="14"/>
        <v>208.89106950216143</v>
      </c>
      <c r="CY12" s="60">
        <f ca="1">AVERAGE(OFFSET($CX$3,0,0,'Données projet'!$E$13+1,1))-AVERAGE(OFFSET($H$3,0,0,'Données projet'!$E$13+1,1))</f>
        <v>397.63792993520934</v>
      </c>
      <c r="CZ12" s="60">
        <f t="shared" si="42"/>
        <v>300.63705521148802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3.3333333333333335</v>
      </c>
      <c r="DO12" s="13">
        <f>IF('Données projet'!$A$166&gt;35,DO11+DN12-DW11,IF(A12&lt;'Données projet'!$A$166,$DL$205^A12,IF(A12='Données projet'!$A$166,'Données projet'!$B$166,DO11+DN12-DW11)))</f>
        <v>10.456395525912733</v>
      </c>
      <c r="DP12" s="18">
        <f>DO12*VLOOKUP('Données projet'!$B$14,Paramètres!$A$1:$I$89,3,0)*VLOOKUP('Données projet'!$B$14,Paramètres!$A$1:$I$89,5,0)</f>
        <v>7.0141501187822621</v>
      </c>
      <c r="DQ12" s="14">
        <f t="shared" si="43"/>
        <v>2.5766511556462244</v>
      </c>
      <c r="DR12" s="22">
        <f t="shared" si="16"/>
        <v>16.70397888629628</v>
      </c>
      <c r="DS12" s="60">
        <f t="shared" si="17"/>
        <v>206.06193763885236</v>
      </c>
      <c r="DT12" s="60">
        <f ca="1">AVERAGE(OFFSET($DS$3,0,0,'Données projet'!$E$14+1,1))-AVERAGE(OFFSET($H$3,0,0,'Données projet'!$E$14+1,1))</f>
        <v>343.94240546037798</v>
      </c>
      <c r="DU12" s="60">
        <f t="shared" si="44"/>
        <v>277.30931495079346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3.56</v>
      </c>
      <c r="EJ12" s="13">
        <f>IF('Données projet'!$A$192&gt;35,EJ11+EI12-ER11,IF(A12&lt;'Données projet'!$A$192,$EG$205^A12,IF(A12='Données projet'!$A$192,'Données projet'!$B$192,EJ11+EI12-ER11)))</f>
        <v>5.0324608199849017</v>
      </c>
      <c r="EK12" s="18">
        <f>EJ12*VLOOKUP('Données projet'!$B$15,Paramètres!$A$1:$I$89,3,0)*VLOOKUP('Données projet'!$B$15,Paramètres!$A$1:$I$89,5,0)</f>
        <v>3.9253194395882236</v>
      </c>
      <c r="EL12" s="14">
        <f t="shared" si="45"/>
        <v>1.5427658585813051</v>
      </c>
      <c r="EM12" s="22">
        <f t="shared" si="19"/>
        <v>9.5235818943119295</v>
      </c>
      <c r="EN12" s="60">
        <f t="shared" si="20"/>
        <v>198.88154064686799</v>
      </c>
      <c r="EO12" s="60">
        <f ca="1">AVERAGE(OFFSET($EN$3,0,0,'Données projet'!$E$15+1,1))-AVERAGE(OFFSET($H$3,0,0,'Données projet'!$E$15+1,1))</f>
        <v>308.76306523144956</v>
      </c>
      <c r="EP12" s="60">
        <f t="shared" si="46"/>
        <v>283.28099819802776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0.6</v>
      </c>
      <c r="FE12" s="13">
        <f>IF('Données projet'!$A$218&gt;35,FE11+FD12-FM11,IF(A12&lt;'Données projet'!$A$218,$FB$205^A12,IF(A12='Données projet'!$A$218,'Données projet'!$B$218,FE11+FD12-FM11)))</f>
        <v>3.7371928188465526</v>
      </c>
      <c r="FF12" s="18">
        <f>FE12*VLOOKUP('Données projet'!$B$16,Paramètres!$A$1:$I$89,3,0)*VLOOKUP('Données projet'!$B$16,Paramètres!$A$1:$I$89,5,0)</f>
        <v>3.2648116465443486</v>
      </c>
      <c r="FG12" s="14">
        <f t="shared" si="47"/>
        <v>1.310983149038857</v>
      </c>
      <c r="FH12" s="22">
        <f t="shared" si="22"/>
        <v>7.9695092689740825</v>
      </c>
      <c r="FI12" s="60">
        <f t="shared" si="23"/>
        <v>197.32746802153017</v>
      </c>
      <c r="FJ12" s="60">
        <f ca="1">AVERAGE(OFFSET($FI$3,0,0,'Données projet'!$E$16+1,1))-AVERAGE(OFFSET($H$3,0,0,'Données projet'!$E$16+1,1))</f>
        <v>296.01124173332352</v>
      </c>
      <c r="FK12" s="60">
        <f t="shared" si="48"/>
        <v>315.50730924873733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1.4666666666666666</v>
      </c>
      <c r="FZ12" s="13">
        <f>IF('Données projet'!$A$244&gt;35,FZ11+FY12-GH11,IF(A12&lt;'Données projet'!$A$244,$FW$205^A12,IF(A12='Données projet'!$A$244,'Données projet'!$B$244,FZ11+FY12-GH11)))</f>
        <v>6.3893048289839687</v>
      </c>
      <c r="GA12" s="18">
        <f>FZ12*VLOOKUP('Données projet'!$B$17,Paramètres!$A$1:$I$89,3,0)*VLOOKUP('Données projet'!$B$17,Paramètres!$A$1:$I$89,5,0)</f>
        <v>6.1797356305932949</v>
      </c>
      <c r="GB12" s="14">
        <f t="shared" si="49"/>
        <v>2.3038439834533895</v>
      </c>
      <c r="GC12" s="22">
        <f t="shared" si="25"/>
        <v>14.775567827797973</v>
      </c>
      <c r="GD12" s="60">
        <f t="shared" si="26"/>
        <v>204.13352658035404</v>
      </c>
      <c r="GE12" s="60">
        <f ca="1">AVERAGE(OFFSET($GD$3,0,0,'Données projet'!$E$17+1,1))-AVERAGE(OFFSET($H$3,0,0,'Données projet'!$E$17+1,1))</f>
        <v>391.18744390931187</v>
      </c>
      <c r="GF12" s="60">
        <f t="shared" si="50"/>
        <v>261.46982358454386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205.9821052852981</v>
      </c>
      <c r="S13" s="60">
        <f ca="1">AVERAGE(OFFSET($R$3,0,0,'Données projet'!$E$9+1,1))-AVERAGE(OFFSET($H$3,0,0,'Données projet'!$E$9+1,1))</f>
        <v>469.15492079216403</v>
      </c>
      <c r="T13" s="60">
        <f t="shared" si="34"/>
        <v>250.47702091764884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5.4593759643387862</v>
      </c>
      <c r="AK13" s="14">
        <f t="shared" si="35"/>
        <v>2.0648648084962673</v>
      </c>
      <c r="AL13" s="22">
        <f t="shared" si="4"/>
        <v>13.104719346021051</v>
      </c>
      <c r="AM13" s="60">
        <f t="shared" si="5"/>
        <v>205.04338133106594</v>
      </c>
      <c r="AN13" s="60">
        <f ca="1">AVERAGE(OFFSET($AM$3,0,0,'Données projet'!$E$10+1,1))-AVERAGE(OFFSET($H$3,0,0,'Données projet'!$E$10+1,1))</f>
        <v>442.49274132121275</v>
      </c>
      <c r="AO13" s="60">
        <f t="shared" si="36"/>
        <v>237.37463556402756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9</v>
      </c>
      <c r="BB13" s="13">
        <f>VLOOKUP(A13,'Données projet'!$A$87:$I$107,9,0)</f>
        <v>0.9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9</v>
      </c>
      <c r="BE13" s="14">
        <f>BD13*VLOOKUP('Données projet'!$B$11,Paramètres!$A$1:$I$89,3,0)*VLOOKUP('Données projet'!$B$11,Paramètres!$A$1:$I$89,5,0)</f>
        <v>5.8967999999999998</v>
      </c>
      <c r="BF13" s="14">
        <f t="shared" si="37"/>
        <v>2.210389018649412</v>
      </c>
      <c r="BG13" s="22">
        <f t="shared" si="7"/>
        <v>14.120020874147725</v>
      </c>
      <c r="BH13" s="60">
        <f t="shared" si="8"/>
        <v>206.0586828591926</v>
      </c>
      <c r="BI13" s="60">
        <f ca="1">AVERAGE(OFFSET($BH$3,0,0,'Données projet'!$E$11+1,1))-AVERAGE(OFFSET($H$3,0,0,'Données projet'!$E$11+1,1))</f>
        <v>267.90768140488603</v>
      </c>
      <c r="BJ13" s="60">
        <f t="shared" si="38"/>
        <v>280.25465074992258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</v>
      </c>
      <c r="BY13" s="13">
        <f>IF('Données projet'!$A$114&gt;35,BY12+BX13-CG12,IF(A13&lt;'Données projet'!$A$114,$BV$205^A13,IF(A13='Données projet'!$A$114,'Données projet'!$B$114,BY12+BX13-CG12)))</f>
        <v>12.08276123596054</v>
      </c>
      <c r="BZ13" s="14">
        <f>BY13*VLOOKUP('Données projet'!$B$12,Paramètres!$A$1:$I$89,3,0)*VLOOKUP('Données projet'!$B$12,Paramètres!$A$1:$I$89,5,0)</f>
        <v>9.8015359146111898</v>
      </c>
      <c r="CA13" s="14">
        <f t="shared" si="39"/>
        <v>3.4630563877582672</v>
      </c>
      <c r="CB13" s="22">
        <f t="shared" si="10"/>
        <v>23.102498259960139</v>
      </c>
      <c r="CC13" s="60">
        <f t="shared" si="11"/>
        <v>215.04116024500502</v>
      </c>
      <c r="CD13" s="60">
        <f ca="1">AVERAGE(OFFSET($CC$3,0,0,'Données projet'!$E$12+1,1))-AVERAGE(OFFSET($H$3,0,0,'Données projet'!$E$12+1,1))</f>
        <v>308.6594206517259</v>
      </c>
      <c r="CE13" s="60">
        <f t="shared" si="40"/>
        <v>258.90832875500325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2.4358974358974361</v>
      </c>
      <c r="CT13" s="13">
        <f>IF('Données projet'!$A$140&gt;35,CT12+CS13-DB12,IF(A13&lt;'Données projet'!$A$140,$CQ$205^A13,IF(A13='Données projet'!$A$140,'Données projet'!$B$140,CT12+CS13-DB12)))</f>
        <v>11.011170942520771</v>
      </c>
      <c r="CU13" s="18">
        <f>CT13*VLOOKUP('Données projet'!$B$13,Paramètres!$A$1:$I$89,3,0)*VLOOKUP('Données projet'!$B$13,Paramètres!$A$1:$I$89,5,0)</f>
        <v>10.478230268902767</v>
      </c>
      <c r="CV13" s="14">
        <f t="shared" si="41"/>
        <v>3.67348682940279</v>
      </c>
      <c r="CW13" s="22">
        <f t="shared" si="13"/>
        <v>24.647573946215513</v>
      </c>
      <c r="CX13" s="60">
        <f t="shared" si="14"/>
        <v>216.5862359312604</v>
      </c>
      <c r="CY13" s="60">
        <f ca="1">AVERAGE(OFFSET($CX$3,0,0,'Données projet'!$E$13+1,1))-AVERAGE(OFFSET($H$3,0,0,'Données projet'!$E$13+1,1))</f>
        <v>397.63792993520934</v>
      </c>
      <c r="CZ13" s="60">
        <f t="shared" si="42"/>
        <v>300.63705521148802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3.3333333333333335</v>
      </c>
      <c r="DO13" s="13">
        <f>IF('Données projet'!$A$166&gt;35,DO12+DN13-DW12,IF(A13&lt;'Données projet'!$A$166,$DL$205^A13,IF(A13='Données projet'!$A$166,'Données projet'!$B$166,DO12+DN13-DW12)))</f>
        <v>13.572088082974533</v>
      </c>
      <c r="DP13" s="18">
        <f>DO13*VLOOKUP('Données projet'!$B$14,Paramètres!$A$1:$I$89,3,0)*VLOOKUP('Données projet'!$B$14,Paramètres!$A$1:$I$89,5,0)</f>
        <v>9.1041566860593175</v>
      </c>
      <c r="DQ13" s="14">
        <f t="shared" si="43"/>
        <v>3.2444141328681457</v>
      </c>
      <c r="DR13" s="22">
        <f t="shared" si="16"/>
        <v>21.507094176298665</v>
      </c>
      <c r="DS13" s="60">
        <f t="shared" si="17"/>
        <v>213.44575616134355</v>
      </c>
      <c r="DT13" s="60">
        <f ca="1">AVERAGE(OFFSET($DS$3,0,0,'Données projet'!$E$14+1,1))-AVERAGE(OFFSET($H$3,0,0,'Données projet'!$E$14+1,1))</f>
        <v>343.94240546037798</v>
      </c>
      <c r="DU13" s="60">
        <f t="shared" si="44"/>
        <v>277.30931495079346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3.56</v>
      </c>
      <c r="EJ13" s="13">
        <f>IF('Données projet'!$A$192&gt;35,EJ12+EI13-ER12,IF(A13&lt;'Données projet'!$A$192,$EG$205^A13,IF(A13='Données projet'!$A$192,'Données projet'!$B$192,EJ12+EI13-ER12)))</f>
        <v>6.0222114833056102</v>
      </c>
      <c r="EK13" s="18">
        <f>EJ13*VLOOKUP('Données projet'!$B$15,Paramètres!$A$1:$I$89,3,0)*VLOOKUP('Données projet'!$B$15,Paramètres!$A$1:$I$89,5,0)</f>
        <v>4.6973249569783757</v>
      </c>
      <c r="EL13" s="14">
        <f t="shared" si="45"/>
        <v>1.8080034704086858</v>
      </c>
      <c r="EM13" s="22">
        <f t="shared" si="19"/>
        <v>11.330113677699131</v>
      </c>
      <c r="EN13" s="60">
        <f t="shared" si="20"/>
        <v>203.26877566274402</v>
      </c>
      <c r="EO13" s="60">
        <f ca="1">AVERAGE(OFFSET($EN$3,0,0,'Données projet'!$E$15+1,1))-AVERAGE(OFFSET($H$3,0,0,'Données projet'!$E$15+1,1))</f>
        <v>308.76306523144956</v>
      </c>
      <c r="EP13" s="60">
        <f t="shared" si="46"/>
        <v>283.28099819802776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0.6</v>
      </c>
      <c r="FE13" s="13">
        <f>IF('Données projet'!$A$218&gt;35,FE12+FD13-FM12,IF(A13&lt;'Données projet'!$A$218,$FB$205^A13,IF(A13='Données projet'!$A$218,'Données projet'!$B$218,FE12+FD13-FM12)))</f>
        <v>4.3267487109222253</v>
      </c>
      <c r="FF13" s="18">
        <f>FE13*VLOOKUP('Données projet'!$B$16,Paramètres!$A$1:$I$89,3,0)*VLOOKUP('Données projet'!$B$16,Paramètres!$A$1:$I$89,5,0)</f>
        <v>3.7798476738616569</v>
      </c>
      <c r="FG13" s="14">
        <f t="shared" si="47"/>
        <v>1.4921358157334794</v>
      </c>
      <c r="FH13" s="22">
        <f t="shared" si="22"/>
        <v>9.182037911044862</v>
      </c>
      <c r="FI13" s="60">
        <f t="shared" si="23"/>
        <v>201.12069989608975</v>
      </c>
      <c r="FJ13" s="60">
        <f ca="1">AVERAGE(OFFSET($FI$3,0,0,'Données projet'!$E$16+1,1))-AVERAGE(OFFSET($H$3,0,0,'Données projet'!$E$16+1,1))</f>
        <v>296.01124173332352</v>
      </c>
      <c r="FK13" s="60">
        <f t="shared" si="48"/>
        <v>315.50730924873733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1.4666666666666666</v>
      </c>
      <c r="FZ13" s="13">
        <f>IF('Données projet'!$A$244&gt;35,FZ12+FY13-GH12,IF(A13&lt;'Données projet'!$A$244,$FW$205^A13,IF(A13='Données projet'!$A$244,'Données projet'!$B$244,FZ12+FY13-GH12)))</f>
        <v>7.8514244105396909</v>
      </c>
      <c r="GA13" s="18">
        <f>FZ13*VLOOKUP('Données projet'!$B$17,Paramètres!$A$1:$I$89,3,0)*VLOOKUP('Données projet'!$B$17,Paramètres!$A$1:$I$89,5,0)</f>
        <v>7.5938976898739892</v>
      </c>
      <c r="GB13" s="14">
        <f t="shared" si="49"/>
        <v>2.7639533622409505</v>
      </c>
      <c r="GC13" s="22">
        <f t="shared" si="25"/>
        <v>18.039923915766853</v>
      </c>
      <c r="GD13" s="60">
        <f t="shared" si="26"/>
        <v>209.97858590081174</v>
      </c>
      <c r="GE13" s="60">
        <f ca="1">AVERAGE(OFFSET($GD$3,0,0,'Données projet'!$E$17+1,1))-AVERAGE(OFFSET($H$3,0,0,'Données projet'!$E$17+1,1))</f>
        <v>391.18744390931187</v>
      </c>
      <c r="GF13" s="60">
        <f t="shared" si="50"/>
        <v>261.46982358454386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211.32561560077292</v>
      </c>
      <c r="S14" s="60">
        <f ca="1">AVERAGE(OFFSET($R$3,0,0,'Données projet'!$E$9+1,1))-AVERAGE(OFFSET($H$3,0,0,'Données projet'!$E$9+1,1))</f>
        <v>469.15492079216403</v>
      </c>
      <c r="T14" s="60">
        <f t="shared" si="34"/>
        <v>250.47702091764884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6.5812057411986977</v>
      </c>
      <c r="AK14" s="14">
        <f t="shared" si="35"/>
        <v>2.4356045477877388</v>
      </c>
      <c r="AL14" s="22">
        <f t="shared" si="4"/>
        <v>15.70427791998471</v>
      </c>
      <c r="AM14" s="60">
        <f t="shared" si="5"/>
        <v>210.20007652909885</v>
      </c>
      <c r="AN14" s="60">
        <f ca="1">AVERAGE(OFFSET($AM$3,0,0,'Données projet'!$E$10+1,1))-AVERAGE(OFFSET($H$3,0,0,'Données projet'!$E$10+1,1))</f>
        <v>442.49274132121275</v>
      </c>
      <c r="AO14" s="60">
        <f t="shared" si="36"/>
        <v>237.37463556402756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5.4</v>
      </c>
      <c r="BD14" s="13">
        <f>IF('Données projet'!$A$88&gt;35,BD13+BC14-BL13,IF(A14&lt;'Données projet'!$A$88,$BA$205^A14,IF(A14='Données projet'!$A$88,'Données projet'!$B$88,BD13+BC14-BL13)))</f>
        <v>14.4</v>
      </c>
      <c r="BE14" s="14">
        <f>BD14*VLOOKUP('Données projet'!$B$11,Paramètres!$A$1:$I$89,3,0)*VLOOKUP('Données projet'!$B$11,Paramètres!$A$1:$I$89,5,0)</f>
        <v>9.4348799999999997</v>
      </c>
      <c r="BF14" s="14">
        <f t="shared" si="37"/>
        <v>3.3483367612909434</v>
      </c>
      <c r="BG14" s="22">
        <f t="shared" si="7"/>
        <v>22.26410252591506</v>
      </c>
      <c r="BH14" s="60">
        <f t="shared" si="8"/>
        <v>216.7599011350292</v>
      </c>
      <c r="BI14" s="60">
        <f ca="1">AVERAGE(OFFSET($BH$3,0,0,'Données projet'!$E$11+1,1))-AVERAGE(OFFSET($H$3,0,0,'Données projet'!$E$11+1,1))</f>
        <v>267.90768140488603</v>
      </c>
      <c r="BJ14" s="60">
        <f t="shared" si="38"/>
        <v>280.25465074992258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</v>
      </c>
      <c r="BY14" s="13">
        <f>IF('Données projet'!$A$114&gt;35,BY13+BX14-CG13,IF(A14&lt;'Données projet'!$A$114,$BV$205^A14,IF(A14='Données projet'!$A$114,'Données projet'!$B$114,BY13+BX14-CG13)))</f>
        <v>15.501824397673841</v>
      </c>
      <c r="BZ14" s="14">
        <f>BY14*VLOOKUP('Données projet'!$B$12,Paramètres!$A$1:$I$89,3,0)*VLOOKUP('Données projet'!$B$12,Paramètres!$A$1:$I$89,5,0)</f>
        <v>12.575079951393022</v>
      </c>
      <c r="CA14" s="14">
        <f t="shared" si="39"/>
        <v>4.3159834228282739</v>
      </c>
      <c r="CB14" s="22">
        <f t="shared" si="10"/>
        <v>29.418602043435424</v>
      </c>
      <c r="CC14" s="60">
        <f t="shared" si="11"/>
        <v>223.91440065254955</v>
      </c>
      <c r="CD14" s="60">
        <f ca="1">AVERAGE(OFFSET($CC$3,0,0,'Données projet'!$E$12+1,1))-AVERAGE(OFFSET($H$3,0,0,'Données projet'!$E$12+1,1))</f>
        <v>308.6594206517259</v>
      </c>
      <c r="CE14" s="60">
        <f t="shared" si="40"/>
        <v>258.90832875500325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2.4358974358974361</v>
      </c>
      <c r="CT14" s="13">
        <f>IF('Données projet'!$A$140&gt;35,CT13+CS14-DB13,IF(A14&lt;'Données projet'!$A$140,$CQ$205^A14,IF(A14='Données projet'!$A$140,'Données projet'!$B$140,CT13+CS14-DB13)))</f>
        <v>13.996416428924077</v>
      </c>
      <c r="CU14" s="18">
        <f>CT14*VLOOKUP('Données projet'!$B$13,Paramètres!$A$1:$I$89,3,0)*VLOOKUP('Données projet'!$B$13,Paramètres!$A$1:$I$89,5,0)</f>
        <v>13.318989873764153</v>
      </c>
      <c r="CV14" s="14">
        <f t="shared" si="41"/>
        <v>4.5408263671169857</v>
      </c>
      <c r="CW14" s="22">
        <f t="shared" si="13"/>
        <v>31.105846619534645</v>
      </c>
      <c r="CX14" s="60">
        <f t="shared" si="14"/>
        <v>225.60164522864878</v>
      </c>
      <c r="CY14" s="60">
        <f ca="1">AVERAGE(OFFSET($CX$3,0,0,'Données projet'!$E$13+1,1))-AVERAGE(OFFSET($H$3,0,0,'Données projet'!$E$13+1,1))</f>
        <v>397.63792993520934</v>
      </c>
      <c r="CZ14" s="60">
        <f t="shared" si="42"/>
        <v>300.63705521148802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3.3333333333333335</v>
      </c>
      <c r="DO14" s="13">
        <f>IF('Données projet'!$A$166&gt;35,DO13+DN14-DW13,IF(A14&lt;'Données projet'!$A$166,$DL$205^A14,IF(A14='Données projet'!$A$166,'Données projet'!$B$166,DO13+DN14-DW13)))</f>
        <v>17.616163665149852</v>
      </c>
      <c r="DP14" s="18">
        <f>DO14*VLOOKUP('Données projet'!$B$14,Paramètres!$A$1:$I$89,3,0)*VLOOKUP('Données projet'!$B$14,Paramètres!$A$1:$I$89,5,0)</f>
        <v>11.816922586582521</v>
      </c>
      <c r="DQ14" s="14">
        <f t="shared" si="43"/>
        <v>4.0852340614632361</v>
      </c>
      <c r="DR14" s="22">
        <f t="shared" si="16"/>
        <v>27.696256162013025</v>
      </c>
      <c r="DS14" s="60">
        <f t="shared" si="17"/>
        <v>222.19205477112715</v>
      </c>
      <c r="DT14" s="60">
        <f ca="1">AVERAGE(OFFSET($DS$3,0,0,'Données projet'!$E$14+1,1))-AVERAGE(OFFSET($H$3,0,0,'Données projet'!$E$14+1,1))</f>
        <v>343.94240546037798</v>
      </c>
      <c r="DU14" s="60">
        <f t="shared" si="44"/>
        <v>277.30931495079346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3.56</v>
      </c>
      <c r="EJ14" s="13">
        <f>IF('Données projet'!$A$192&gt;35,EJ13+EI14-ER13,IF(A14&lt;'Données projet'!$A$192,$EG$205^A14,IF(A14='Données projet'!$A$192,'Données projet'!$B$192,EJ13+EI14-ER13)))</f>
        <v>7.206619673149639</v>
      </c>
      <c r="EK14" s="18">
        <f>EJ14*VLOOKUP('Données projet'!$B$15,Paramètres!$A$1:$I$89,3,0)*VLOOKUP('Données projet'!$B$15,Paramètres!$A$1:$I$89,5,0)</f>
        <v>5.6211633450567184</v>
      </c>
      <c r="EL14" s="14">
        <f t="shared" si="45"/>
        <v>2.1188416445874947</v>
      </c>
      <c r="EM14" s="22">
        <f t="shared" si="19"/>
        <v>13.480508690297002</v>
      </c>
      <c r="EN14" s="60">
        <f t="shared" si="20"/>
        <v>207.97630729941113</v>
      </c>
      <c r="EO14" s="60">
        <f ca="1">AVERAGE(OFFSET($EN$3,0,0,'Données projet'!$E$15+1,1))-AVERAGE(OFFSET($H$3,0,0,'Données projet'!$E$15+1,1))</f>
        <v>308.76306523144956</v>
      </c>
      <c r="EP14" s="60">
        <f t="shared" si="46"/>
        <v>283.28099819802776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0.6</v>
      </c>
      <c r="FE14" s="13">
        <f>IF('Données projet'!$A$218&gt;35,FE13+FD14-FM13,IF(A14&lt;'Données projet'!$A$218,$FB$205^A14,IF(A14='Données projet'!$A$218,'Données projet'!$B$218,FE13+FD14-FM13)))</f>
        <v>5.0093092101266317</v>
      </c>
      <c r="FF14" s="18">
        <f>FE14*VLOOKUP('Données projet'!$B$16,Paramètres!$A$1:$I$89,3,0)*VLOOKUP('Données projet'!$B$16,Paramètres!$A$1:$I$89,5,0)</f>
        <v>4.3761325259666259</v>
      </c>
      <c r="FG14" s="14">
        <f t="shared" si="47"/>
        <v>1.69832029818762</v>
      </c>
      <c r="FH14" s="22">
        <f t="shared" si="22"/>
        <v>10.579672002068646</v>
      </c>
      <c r="FI14" s="60">
        <f t="shared" si="23"/>
        <v>205.07547061118277</v>
      </c>
      <c r="FJ14" s="60">
        <f ca="1">AVERAGE(OFFSET($FI$3,0,0,'Données projet'!$E$16+1,1))-AVERAGE(OFFSET($H$3,0,0,'Données projet'!$E$16+1,1))</f>
        <v>296.01124173332352</v>
      </c>
      <c r="FK14" s="60">
        <f t="shared" si="48"/>
        <v>315.50730924873733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1.4666666666666666</v>
      </c>
      <c r="FZ14" s="13">
        <f>IF('Données projet'!$A$244&gt;35,FZ13+FY14-GH13,IF(A14&lt;'Données projet'!$A$244,$FW$205^A14,IF(A14='Données projet'!$A$244,'Données projet'!$B$244,FZ13+FY14-GH13)))</f>
        <v>9.6481333923492478</v>
      </c>
      <c r="GA14" s="18">
        <f>FZ14*VLOOKUP('Données projet'!$B$17,Paramètres!$A$1:$I$89,3,0)*VLOOKUP('Données projet'!$B$17,Paramètres!$A$1:$I$89,5,0)</f>
        <v>9.3316746170801927</v>
      </c>
      <c r="GB14" s="14">
        <f t="shared" si="49"/>
        <v>3.3159529219473352</v>
      </c>
      <c r="GC14" s="22">
        <f t="shared" si="25"/>
        <v>22.027951297139609</v>
      </c>
      <c r="GD14" s="60">
        <f t="shared" si="26"/>
        <v>216.52374990625373</v>
      </c>
      <c r="GE14" s="60">
        <f ca="1">AVERAGE(OFFSET($GD$3,0,0,'Données projet'!$E$17+1,1))-AVERAGE(OFFSET($H$3,0,0,'Données projet'!$E$17+1,1))</f>
        <v>391.18744390931187</v>
      </c>
      <c r="GF14" s="60">
        <f t="shared" si="50"/>
        <v>261.46982358454386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217.20068985717762</v>
      </c>
      <c r="S15" s="60">
        <f ca="1">AVERAGE(OFFSET($R$3,0,0,'Données projet'!$E$9+1,1))-AVERAGE(OFFSET($H$3,0,0,'Données projet'!$E$9+1,1))</f>
        <v>469.15492079216403</v>
      </c>
      <c r="T15" s="60">
        <f t="shared" si="34"/>
        <v>250.47702091764884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7.9335567454791462</v>
      </c>
      <c r="AK15" s="14">
        <f t="shared" si="35"/>
        <v>2.8729093976493338</v>
      </c>
      <c r="AL15" s="22">
        <f t="shared" si="4"/>
        <v>18.82126186594877</v>
      </c>
      <c r="AM15" s="60">
        <f t="shared" si="5"/>
        <v>215.85103931868164</v>
      </c>
      <c r="AN15" s="60">
        <f ca="1">AVERAGE(OFFSET($AM$3,0,0,'Données projet'!$E$10+1,1))-AVERAGE(OFFSET($H$3,0,0,'Données projet'!$E$10+1,1))</f>
        <v>442.49274132121275</v>
      </c>
      <c r="AO15" s="60">
        <f t="shared" si="36"/>
        <v>237.37463556402756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5.4</v>
      </c>
      <c r="BD15" s="13">
        <f>IF('Données projet'!$A$88&gt;35,BD14+BC15-BL14,IF(A15&lt;'Données projet'!$A$88,$BA$205^A15,IF(A15='Données projet'!$A$88,'Données projet'!$B$88,BD14+BC15-BL14)))</f>
        <v>19.8</v>
      </c>
      <c r="BE15" s="14">
        <f>BD15*VLOOKUP('Données projet'!$B$11,Paramètres!$A$1:$I$89,3,0)*VLOOKUP('Données projet'!$B$11,Paramètres!$A$1:$I$89,5,0)</f>
        <v>12.972960000000002</v>
      </c>
      <c r="BF15" s="14">
        <f t="shared" si="37"/>
        <v>4.4364275654193523</v>
      </c>
      <c r="BG15" s="22">
        <f t="shared" si="7"/>
        <v>30.321350009772043</v>
      </c>
      <c r="BH15" s="60">
        <f t="shared" si="8"/>
        <v>227.35112746250491</v>
      </c>
      <c r="BI15" s="60">
        <f ca="1">AVERAGE(OFFSET($BH$3,0,0,'Données projet'!$E$11+1,1))-AVERAGE(OFFSET($H$3,0,0,'Données projet'!$E$11+1,1))</f>
        <v>267.90768140488603</v>
      </c>
      <c r="BJ15" s="60">
        <f t="shared" si="38"/>
        <v>280.25465074992258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</v>
      </c>
      <c r="BY15" s="13">
        <f>IF('Données projet'!$A$114&gt;35,BY14+BX15-CG14,IF(A15&lt;'Données projet'!$A$114,$BV$205^A15,IF(A15='Données projet'!$A$114,'Données projet'!$B$114,BY14+BX15-CG14)))</f>
        <v>19.888381054913101</v>
      </c>
      <c r="BZ15" s="14">
        <f>BY15*VLOOKUP('Données projet'!$B$12,Paramètres!$A$1:$I$89,3,0)*VLOOKUP('Données projet'!$B$12,Paramètres!$A$1:$I$89,5,0)</f>
        <v>16.133454711745507</v>
      </c>
      <c r="CA15" s="14">
        <f t="shared" si="39"/>
        <v>5.3789805363772061</v>
      </c>
      <c r="CB15" s="22">
        <f t="shared" si="10"/>
        <v>37.46749139048039</v>
      </c>
      <c r="CC15" s="60">
        <f t="shared" si="11"/>
        <v>234.49726884321325</v>
      </c>
      <c r="CD15" s="60">
        <f ca="1">AVERAGE(OFFSET($CC$3,0,0,'Données projet'!$E$12+1,1))-AVERAGE(OFFSET($H$3,0,0,'Données projet'!$E$12+1,1))</f>
        <v>308.6594206517259</v>
      </c>
      <c r="CE15" s="60">
        <f t="shared" si="40"/>
        <v>258.90832875500325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2.4358974358974361</v>
      </c>
      <c r="CT15" s="13">
        <f>IF('Données projet'!$A$140&gt;35,CT14+CS15-DB14,IF(A15&lt;'Données projet'!$A$140,$CQ$205^A15,IF(A15='Données projet'!$A$140,'Données projet'!$B$140,CT14+CS15-DB14)))</f>
        <v>17.790993698532919</v>
      </c>
      <c r="CU15" s="18">
        <f>CT15*VLOOKUP('Données projet'!$B$13,Paramètres!$A$1:$I$89,3,0)*VLOOKUP('Données projet'!$B$13,Paramètres!$A$1:$I$89,5,0)</f>
        <v>16.929909603523928</v>
      </c>
      <c r="CV15" s="14">
        <f t="shared" si="41"/>
        <v>5.6129516870098515</v>
      </c>
      <c r="CW15" s="22">
        <f t="shared" si="13"/>
        <v>39.262150081012997</v>
      </c>
      <c r="CX15" s="60">
        <f t="shared" si="14"/>
        <v>236.29192753374588</v>
      </c>
      <c r="CY15" s="60">
        <f ca="1">AVERAGE(OFFSET($CX$3,0,0,'Données projet'!$E$13+1,1))-AVERAGE(OFFSET($H$3,0,0,'Données projet'!$E$13+1,1))</f>
        <v>397.63792993520934</v>
      </c>
      <c r="CZ15" s="60">
        <f t="shared" si="42"/>
        <v>300.63705521148802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3.3333333333333335</v>
      </c>
      <c r="DO15" s="13">
        <f>IF('Données projet'!$A$166&gt;35,DO14+DN15-DW14,IF(A15&lt;'Données projet'!$A$166,$DL$205^A15,IF(A15='Données projet'!$A$166,'Données projet'!$B$166,DO14+DN15-DW14)))</f>
        <v>22.865252596366318</v>
      </c>
      <c r="DP15" s="18">
        <f>DO15*VLOOKUP('Données projet'!$B$14,Paramètres!$A$1:$I$89,3,0)*VLOOKUP('Données projet'!$B$14,Paramètres!$A$1:$I$89,5,0)</f>
        <v>15.338011441642525</v>
      </c>
      <c r="DQ15" s="14">
        <f t="shared" si="43"/>
        <v>5.1439602509023024</v>
      </c>
      <c r="DR15" s="22">
        <f t="shared" si="16"/>
        <v>35.672767364515572</v>
      </c>
      <c r="DS15" s="60">
        <f t="shared" si="17"/>
        <v>232.70254481724845</v>
      </c>
      <c r="DT15" s="60">
        <f ca="1">AVERAGE(OFFSET($DS$3,0,0,'Données projet'!$E$14+1,1))-AVERAGE(OFFSET($H$3,0,0,'Données projet'!$E$14+1,1))</f>
        <v>343.94240546037798</v>
      </c>
      <c r="DU15" s="60">
        <f t="shared" si="44"/>
        <v>277.30931495079346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3.56</v>
      </c>
      <c r="EJ15" s="13">
        <f>IF('Données projet'!$A$192&gt;35,EJ14+EI15-ER14,IF(A15&lt;'Données projet'!$A$192,$EG$205^A15,IF(A15='Données projet'!$A$192,'Données projet'!$B$192,EJ14+EI15-ER14)))</f>
        <v>8.6239693271150166</v>
      </c>
      <c r="EK15" s="18">
        <f>EJ15*VLOOKUP('Données projet'!$B$15,Paramètres!$A$1:$I$89,3,0)*VLOOKUP('Données projet'!$B$15,Paramètres!$A$1:$I$89,5,0)</f>
        <v>6.7266960751497136</v>
      </c>
      <c r="EL15" s="14">
        <f t="shared" si="45"/>
        <v>2.4831201866130401</v>
      </c>
      <c r="EM15" s="22">
        <f t="shared" si="19"/>
        <v>16.040429989236795</v>
      </c>
      <c r="EN15" s="60">
        <f t="shared" si="20"/>
        <v>213.07020744196967</v>
      </c>
      <c r="EO15" s="60">
        <f ca="1">AVERAGE(OFFSET($EN$3,0,0,'Données projet'!$E$15+1,1))-AVERAGE(OFFSET($H$3,0,0,'Données projet'!$E$15+1,1))</f>
        <v>308.76306523144956</v>
      </c>
      <c r="EP15" s="60">
        <f t="shared" si="46"/>
        <v>283.28099819802776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0.6</v>
      </c>
      <c r="FE15" s="13">
        <f>IF('Données projet'!$A$218&gt;35,FE14+FD15-FM14,IF(A15&lt;'Données projet'!$A$218,$FB$205^A15,IF(A15='Données projet'!$A$218,'Données projet'!$B$218,FE14+FD15-FM14)))</f>
        <v>5.799546134795289</v>
      </c>
      <c r="FF15" s="18">
        <f>FE15*VLOOKUP('Données projet'!$B$16,Paramètres!$A$1:$I$89,3,0)*VLOOKUP('Données projet'!$B$16,Paramètres!$A$1:$I$89,5,0)</f>
        <v>5.0664835033571656</v>
      </c>
      <c r="FG15" s="14">
        <f t="shared" si="47"/>
        <v>1.9329955120863267</v>
      </c>
      <c r="FH15" s="22">
        <f t="shared" si="22"/>
        <v>12.190759285230749</v>
      </c>
      <c r="FI15" s="60">
        <f t="shared" si="23"/>
        <v>209.22053673796361</v>
      </c>
      <c r="FJ15" s="60">
        <f ca="1">AVERAGE(OFFSET($FI$3,0,0,'Données projet'!$E$16+1,1))-AVERAGE(OFFSET($H$3,0,0,'Données projet'!$E$16+1,1))</f>
        <v>296.01124173332352</v>
      </c>
      <c r="FK15" s="60">
        <f t="shared" si="48"/>
        <v>315.50730924873733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1.4666666666666666</v>
      </c>
      <c r="FZ15" s="13">
        <f>IF('Données projet'!$A$244&gt;35,FZ14+FY15-GH14,IF(A15&lt;'Données projet'!$A$244,$FW$205^A15,IF(A15='Données projet'!$A$244,'Données projet'!$B$244,FZ14+FY15-GH14)))</f>
        <v>11.855998744839987</v>
      </c>
      <c r="GA15" s="18">
        <f>FZ15*VLOOKUP('Données projet'!$B$17,Paramètres!$A$1:$I$89,3,0)*VLOOKUP('Données projet'!$B$17,Paramètres!$A$1:$I$89,5,0)</f>
        <v>11.467121986009236</v>
      </c>
      <c r="GB15" s="14">
        <f t="shared" si="49"/>
        <v>3.978194397482933</v>
      </c>
      <c r="GC15" s="22">
        <f t="shared" si="25"/>
        <v>26.900592701248858</v>
      </c>
      <c r="GD15" s="60">
        <f t="shared" si="26"/>
        <v>223.93037015398173</v>
      </c>
      <c r="GE15" s="60">
        <f ca="1">AVERAGE(OFFSET($GD$3,0,0,'Données projet'!$E$17+1,1))-AVERAGE(OFFSET($H$3,0,0,'Données projet'!$E$17+1,1))</f>
        <v>391.18744390931187</v>
      </c>
      <c r="GF15" s="60">
        <f t="shared" si="50"/>
        <v>261.46982358454386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223.71851443666381</v>
      </c>
      <c r="S16" s="60">
        <f ca="1">AVERAGE(OFFSET($R$3,0,0,'Données projet'!$E$9+1,1))-AVERAGE(OFFSET($H$3,0,0,'Données projet'!$E$9+1,1))</f>
        <v>469.15492079216403</v>
      </c>
      <c r="T16" s="60">
        <f t="shared" si="34"/>
        <v>250.47702091764884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9.5637980499107691</v>
      </c>
      <c r="AK16" s="14">
        <f t="shared" si="35"/>
        <v>3.3887309065006521</v>
      </c>
      <c r="AL16" s="22">
        <f t="shared" si="4"/>
        <v>22.558987932416557</v>
      </c>
      <c r="AM16" s="60">
        <f t="shared" si="5"/>
        <v>222.09998818403537</v>
      </c>
      <c r="AN16" s="60">
        <f ca="1">AVERAGE(OFFSET($AM$3,0,0,'Données projet'!$E$10+1,1))-AVERAGE(OFFSET($H$3,0,0,'Données projet'!$E$10+1,1))</f>
        <v>442.49274132121275</v>
      </c>
      <c r="AO16" s="60">
        <f t="shared" si="36"/>
        <v>237.37463556402756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5.4</v>
      </c>
      <c r="BD16" s="13">
        <f>IF('Données projet'!$A$88&gt;35,BD15+BC16-BL15,IF(A16&lt;'Données projet'!$A$88,$BA$205^A16,IF(A16='Données projet'!$A$88,'Données projet'!$B$88,BD15+BC16-BL15)))</f>
        <v>25.200000000000003</v>
      </c>
      <c r="BE16" s="14">
        <f>BD16*VLOOKUP('Données projet'!$B$11,Paramètres!$A$1:$I$89,3,0)*VLOOKUP('Données projet'!$B$11,Paramètres!$A$1:$I$89,5,0)</f>
        <v>16.511040000000001</v>
      </c>
      <c r="BF16" s="14">
        <f t="shared" si="37"/>
        <v>5.4900658149363251</v>
      </c>
      <c r="BG16" s="22">
        <f t="shared" si="7"/>
        <v>38.318592627680772</v>
      </c>
      <c r="BH16" s="60">
        <f t="shared" si="8"/>
        <v>237.85959287929958</v>
      </c>
      <c r="BI16" s="60">
        <f ca="1">AVERAGE(OFFSET($BH$3,0,0,'Données projet'!$E$11+1,1))-AVERAGE(OFFSET($H$3,0,0,'Données projet'!$E$11+1,1))</f>
        <v>267.90768140488603</v>
      </c>
      <c r="BJ16" s="60">
        <f t="shared" si="38"/>
        <v>280.25465074992258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</v>
      </c>
      <c r="BY16" s="13">
        <f>IF('Données projet'!$A$114&gt;35,BY15+BX16-CG15,IF(A16&lt;'Données projet'!$A$114,$BV$205^A16,IF(A16='Données projet'!$A$114,'Données projet'!$B$114,BY15+BX16-CG15)))</f>
        <v>25.51620317959356</v>
      </c>
      <c r="BZ16" s="14">
        <f>BY16*VLOOKUP('Données projet'!$B$12,Paramètres!$A$1:$I$89,3,0)*VLOOKUP('Données projet'!$B$12,Paramètres!$A$1:$I$89,5,0)</f>
        <v>20.698744019286298</v>
      </c>
      <c r="CA16" s="14">
        <f t="shared" si="39"/>
        <v>6.7037865478557999</v>
      </c>
      <c r="CB16" s="22">
        <f t="shared" si="10"/>
        <v>47.72607407110582</v>
      </c>
      <c r="CC16" s="60">
        <f t="shared" si="11"/>
        <v>247.26707432272462</v>
      </c>
      <c r="CD16" s="60">
        <f ca="1">AVERAGE(OFFSET($CC$3,0,0,'Données projet'!$E$12+1,1))-AVERAGE(OFFSET($H$3,0,0,'Données projet'!$E$12+1,1))</f>
        <v>308.6594206517259</v>
      </c>
      <c r="CE16" s="60">
        <f t="shared" si="40"/>
        <v>258.90832875500325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2.4358974358974361</v>
      </c>
      <c r="CT16" s="13">
        <f>IF('Données projet'!$A$140&gt;35,CT15+CS16-DB15,IF(A16&lt;'Données projet'!$A$140,$CQ$205^A16,IF(A16='Données projet'!$A$140,'Données projet'!$B$140,CT15+CS16-DB15)))</f>
        <v>22.614321200613873</v>
      </c>
      <c r="CU16" s="18">
        <f>CT16*VLOOKUP('Données projet'!$B$13,Paramètres!$A$1:$I$89,3,0)*VLOOKUP('Données projet'!$B$13,Paramètres!$A$1:$I$89,5,0)</f>
        <v>21.519788054504161</v>
      </c>
      <c r="CV16" s="14">
        <f t="shared" si="41"/>
        <v>6.9382143454892127</v>
      </c>
      <c r="CW16" s="22">
        <f t="shared" si="13"/>
        <v>49.564354179988463</v>
      </c>
      <c r="CX16" s="60">
        <f t="shared" si="14"/>
        <v>249.10535443160728</v>
      </c>
      <c r="CY16" s="60">
        <f ca="1">AVERAGE(OFFSET($CX$3,0,0,'Données projet'!$E$13+1,1))-AVERAGE(OFFSET($H$3,0,0,'Données projet'!$E$13+1,1))</f>
        <v>397.63792993520934</v>
      </c>
      <c r="CZ16" s="60">
        <f t="shared" si="42"/>
        <v>300.63705521148802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3.3333333333333335</v>
      </c>
      <c r="DO16" s="13">
        <f>IF('Données projet'!$A$166&gt;35,DO15+DN16-DW15,IF(A16&lt;'Données projet'!$A$166,$DL$205^A16,IF(A16='Données projet'!$A$166,'Données projet'!$B$166,DO15+DN16-DW15)))</f>
        <v>29.678412748283769</v>
      </c>
      <c r="DP16" s="18">
        <f>DO16*VLOOKUP('Données projet'!$B$14,Paramètres!$A$1:$I$89,3,0)*VLOOKUP('Données projet'!$B$14,Paramètres!$A$1:$I$89,5,0)</f>
        <v>19.90827927154875</v>
      </c>
      <c r="DQ16" s="14">
        <f t="shared" si="43"/>
        <v>6.4770651239957129</v>
      </c>
      <c r="DR16" s="22">
        <f t="shared" si="16"/>
        <v>45.954474822239945</v>
      </c>
      <c r="DS16" s="60">
        <f t="shared" si="17"/>
        <v>245.49547507385876</v>
      </c>
      <c r="DT16" s="60">
        <f ca="1">AVERAGE(OFFSET($DS$3,0,0,'Données projet'!$E$14+1,1))-AVERAGE(OFFSET($H$3,0,0,'Données projet'!$E$14+1,1))</f>
        <v>343.94240546037798</v>
      </c>
      <c r="DU16" s="60">
        <f t="shared" si="44"/>
        <v>277.30931495079346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3.56</v>
      </c>
      <c r="EJ16" s="13">
        <f>IF('Données projet'!$A$192&gt;35,EJ15+EI16-ER15,IF(A16&lt;'Données projet'!$A$192,$EG$205^A16,IF(A16='Données projet'!$A$192,'Données projet'!$B$192,EJ15+EI16-ER15)))</f>
        <v>10.320073811043248</v>
      </c>
      <c r="EK16" s="18">
        <f>EJ16*VLOOKUP('Données projet'!$B$15,Paramètres!$A$1:$I$89,3,0)*VLOOKUP('Données projet'!$B$15,Paramètres!$A$1:$I$89,5,0)</f>
        <v>8.049657572613734</v>
      </c>
      <c r="EL16" s="14">
        <f t="shared" si="45"/>
        <v>2.9100267483017022</v>
      </c>
      <c r="EM16" s="22">
        <f t="shared" si="19"/>
        <v>19.088116858927716</v>
      </c>
      <c r="EN16" s="60">
        <f t="shared" si="20"/>
        <v>218.62911711054653</v>
      </c>
      <c r="EO16" s="60">
        <f ca="1">AVERAGE(OFFSET($EN$3,0,0,'Données projet'!$E$15+1,1))-AVERAGE(OFFSET($H$3,0,0,'Données projet'!$E$15+1,1))</f>
        <v>308.76306523144956</v>
      </c>
      <c r="EP16" s="60">
        <f t="shared" si="46"/>
        <v>283.28099819802776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0.6</v>
      </c>
      <c r="FE16" s="13">
        <f>IF('Données projet'!$A$218&gt;35,FE15+FD16-FM15,IF(A16&lt;'Données projet'!$A$218,$FB$205^A16,IF(A16='Données projet'!$A$218,'Données projet'!$B$218,FE15+FD16-FM15)))</f>
        <v>6.7144458364886441</v>
      </c>
      <c r="FF16" s="18">
        <f>FE16*VLOOKUP('Données projet'!$B$16,Paramètres!$A$1:$I$89,3,0)*VLOOKUP('Données projet'!$B$16,Paramètres!$A$1:$I$89,5,0)</f>
        <v>5.86573988275648</v>
      </c>
      <c r="FG16" s="14">
        <f t="shared" si="47"/>
        <v>2.2000983287624218</v>
      </c>
      <c r="FH16" s="22">
        <f t="shared" si="22"/>
        <v>14.048001551728753</v>
      </c>
      <c r="FI16" s="60">
        <f t="shared" si="23"/>
        <v>213.58900180334757</v>
      </c>
      <c r="FJ16" s="60">
        <f ca="1">AVERAGE(OFFSET($FI$3,0,0,'Données projet'!$E$16+1,1))-AVERAGE(OFFSET($H$3,0,0,'Données projet'!$E$16+1,1))</f>
        <v>296.01124173332352</v>
      </c>
      <c r="FK16" s="60">
        <f t="shared" si="48"/>
        <v>315.50730924873733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1.4666666666666666</v>
      </c>
      <c r="FZ16" s="13">
        <f>IF('Données projet'!$A$244&gt;35,FZ15+FY16-GH15,IF(A16&lt;'Données projet'!$A$244,$FW$205^A16,IF(A16='Données projet'!$A$244,'Données projet'!$B$244,FZ15+FY16-GH15)))</f>
        <v>14.569108916872146</v>
      </c>
      <c r="GA16" s="18">
        <f>FZ16*VLOOKUP('Données projet'!$B$17,Paramètres!$A$1:$I$89,3,0)*VLOOKUP('Données projet'!$B$17,Paramètres!$A$1:$I$89,5,0)</f>
        <v>14.091242144398739</v>
      </c>
      <c r="GB16" s="14">
        <f t="shared" si="49"/>
        <v>4.7726946180136274</v>
      </c>
      <c r="GC16" s="22">
        <f t="shared" si="25"/>
        <v>32.854689861201528</v>
      </c>
      <c r="GD16" s="60">
        <f t="shared" si="26"/>
        <v>232.39569011282035</v>
      </c>
      <c r="GE16" s="60">
        <f ca="1">AVERAGE(OFFSET($GD$3,0,0,'Données projet'!$E$17+1,1))-AVERAGE(OFFSET($H$3,0,0,'Données projet'!$E$17+1,1))</f>
        <v>391.18744390931187</v>
      </c>
      <c r="GF16" s="60">
        <f t="shared" si="50"/>
        <v>261.46982358454386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231.01245838467531</v>
      </c>
      <c r="S17" s="60">
        <f ca="1">AVERAGE(OFFSET($R$3,0,0,'Données projet'!$E$9+1,1))-AVERAGE(OFFSET($H$3,0,0,'Données projet'!$E$9+1,1))</f>
        <v>469.15492079216403</v>
      </c>
      <c r="T17" s="60">
        <f t="shared" si="34"/>
        <v>250.47702091764884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11.529032447092296</v>
      </c>
      <c r="AK17" s="14">
        <f t="shared" si="35"/>
        <v>3.9971664842854926</v>
      </c>
      <c r="AL17" s="22">
        <f t="shared" si="4"/>
        <v>27.041463138816312</v>
      </c>
      <c r="AM17" s="60">
        <f t="shared" si="5"/>
        <v>229.0713249110895</v>
      </c>
      <c r="AN17" s="60">
        <f ca="1">AVERAGE(OFFSET($AM$3,0,0,'Données projet'!$E$10+1,1))-AVERAGE(OFFSET($H$3,0,0,'Données projet'!$E$10+1,1))</f>
        <v>442.49274132121275</v>
      </c>
      <c r="AO17" s="60">
        <f t="shared" si="36"/>
        <v>237.37463556402756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5.4</v>
      </c>
      <c r="BD17" s="13">
        <f>IF('Données projet'!$A$88&gt;35,BD16+BC17-BL16,IF(A17&lt;'Données projet'!$A$88,$BA$205^A17,IF(A17='Données projet'!$A$88,'Données projet'!$B$88,BD16+BC17-BL16)))</f>
        <v>30.6</v>
      </c>
      <c r="BE17" s="14">
        <f>BD17*VLOOKUP('Données projet'!$B$11,Paramètres!$A$1:$I$89,3,0)*VLOOKUP('Données projet'!$B$11,Paramètres!$A$1:$I$89,5,0)</f>
        <v>20.049120000000002</v>
      </c>
      <c r="BF17" s="14">
        <f t="shared" si="37"/>
        <v>6.5175367010112657</v>
      </c>
      <c r="BG17" s="22">
        <f t="shared" si="7"/>
        <v>46.270260420927961</v>
      </c>
      <c r="BH17" s="60">
        <f t="shared" si="8"/>
        <v>248.30012219320116</v>
      </c>
      <c r="BI17" s="60">
        <f ca="1">AVERAGE(OFFSET($BH$3,0,0,'Données projet'!$E$11+1,1))-AVERAGE(OFFSET($H$3,0,0,'Données projet'!$E$11+1,1))</f>
        <v>267.90768140488603</v>
      </c>
      <c r="BJ17" s="60">
        <f t="shared" si="38"/>
        <v>280.25465074992258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</v>
      </c>
      <c r="BY17" s="13">
        <f>IF('Données projet'!$A$114&gt;35,BY16+BX17-CG16,IF(A17&lt;'Données projet'!$A$114,$BV$205^A17,IF(A17='Données projet'!$A$114,'Données projet'!$B$114,BY16+BX17-CG16)))</f>
        <v>32.736532094021939</v>
      </c>
      <c r="BZ17" s="14">
        <f>BY17*VLOOKUP('Données projet'!$B$12,Paramètres!$A$1:$I$89,3,0)*VLOOKUP('Données projet'!$B$12,Paramètres!$A$1:$I$89,5,0)</f>
        <v>26.5558748346706</v>
      </c>
      <c r="CA17" s="14">
        <f t="shared" si="39"/>
        <v>8.3548831930669891</v>
      </c>
      <c r="CB17" s="22">
        <f t="shared" si="10"/>
        <v>60.802903564976283</v>
      </c>
      <c r="CC17" s="60">
        <f t="shared" si="11"/>
        <v>262.8327653372495</v>
      </c>
      <c r="CD17" s="60">
        <f ca="1">AVERAGE(OFFSET($CC$3,0,0,'Données projet'!$E$12+1,1))-AVERAGE(OFFSET($H$3,0,0,'Données projet'!$E$12+1,1))</f>
        <v>308.6594206517259</v>
      </c>
      <c r="CE17" s="60">
        <f t="shared" si="40"/>
        <v>258.90832875500325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2.4358974358974361</v>
      </c>
      <c r="CT17" s="13">
        <f>IF('Données projet'!$A$140&gt;35,CT16+CS17-DB16,IF(A17&lt;'Données projet'!$A$140,$CQ$205^A17,IF(A17='Données projet'!$A$140,'Données projet'!$B$140,CT16+CS17-DB16)))</f>
        <v>28.745304058350921</v>
      </c>
      <c r="CU17" s="18">
        <f>CT17*VLOOKUP('Données projet'!$B$13,Paramètres!$A$1:$I$89,3,0)*VLOOKUP('Données projet'!$B$13,Paramètres!$A$1:$I$89,5,0)</f>
        <v>27.354031341926738</v>
      </c>
      <c r="CV17" s="14">
        <f t="shared" si="41"/>
        <v>8.5763820870506962</v>
      </c>
      <c r="CW17" s="22">
        <f t="shared" si="13"/>
        <v>62.578803388802356</v>
      </c>
      <c r="CX17" s="60">
        <f t="shared" si="14"/>
        <v>264.60866516107558</v>
      </c>
      <c r="CY17" s="60">
        <f ca="1">AVERAGE(OFFSET($CX$3,0,0,'Données projet'!$E$13+1,1))-AVERAGE(OFFSET($H$3,0,0,'Données projet'!$E$13+1,1))</f>
        <v>397.63792993520934</v>
      </c>
      <c r="CZ17" s="60">
        <f t="shared" si="42"/>
        <v>300.63705521148802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3.3333333333333335</v>
      </c>
      <c r="DO17" s="13">
        <f>IF('Données projet'!$A$166&gt;35,DO16+DN17-DW16,IF(A17&lt;'Données projet'!$A$166,$DL$205^A17,IF(A17='Données projet'!$A$166,'Données projet'!$B$166,DO16+DN17-DW16)))</f>
        <v>38.521690479704915</v>
      </c>
      <c r="DP17" s="18">
        <f>DO17*VLOOKUP('Données projet'!$B$14,Paramètres!$A$1:$I$89,3,0)*VLOOKUP('Données projet'!$B$14,Paramètres!$A$1:$I$89,5,0)</f>
        <v>25.840349973786058</v>
      </c>
      <c r="DQ17" s="14">
        <f t="shared" si="43"/>
        <v>8.1556564542120462</v>
      </c>
      <c r="DR17" s="22">
        <f t="shared" si="16"/>
        <v>59.209711195430032</v>
      </c>
      <c r="DS17" s="60">
        <f t="shared" si="17"/>
        <v>261.23957296770323</v>
      </c>
      <c r="DT17" s="60">
        <f ca="1">AVERAGE(OFFSET($DS$3,0,0,'Données projet'!$E$14+1,1))-AVERAGE(OFFSET($H$3,0,0,'Données projet'!$E$14+1,1))</f>
        <v>343.94240546037798</v>
      </c>
      <c r="DU17" s="60">
        <f t="shared" si="44"/>
        <v>277.30931495079346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3.56</v>
      </c>
      <c r="EJ17" s="13">
        <f>IF('Données projet'!$A$192&gt;35,EJ16+EI17-ER16,IF(A17&lt;'Données projet'!$A$192,$EG$205^A17,IF(A17='Données projet'!$A$192,'Données projet'!$B$192,EJ16+EI17-ER16)))</f>
        <v>12.349756756499216</v>
      </c>
      <c r="EK17" s="18">
        <f>EJ17*VLOOKUP('Données projet'!$B$15,Paramètres!$A$1:$I$89,3,0)*VLOOKUP('Données projet'!$B$15,Paramètres!$A$1:$I$89,5,0)</f>
        <v>9.6328102700693883</v>
      </c>
      <c r="EL17" s="14">
        <f t="shared" si="45"/>
        <v>3.4103285541655652</v>
      </c>
      <c r="EM17" s="22">
        <f t="shared" si="19"/>
        <v>22.716800118875877</v>
      </c>
      <c r="EN17" s="60">
        <f t="shared" si="20"/>
        <v>224.74666189114907</v>
      </c>
      <c r="EO17" s="60">
        <f ca="1">AVERAGE(OFFSET($EN$3,0,0,'Données projet'!$E$15+1,1))-AVERAGE(OFFSET($H$3,0,0,'Données projet'!$E$15+1,1))</f>
        <v>308.76306523144956</v>
      </c>
      <c r="EP17" s="60">
        <f t="shared" si="46"/>
        <v>283.28099819802776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0.6</v>
      </c>
      <c r="FE17" s="13">
        <f>IF('Données projet'!$A$218&gt;35,FE16+FD17-FM16,IF(A17&lt;'Données projet'!$A$218,$FB$205^A17,IF(A17='Données projet'!$A$218,'Données projet'!$B$218,FE16+FD17-FM16)))</f>
        <v>7.7736743261084582</v>
      </c>
      <c r="FF17" s="18">
        <f>FE17*VLOOKUP('Données projet'!$B$16,Paramètres!$A$1:$I$89,3,0)*VLOOKUP('Données projet'!$B$16,Paramètres!$A$1:$I$89,5,0)</f>
        <v>6.7910818912883508</v>
      </c>
      <c r="FG17" s="14">
        <f t="shared" si="47"/>
        <v>2.5041096194780144</v>
      </c>
      <c r="FH17" s="22">
        <f t="shared" si="22"/>
        <v>16.189125214584752</v>
      </c>
      <c r="FI17" s="60">
        <f t="shared" si="23"/>
        <v>218.21898698685794</v>
      </c>
      <c r="FJ17" s="60">
        <f ca="1">AVERAGE(OFFSET($FI$3,0,0,'Données projet'!$E$16+1,1))-AVERAGE(OFFSET($H$3,0,0,'Données projet'!$E$16+1,1))</f>
        <v>296.01124173332352</v>
      </c>
      <c r="FK17" s="60">
        <f t="shared" si="48"/>
        <v>315.50730924873733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1.4666666666666666</v>
      </c>
      <c r="FZ17" s="13">
        <f>IF('Données projet'!$A$244&gt;35,FZ16+FY17-GH16,IF(A17&lt;'Données projet'!$A$244,$FW$205^A17,IF(A17='Données projet'!$A$244,'Données projet'!$B$244,FZ16+FY17-GH16)))</f>
        <v>17.903083426359473</v>
      </c>
      <c r="GA17" s="18">
        <f>FZ17*VLOOKUP('Données projet'!$B$17,Paramètres!$A$1:$I$89,3,0)*VLOOKUP('Données projet'!$B$17,Paramètres!$A$1:$I$89,5,0)</f>
        <v>17.315862289974881</v>
      </c>
      <c r="GB17" s="14">
        <f t="shared" si="49"/>
        <v>5.7258674767700199</v>
      </c>
      <c r="GC17" s="22">
        <f t="shared" si="25"/>
        <v>40.131012677080697</v>
      </c>
      <c r="GD17" s="60">
        <f t="shared" si="26"/>
        <v>242.16087444935388</v>
      </c>
      <c r="GE17" s="60">
        <f ca="1">AVERAGE(OFFSET($GD$3,0,0,'Données projet'!$E$17+1,1))-AVERAGE(OFFSET($H$3,0,0,'Données projet'!$E$17+1,1))</f>
        <v>391.18744390931187</v>
      </c>
      <c r="GF17" s="60">
        <f t="shared" si="50"/>
        <v>261.46982358454386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239.24252994115767</v>
      </c>
      <c r="S18" s="60">
        <f ca="1">AVERAGE(OFFSET($R$3,0,0,'Données projet'!$E$9+1,1))-AVERAGE(OFFSET($H$3,0,0,'Données projet'!$E$9+1,1))</f>
        <v>469.15492079216403</v>
      </c>
      <c r="T18" s="60">
        <f t="shared" si="34"/>
        <v>250.47702091764884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13.898096600580887</v>
      </c>
      <c r="AK18" s="14">
        <f t="shared" si="35"/>
        <v>4.7148446849071632</v>
      </c>
      <c r="AL18" s="22">
        <f t="shared" si="4"/>
        <v>32.417539405558351</v>
      </c>
      <c r="AM18" s="60">
        <f t="shared" si="5"/>
        <v>236.9142893384394</v>
      </c>
      <c r="AN18" s="60">
        <f ca="1">AVERAGE(OFFSET($AM$3,0,0,'Données projet'!$E$10+1,1))-AVERAGE(OFFSET($H$3,0,0,'Données projet'!$E$10+1,1))</f>
        <v>442.49274132121275</v>
      </c>
      <c r="AO18" s="60">
        <f t="shared" si="36"/>
        <v>237.37463556402756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36</v>
      </c>
      <c r="BB18" s="13">
        <f>VLOOKUP(A18,'Données projet'!$A$87:$I$107,9,0)</f>
        <v>5.4</v>
      </c>
      <c r="BC18" s="13">
        <f t="array" ref="BC18">INDEX(BB:BB,MIN(IF(ISNUMBER(BB18:BB214),ROW(BB18:BB214),"")))</f>
        <v>5.4</v>
      </c>
      <c r="BD18" s="13">
        <f>IF('Données projet'!$A$88&gt;35,BD17+BC18-BL17,IF(A18&lt;'Données projet'!$A$88,$BA$205^A18,IF(A18='Données projet'!$A$88,'Données projet'!$B$88,BD17+BC18-BL17)))</f>
        <v>36</v>
      </c>
      <c r="BE18" s="14">
        <f>BD18*VLOOKUP('Données projet'!$B$11,Paramètres!$A$1:$I$89,3,0)*VLOOKUP('Données projet'!$B$11,Paramètres!$A$1:$I$89,5,0)</f>
        <v>23.587199999999999</v>
      </c>
      <c r="BF18" s="14">
        <f t="shared" si="37"/>
        <v>7.5240023521815003</v>
      </c>
      <c r="BG18" s="22">
        <f t="shared" si="7"/>
        <v>54.185344096716108</v>
      </c>
      <c r="BH18" s="60">
        <f t="shared" si="8"/>
        <v>258.68209402959712</v>
      </c>
      <c r="BI18" s="60">
        <f ca="1">AVERAGE(OFFSET($BH$3,0,0,'Données projet'!$E$11+1,1))-AVERAGE(OFFSET($H$3,0,0,'Données projet'!$E$11+1,1))</f>
        <v>267.90768140488603</v>
      </c>
      <c r="BJ18" s="60">
        <f t="shared" si="38"/>
        <v>280.25465074992258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42</v>
      </c>
      <c r="BW18" s="13">
        <f>VLOOKUP(A18,'Données projet'!$A$113:$I$133,9,0)</f>
        <v>2.8</v>
      </c>
      <c r="BX18" s="13">
        <f t="array" ref="BX18">INDEX(BW:BW,MIN(IF(ISNUMBER(BW18:BW214),ROW(BW18:BW214),"")))</f>
        <v>2.8</v>
      </c>
      <c r="BY18" s="13">
        <f>IF('Données projet'!$A$114&gt;35,BY17+BX18-CG17,IF(A18&lt;'Données projet'!$A$114,$BV$205^A18,IF(A18='Données projet'!$A$114,'Données projet'!$B$114,BY17+BX18-CG17)))</f>
        <v>42</v>
      </c>
      <c r="BZ18" s="14">
        <f>BY18*VLOOKUP('Données projet'!$B$12,Paramètres!$A$1:$I$89,3,0)*VLOOKUP('Données projet'!$B$12,Paramètres!$A$1:$I$89,5,0)</f>
        <v>34.070399999999999</v>
      </c>
      <c r="CA18" s="14">
        <f t="shared" si="39"/>
        <v>10.412633617059315</v>
      </c>
      <c r="CB18" s="22">
        <f t="shared" si="10"/>
        <v>77.474616883044959</v>
      </c>
      <c r="CC18" s="60">
        <f t="shared" si="11"/>
        <v>281.97136681592599</v>
      </c>
      <c r="CD18" s="60">
        <f ca="1">AVERAGE(OFFSET($CC$3,0,0,'Données projet'!$E$12+1,1))-AVERAGE(OFFSET($H$3,0,0,'Données projet'!$E$12+1,1))</f>
        <v>308.6594206517259</v>
      </c>
      <c r="CE18" s="60">
        <f t="shared" si="40"/>
        <v>258.90832875500325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36.53846153846154</v>
      </c>
      <c r="CR18" s="13">
        <f>VLOOKUP(A18,'Données projet'!$A$139:$I$159,9,0)</f>
        <v>2.4358974358974361</v>
      </c>
      <c r="CS18" s="13">
        <f t="array" ref="CS18">INDEX(CR:CR,MIN(IF(ISNUMBER(CR18:CR214),ROW(CR18:CR214),"")))</f>
        <v>2.4358974358974361</v>
      </c>
      <c r="CT18" s="13">
        <f>IF('Données projet'!$A$140&gt;35,CT17+CS18-DB17,IF(A18&lt;'Données projet'!$A$140,$CQ$205^A18,IF(A18='Données projet'!$A$140,'Données projet'!$B$140,CT17+CS18-DB17)))</f>
        <v>36.53846153846154</v>
      </c>
      <c r="CU18" s="18">
        <f>CT18*VLOOKUP('Données projet'!$B$13,Paramètres!$A$1:$I$89,3,0)*VLOOKUP('Données projet'!$B$13,Paramètres!$A$1:$I$89,5,0)</f>
        <v>34.770000000000003</v>
      </c>
      <c r="CV18" s="14">
        <f t="shared" si="41"/>
        <v>10.601334297333203</v>
      </c>
      <c r="CW18" s="22">
        <f t="shared" si="13"/>
        <v>79.021740567855332</v>
      </c>
      <c r="CX18" s="60">
        <f t="shared" si="14"/>
        <v>283.51849050073639</v>
      </c>
      <c r="CY18" s="60">
        <f ca="1">AVERAGE(OFFSET($CX$3,0,0,'Données projet'!$E$13+1,1))-AVERAGE(OFFSET($H$3,0,0,'Données projet'!$E$13+1,1))</f>
        <v>397.63792993520934</v>
      </c>
      <c r="CZ18" s="60">
        <f t="shared" si="42"/>
        <v>300.63705521148802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50</v>
      </c>
      <c r="DM18" s="13">
        <f>VLOOKUP(A18,'Données projet'!$A$165:$I$185,9,0)</f>
        <v>3.3333333333333335</v>
      </c>
      <c r="DN18" s="13">
        <f t="array" ref="DN18">INDEX(DM:DM,MIN(IF(ISNUMBER(DM18:DM214),ROW(DM18:DM214),"")))</f>
        <v>3.3333333333333335</v>
      </c>
      <c r="DO18" s="13">
        <f>IF('Données projet'!$A$166&gt;35,DO17+DN18-DW17,IF(A18&lt;'Données projet'!$A$166,$DL$205^A18,IF(A18='Données projet'!$A$166,'Données projet'!$B$166,DO17+DN18-DW17)))</f>
        <v>50</v>
      </c>
      <c r="DP18" s="18">
        <f>DO18*VLOOKUP('Données projet'!$B$14,Paramètres!$A$1:$I$89,3,0)*VLOOKUP('Données projet'!$B$14,Paramètres!$A$1:$I$89,5,0)</f>
        <v>33.54</v>
      </c>
      <c r="DQ18" s="14">
        <f t="shared" si="43"/>
        <v>10.269270252156668</v>
      </c>
      <c r="DR18" s="22">
        <f t="shared" si="16"/>
        <v>76.301145689172856</v>
      </c>
      <c r="DS18" s="60">
        <f t="shared" si="17"/>
        <v>280.79789562205389</v>
      </c>
      <c r="DT18" s="60">
        <f ca="1">AVERAGE(OFFSET($DS$3,0,0,'Données projet'!$E$14+1,1))-AVERAGE(OFFSET($H$3,0,0,'Données projet'!$E$14+1,1))</f>
        <v>343.94240546037798</v>
      </c>
      <c r="DU18" s="60">
        <f t="shared" si="44"/>
        <v>277.30931495079346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3.56</v>
      </c>
      <c r="EJ18" s="13">
        <f>IF('Données projet'!$A$192&gt;35,EJ17+EI18-ER17,IF(A18&lt;'Données projet'!$A$192,$EG$205^A18,IF(A18='Données projet'!$A$192,'Données projet'!$B$192,EJ17+EI18-ER17)))</f>
        <v>14.778624139441142</v>
      </c>
      <c r="EK18" s="18">
        <f>EJ18*VLOOKUP('Données projet'!$B$15,Paramètres!$A$1:$I$89,3,0)*VLOOKUP('Données projet'!$B$15,Paramètres!$A$1:$I$89,5,0)</f>
        <v>11.527326828764091</v>
      </c>
      <c r="EL18" s="14">
        <f t="shared" si="45"/>
        <v>3.9966439669822584</v>
      </c>
      <c r="EM18" s="22">
        <f t="shared" si="19"/>
        <v>27.037582469258226</v>
      </c>
      <c r="EN18" s="60">
        <f t="shared" si="20"/>
        <v>231.53433240213928</v>
      </c>
      <c r="EO18" s="60">
        <f ca="1">AVERAGE(OFFSET($EN$3,0,0,'Données projet'!$E$15+1,1))-AVERAGE(OFFSET($H$3,0,0,'Données projet'!$E$15+1,1))</f>
        <v>308.76306523144956</v>
      </c>
      <c r="EP18" s="60">
        <f t="shared" si="46"/>
        <v>283.28099819802776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9</v>
      </c>
      <c r="FC18" s="13">
        <f>VLOOKUP(A18,'Données projet'!$A$217:$I$237,9,0)</f>
        <v>0.6</v>
      </c>
      <c r="FD18" s="13">
        <f t="array" ref="FD18">INDEX(FC:FC,MIN(IF(ISNUMBER(FC18:FC214),ROW(FC18:FC214),"")))</f>
        <v>0.6</v>
      </c>
      <c r="FE18" s="13">
        <f>IF('Données projet'!$A$218&gt;35,FE17+FD18-FM17,IF(A18&lt;'Données projet'!$A$218,$FB$205^A18,IF(A18='Données projet'!$A$218,'Données projet'!$B$218,FE17+FD18-FM17)))</f>
        <v>9</v>
      </c>
      <c r="FF18" s="18">
        <f>FE18*VLOOKUP('Données projet'!$B$16,Paramètres!$A$1:$I$89,3,0)*VLOOKUP('Données projet'!$B$16,Paramètres!$A$1:$I$89,5,0)</f>
        <v>7.8624000000000018</v>
      </c>
      <c r="FG18" s="14">
        <f t="shared" si="47"/>
        <v>2.8501294257559766</v>
      </c>
      <c r="FH18" s="22">
        <f t="shared" si="22"/>
        <v>18.657655416524996</v>
      </c>
      <c r="FI18" s="60">
        <f t="shared" si="23"/>
        <v>223.15440534940603</v>
      </c>
      <c r="FJ18" s="60">
        <f ca="1">AVERAGE(OFFSET($FI$3,0,0,'Données projet'!$E$16+1,1))-AVERAGE(OFFSET($H$3,0,0,'Données projet'!$E$16+1,1))</f>
        <v>296.01124173332352</v>
      </c>
      <c r="FK18" s="60">
        <f t="shared" si="48"/>
        <v>315.50730924873733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22</v>
      </c>
      <c r="FX18" s="13">
        <f>VLOOKUP(A18,'Données projet'!$A$243:$I$263,9,0)</f>
        <v>1.4666666666666666</v>
      </c>
      <c r="FY18" s="13">
        <f t="array" ref="FY18">INDEX(FX:FX,MIN(IF(ISNUMBER(FX18:FX214),ROW(FX18:FX214),"")))</f>
        <v>1.4666666666666666</v>
      </c>
      <c r="FZ18" s="13">
        <f>IF('Données projet'!$A$244&gt;35,FZ17+FY18-GH17,IF(A18&lt;'Données projet'!$A$244,$FW$205^A18,IF(A18='Données projet'!$A$244,'Données projet'!$B$244,FZ17+FY18-GH17)))</f>
        <v>22</v>
      </c>
      <c r="GA18" s="18">
        <f>FZ18*VLOOKUP('Données projet'!$B$17,Paramètres!$A$1:$I$89,3,0)*VLOOKUP('Données projet'!$B$17,Paramètres!$A$1:$I$89,5,0)</f>
        <v>21.278400000000001</v>
      </c>
      <c r="GB18" s="14">
        <f t="shared" si="49"/>
        <v>6.8694020853104298</v>
      </c>
      <c r="GC18" s="22">
        <f t="shared" si="25"/>
        <v>49.024088631915667</v>
      </c>
      <c r="GD18" s="60">
        <f t="shared" si="26"/>
        <v>253.52083856479672</v>
      </c>
      <c r="GE18" s="60">
        <f ca="1">AVERAGE(OFFSET($GD$3,0,0,'Données projet'!$E$17+1,1))-AVERAGE(OFFSET($H$3,0,0,'Données projet'!$E$17+1,1))</f>
        <v>391.18744390931187</v>
      </c>
      <c r="GF18" s="60">
        <f t="shared" si="50"/>
        <v>261.46982358454386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248.60073026204975</v>
      </c>
      <c r="S19" s="60">
        <f ca="1">AVERAGE(OFFSET($R$3,0,0,'Données projet'!$E$9+1,1))-AVERAGE(OFFSET($H$3,0,0,'Données projet'!$E$9+1,1))</f>
        <v>469.15492079216403</v>
      </c>
      <c r="T19" s="60">
        <f t="shared" si="34"/>
        <v>250.47702091764884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16.753972200658836</v>
      </c>
      <c r="AK19" s="14">
        <f t="shared" si="35"/>
        <v>5.5613796648680189</v>
      </c>
      <c r="AL19" s="22">
        <f t="shared" si="4"/>
        <v>38.865904499125939</v>
      </c>
      <c r="AM19" s="60">
        <f t="shared" si="5"/>
        <v>245.80795042124001</v>
      </c>
      <c r="AN19" s="60">
        <f ca="1">AVERAGE(OFFSET($AM$3,0,0,'Données projet'!$E$10+1,1))-AVERAGE(OFFSET($H$3,0,0,'Données projet'!$E$10+1,1))</f>
        <v>442.49274132121275</v>
      </c>
      <c r="AO19" s="60">
        <f t="shared" si="36"/>
        <v>237.37463556402756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10.199999999999999</v>
      </c>
      <c r="BD19" s="13">
        <f>IF('Données projet'!$A$88&gt;35,BD18+BC19-BL18,IF(A19&lt;'Données projet'!$A$88,$BA$205^A19,IF(A19='Données projet'!$A$88,'Données projet'!$B$88,BD18+BC19-BL18)))</f>
        <v>46.2</v>
      </c>
      <c r="BE19" s="14">
        <f>BD19*VLOOKUP('Données projet'!$B$11,Paramètres!$A$1:$I$89,3,0)*VLOOKUP('Données projet'!$B$11,Paramètres!$A$1:$I$89,5,0)</f>
        <v>30.270240000000001</v>
      </c>
      <c r="BF19" s="14">
        <f t="shared" si="37"/>
        <v>9.3794566943827054</v>
      </c>
      <c r="BG19" s="22">
        <f t="shared" si="7"/>
        <v>69.056555076049875</v>
      </c>
      <c r="BH19" s="60">
        <f t="shared" si="8"/>
        <v>275.99860099816397</v>
      </c>
      <c r="BI19" s="60">
        <f ca="1">AVERAGE(OFFSET($BH$3,0,0,'Données projet'!$E$11+1,1))-AVERAGE(OFFSET($H$3,0,0,'Données projet'!$E$11+1,1))</f>
        <v>267.90768140488603</v>
      </c>
      <c r="BJ19" s="60">
        <f t="shared" si="38"/>
        <v>280.25465074992258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5.4</v>
      </c>
      <c r="BY19" s="13">
        <f>IF('Données projet'!$A$114&gt;35,BY18+BX19-CG18,IF(A19&lt;'Données projet'!$A$114,$BV$205^A19,IF(A19='Données projet'!$A$114,'Données projet'!$B$114,BY18+BX19-CG18)))</f>
        <v>47.4</v>
      </c>
      <c r="BZ19" s="14">
        <f>BY19*VLOOKUP('Données projet'!$B$12,Paramètres!$A$1:$I$89,3,0)*VLOOKUP('Données projet'!$B$12,Paramètres!$A$1:$I$89,5,0)</f>
        <v>38.450879999999998</v>
      </c>
      <c r="CA19" s="14">
        <f t="shared" si="39"/>
        <v>11.587113394776683</v>
      </c>
      <c r="CB19" s="22">
        <f t="shared" si="10"/>
        <v>87.149505162569383</v>
      </c>
      <c r="CC19" s="60">
        <f t="shared" si="11"/>
        <v>294.09155108468343</v>
      </c>
      <c r="CD19" s="60">
        <f ca="1">AVERAGE(OFFSET($CC$3,0,0,'Données projet'!$E$12+1,1))-AVERAGE(OFFSET($H$3,0,0,'Données projet'!$E$12+1,1))</f>
        <v>308.6594206517259</v>
      </c>
      <c r="CE19" s="60">
        <f t="shared" si="40"/>
        <v>258.90832875500325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4.8717948717948714</v>
      </c>
      <c r="CT19" s="13">
        <f>IF('Données projet'!$A$140&gt;35,CT18+CS19-DB18,IF(A19&lt;'Données projet'!$A$140,$CQ$205^A19,IF(A19='Données projet'!$A$140,'Données projet'!$B$140,CT18+CS19-DB18)))</f>
        <v>41.410256410256409</v>
      </c>
      <c r="CU19" s="18">
        <f>CT19*VLOOKUP('Données projet'!$B$13,Paramètres!$A$1:$I$89,3,0)*VLOOKUP('Données projet'!$B$13,Paramètres!$A$1:$I$89,5,0)</f>
        <v>39.405999999999999</v>
      </c>
      <c r="CV19" s="14">
        <f t="shared" si="41"/>
        <v>11.84107031287679</v>
      </c>
      <c r="CW19" s="22">
        <f t="shared" si="13"/>
        <v>89.255314128260395</v>
      </c>
      <c r="CX19" s="60">
        <f t="shared" si="14"/>
        <v>296.19736005037447</v>
      </c>
      <c r="CY19" s="60">
        <f ca="1">AVERAGE(OFFSET($CX$3,0,0,'Données projet'!$E$13+1,1))-AVERAGE(OFFSET($H$3,0,0,'Données projet'!$E$13+1,1))</f>
        <v>397.63792993520934</v>
      </c>
      <c r="CZ19" s="60">
        <f t="shared" si="42"/>
        <v>300.63705521148802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6.1538461538461515</v>
      </c>
      <c r="DO19" s="13">
        <f>IF('Données projet'!$A$166&gt;35,DO18+DN19-DW18,IF(A19&lt;'Données projet'!$A$166,$DL$205^A19,IF(A19='Données projet'!$A$166,'Données projet'!$B$166,DO18+DN19-DW18)))</f>
        <v>56.153846153846153</v>
      </c>
      <c r="DP19" s="18">
        <f>DO19*VLOOKUP('Données projet'!$B$14,Paramètres!$A$1:$I$89,3,0)*VLOOKUP('Données projet'!$B$14,Paramètres!$A$1:$I$89,5,0)</f>
        <v>37.667999999999999</v>
      </c>
      <c r="DQ19" s="14">
        <f t="shared" si="43"/>
        <v>11.378405853001878</v>
      </c>
      <c r="DR19" s="22">
        <f t="shared" si="16"/>
        <v>85.422490193978277</v>
      </c>
      <c r="DS19" s="60">
        <f t="shared" si="17"/>
        <v>292.36453611609232</v>
      </c>
      <c r="DT19" s="60">
        <f ca="1">AVERAGE(OFFSET($DS$3,0,0,'Données projet'!$E$14+1,1))-AVERAGE(OFFSET($H$3,0,0,'Données projet'!$E$14+1,1))</f>
        <v>343.94240546037798</v>
      </c>
      <c r="DU19" s="60">
        <f t="shared" si="44"/>
        <v>277.30931495079346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3.56</v>
      </c>
      <c r="EJ19" s="13">
        <f>IF('Données projet'!$A$192&gt;35,EJ18+EI19-ER18,IF(A19&lt;'Données projet'!$A$192,$EG$205^A19,IF(A19='Données projet'!$A$192,'Données projet'!$B$192,EJ18+EI19-ER18)))</f>
        <v>17.68518487944571</v>
      </c>
      <c r="EK19" s="18">
        <f>EJ19*VLOOKUP('Données projet'!$B$15,Paramètres!$A$1:$I$89,3,0)*VLOOKUP('Données projet'!$B$15,Paramètres!$A$1:$I$89,5,0)</f>
        <v>13.794444205967654</v>
      </c>
      <c r="EL19" s="14">
        <f t="shared" si="45"/>
        <v>4.6837607418514473</v>
      </c>
      <c r="EM19" s="22">
        <f t="shared" si="19"/>
        <v>32.182873617451598</v>
      </c>
      <c r="EN19" s="60">
        <f t="shared" si="20"/>
        <v>239.12491953956567</v>
      </c>
      <c r="EO19" s="60">
        <f ca="1">AVERAGE(OFFSET($EN$3,0,0,'Données projet'!$E$15+1,1))-AVERAGE(OFFSET($H$3,0,0,'Données projet'!$E$15+1,1))</f>
        <v>308.76306523144956</v>
      </c>
      <c r="EP19" s="60">
        <f t="shared" si="46"/>
        <v>283.28099819802776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18.600000000000001</v>
      </c>
      <c r="FF19" s="18">
        <f>FE19*VLOOKUP('Données projet'!$B$16,Paramètres!$A$1:$I$89,3,0)*VLOOKUP('Données projet'!$B$16,Paramètres!$A$1:$I$89,5,0)</f>
        <v>16.248960000000004</v>
      </c>
      <c r="FG19" s="14">
        <f t="shared" si="47"/>
        <v>5.4129939058841199</v>
      </c>
      <c r="FH19" s="22">
        <f t="shared" si="22"/>
        <v>37.727903052748182</v>
      </c>
      <c r="FI19" s="60">
        <f t="shared" si="23"/>
        <v>244.66994897486225</v>
      </c>
      <c r="FJ19" s="60">
        <f ca="1">AVERAGE(OFFSET($FI$3,0,0,'Données projet'!$E$16+1,1))-AVERAGE(OFFSET($H$3,0,0,'Données projet'!$E$16+1,1))</f>
        <v>296.01124173332352</v>
      </c>
      <c r="FK19" s="60">
        <f t="shared" si="48"/>
        <v>315.50730924873733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4.4000000000000004</v>
      </c>
      <c r="FZ19" s="13">
        <f>IF('Données projet'!$A$244&gt;35,FZ18+FY19-GH18,IF(A19&lt;'Données projet'!$A$244,$FW$205^A19,IF(A19='Données projet'!$A$244,'Données projet'!$B$244,FZ18+FY19-GH18)))</f>
        <v>26.4</v>
      </c>
      <c r="GA19" s="18">
        <f>FZ19*VLOOKUP('Données projet'!$B$17,Paramètres!$A$1:$I$89,3,0)*VLOOKUP('Données projet'!$B$17,Paramètres!$A$1:$I$89,5,0)</f>
        <v>25.534079999999999</v>
      </c>
      <c r="GB19" s="14">
        <f t="shared" si="49"/>
        <v>8.0701849265082739</v>
      </c>
      <c r="GC19" s="22">
        <f t="shared" si="25"/>
        <v>58.527428080335234</v>
      </c>
      <c r="GD19" s="60">
        <f t="shared" si="26"/>
        <v>265.46947400244932</v>
      </c>
      <c r="GE19" s="60">
        <f ca="1">AVERAGE(OFFSET($GD$3,0,0,'Données projet'!$E$17+1,1))-AVERAGE(OFFSET($H$3,0,0,'Données projet'!$E$17+1,1))</f>
        <v>391.18744390931187</v>
      </c>
      <c r="GF19" s="60">
        <f t="shared" si="50"/>
        <v>261.46982358454386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259.31748536328973</v>
      </c>
      <c r="S20" s="60">
        <f ca="1">AVERAGE(OFFSET($R$3,0,0,'Données projet'!$E$9+1,1))-AVERAGE(OFFSET($H$3,0,0,'Données projet'!$E$9+1,1))</f>
        <v>469.15492079216403</v>
      </c>
      <c r="T20" s="60">
        <f t="shared" si="34"/>
        <v>250.47702091764884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20.196692580818372</v>
      </c>
      <c r="AK20" s="14">
        <f t="shared" si="35"/>
        <v>6.5599072384749233</v>
      </c>
      <c r="AL20" s="22">
        <f t="shared" si="4"/>
        <v>46.601078018602493</v>
      </c>
      <c r="AM20" s="60">
        <f t="shared" si="5"/>
        <v>255.96720233447522</v>
      </c>
      <c r="AN20" s="60">
        <f ca="1">AVERAGE(OFFSET($AM$3,0,0,'Données projet'!$E$10+1,1))-AVERAGE(OFFSET($H$3,0,0,'Données projet'!$E$10+1,1))</f>
        <v>442.49274132121275</v>
      </c>
      <c r="AO20" s="60">
        <f t="shared" si="36"/>
        <v>237.37463556402756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10.199999999999999</v>
      </c>
      <c r="BD20" s="13">
        <f>IF('Données projet'!$A$88&gt;35,BD19+BC20-BL19,IF(A20&lt;'Données projet'!$A$88,$BA$205^A20,IF(A20='Données projet'!$A$88,'Données projet'!$B$88,BD19+BC20-BL19)))</f>
        <v>56.400000000000006</v>
      </c>
      <c r="BE20" s="14">
        <f>BD20*VLOOKUP('Données projet'!$B$11,Paramètres!$A$1:$I$89,3,0)*VLOOKUP('Données projet'!$B$11,Paramètres!$A$1:$I$89,5,0)</f>
        <v>36.953280000000007</v>
      </c>
      <c r="BF20" s="14">
        <f t="shared" si="37"/>
        <v>11.18742789563016</v>
      </c>
      <c r="BG20" s="22">
        <f t="shared" si="7"/>
        <v>83.845066251555863</v>
      </c>
      <c r="BH20" s="60">
        <f t="shared" si="8"/>
        <v>293.21119056742862</v>
      </c>
      <c r="BI20" s="60">
        <f ca="1">AVERAGE(OFFSET($BH$3,0,0,'Données projet'!$E$11+1,1))-AVERAGE(OFFSET($H$3,0,0,'Données projet'!$E$11+1,1))</f>
        <v>267.90768140488603</v>
      </c>
      <c r="BJ20" s="60">
        <f t="shared" si="38"/>
        <v>280.25465074992258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5.4</v>
      </c>
      <c r="BY20" s="13">
        <f>IF('Données projet'!$A$114&gt;35,BY19+BX20-CG19,IF(A20&lt;'Données projet'!$A$114,$BV$205^A20,IF(A20='Données projet'!$A$114,'Données projet'!$B$114,BY19+BX20-CG19)))</f>
        <v>52.8</v>
      </c>
      <c r="BZ20" s="14">
        <f>BY20*VLOOKUP('Données projet'!$B$12,Paramètres!$A$1:$I$89,3,0)*VLOOKUP('Données projet'!$B$12,Paramètres!$A$1:$I$89,5,0)</f>
        <v>42.831360000000004</v>
      </c>
      <c r="CA20" s="14">
        <f t="shared" si="39"/>
        <v>12.746086115928794</v>
      </c>
      <c r="CB20" s="22">
        <f t="shared" si="10"/>
        <v>96.797385318575991</v>
      </c>
      <c r="CC20" s="60">
        <f t="shared" si="11"/>
        <v>306.1635096344487</v>
      </c>
      <c r="CD20" s="60">
        <f ca="1">AVERAGE(OFFSET($CC$3,0,0,'Données projet'!$E$12+1,1))-AVERAGE(OFFSET($H$3,0,0,'Données projet'!$E$12+1,1))</f>
        <v>308.6594206517259</v>
      </c>
      <c r="CE20" s="60">
        <f t="shared" si="40"/>
        <v>258.90832875500325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4.8717948717948714</v>
      </c>
      <c r="CT20" s="13">
        <f>IF('Données projet'!$A$140&gt;35,CT19+CS20-DB19,IF(A20&lt;'Données projet'!$A$140,$CQ$205^A20,IF(A20='Données projet'!$A$140,'Données projet'!$B$140,CT19+CS20-DB19)))</f>
        <v>46.282051282051277</v>
      </c>
      <c r="CU20" s="18">
        <f>CT20*VLOOKUP('Données projet'!$B$13,Paramètres!$A$1:$I$89,3,0)*VLOOKUP('Données projet'!$B$13,Paramètres!$A$1:$I$89,5,0)</f>
        <v>44.042000000000002</v>
      </c>
      <c r="CV20" s="14">
        <f t="shared" si="41"/>
        <v>13.063903835367579</v>
      </c>
      <c r="CW20" s="22">
        <f t="shared" si="13"/>
        <v>99.459449179931866</v>
      </c>
      <c r="CX20" s="60">
        <f t="shared" si="14"/>
        <v>308.82557349580458</v>
      </c>
      <c r="CY20" s="60">
        <f ca="1">AVERAGE(OFFSET($CX$3,0,0,'Données projet'!$E$13+1,1))-AVERAGE(OFFSET($H$3,0,0,'Données projet'!$E$13+1,1))</f>
        <v>397.63792993520934</v>
      </c>
      <c r="CZ20" s="60">
        <f t="shared" si="42"/>
        <v>300.63705521148802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6.1538461538461515</v>
      </c>
      <c r="DO20" s="13">
        <f>IF('Données projet'!$A$166&gt;35,DO19+DN20-DW19,IF(A20&lt;'Données projet'!$A$166,$DL$205^A20,IF(A20='Données projet'!$A$166,'Données projet'!$B$166,DO19+DN20-DW19)))</f>
        <v>62.307692307692307</v>
      </c>
      <c r="DP20" s="18">
        <f>DO20*VLOOKUP('Données projet'!$B$14,Paramètres!$A$1:$I$89,3,0)*VLOOKUP('Données projet'!$B$14,Paramètres!$A$1:$I$89,5,0)</f>
        <v>41.795999999999999</v>
      </c>
      <c r="DQ20" s="14">
        <f t="shared" si="43"/>
        <v>12.473453257047172</v>
      </c>
      <c r="DR20" s="22">
        <f t="shared" si="16"/>
        <v>94.519297756023832</v>
      </c>
      <c r="DS20" s="60">
        <f t="shared" si="17"/>
        <v>303.88542207189653</v>
      </c>
      <c r="DT20" s="60">
        <f ca="1">AVERAGE(OFFSET($DS$3,0,0,'Données projet'!$E$14+1,1))-AVERAGE(OFFSET($H$3,0,0,'Données projet'!$E$14+1,1))</f>
        <v>343.94240546037798</v>
      </c>
      <c r="DU20" s="60">
        <f t="shared" si="44"/>
        <v>277.30931495079346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3.56</v>
      </c>
      <c r="EJ20" s="13">
        <f>IF('Données projet'!$A$192&gt;35,EJ19+EI20-ER19,IF(A20&lt;'Données projet'!$A$192,$EG$205^A20,IF(A20='Données projet'!$A$192,'Données projet'!$B$192,EJ19+EI20-ER19)))</f>
        <v>21.163388504175224</v>
      </c>
      <c r="EK20" s="18">
        <f>EJ20*VLOOKUP('Données projet'!$B$15,Paramètres!$A$1:$I$89,3,0)*VLOOKUP('Données projet'!$B$15,Paramètres!$A$1:$I$89,5,0)</f>
        <v>16.507443033256674</v>
      </c>
      <c r="EL20" s="14">
        <f t="shared" si="45"/>
        <v>5.4890089955831698</v>
      </c>
      <c r="EM20" s="22">
        <f t="shared" si="19"/>
        <v>38.310487283562729</v>
      </c>
      <c r="EN20" s="60">
        <f t="shared" si="20"/>
        <v>247.67661159943546</v>
      </c>
      <c r="EO20" s="60">
        <f ca="1">AVERAGE(OFFSET($EN$3,0,0,'Données projet'!$E$15+1,1))-AVERAGE(OFFSET($H$3,0,0,'Données projet'!$E$15+1,1))</f>
        <v>308.76306523144956</v>
      </c>
      <c r="EP20" s="60">
        <f t="shared" si="46"/>
        <v>283.28099819802776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28.200000000000003</v>
      </c>
      <c r="FF20" s="18">
        <f>FE20*VLOOKUP('Données projet'!$B$16,Paramètres!$A$1:$I$89,3,0)*VLOOKUP('Données projet'!$B$16,Paramètres!$A$1:$I$89,5,0)</f>
        <v>24.635520000000007</v>
      </c>
      <c r="FG20" s="14">
        <f t="shared" si="47"/>
        <v>7.8187263384607988</v>
      </c>
      <c r="FH20" s="22">
        <f t="shared" si="22"/>
        <v>56.524479039485897</v>
      </c>
      <c r="FI20" s="60">
        <f t="shared" si="23"/>
        <v>265.89060335535862</v>
      </c>
      <c r="FJ20" s="60">
        <f ca="1">AVERAGE(OFFSET($FI$3,0,0,'Données projet'!$E$16+1,1))-AVERAGE(OFFSET($H$3,0,0,'Données projet'!$E$16+1,1))</f>
        <v>296.01124173332352</v>
      </c>
      <c r="FK20" s="60">
        <f t="shared" si="48"/>
        <v>315.50730924873733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4.4000000000000004</v>
      </c>
      <c r="FZ20" s="13">
        <f>IF('Données projet'!$A$244&gt;35,FZ19+FY20-GH19,IF(A20&lt;'Données projet'!$A$244,$FW$205^A20,IF(A20='Données projet'!$A$244,'Données projet'!$B$244,FZ19+FY20-GH19)))</f>
        <v>30.799999999999997</v>
      </c>
      <c r="GA20" s="18">
        <f>FZ20*VLOOKUP('Données projet'!$B$17,Paramètres!$A$1:$I$89,3,0)*VLOOKUP('Données projet'!$B$17,Paramètres!$A$1:$I$89,5,0)</f>
        <v>29.789759999999994</v>
      </c>
      <c r="GB20" s="14">
        <f t="shared" si="49"/>
        <v>9.2477838405998103</v>
      </c>
      <c r="GC20" s="22">
        <f t="shared" si="25"/>
        <v>67.990388855711316</v>
      </c>
      <c r="GD20" s="60">
        <f t="shared" si="26"/>
        <v>277.35651317158403</v>
      </c>
      <c r="GE20" s="60">
        <f ca="1">AVERAGE(OFFSET($GD$3,0,0,'Données projet'!$E$17+1,1))-AVERAGE(OFFSET($H$3,0,0,'Données projet'!$E$17+1,1))</f>
        <v>391.18744390931187</v>
      </c>
      <c r="GF20" s="60">
        <f t="shared" si="50"/>
        <v>261.46982358454386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271.66937392158366</v>
      </c>
      <c r="S21" s="60">
        <f ca="1">AVERAGE(OFFSET($R$3,0,0,'Données projet'!$E$9+1,1))-AVERAGE(OFFSET($H$3,0,0,'Données projet'!$E$9+1,1))</f>
        <v>469.15492079216403</v>
      </c>
      <c r="T21" s="60">
        <f t="shared" si="34"/>
        <v>250.47702091764884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24.346846605609343</v>
      </c>
      <c r="AK21" s="14">
        <f t="shared" si="35"/>
        <v>7.7377171800078735</v>
      </c>
      <c r="AL21" s="22">
        <f t="shared" si="4"/>
        <v>55.880615259949991</v>
      </c>
      <c r="AM21" s="60">
        <f t="shared" si="5"/>
        <v>267.6499684519531</v>
      </c>
      <c r="AN21" s="60">
        <f ca="1">AVERAGE(OFFSET($AM$3,0,0,'Données projet'!$E$10+1,1))-AVERAGE(OFFSET($H$3,0,0,'Données projet'!$E$10+1,1))</f>
        <v>442.49274132121275</v>
      </c>
      <c r="AO21" s="60">
        <f t="shared" si="36"/>
        <v>237.37463556402756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10.199999999999999</v>
      </c>
      <c r="BD21" s="13">
        <f>IF('Données projet'!$A$88&gt;35,BD20+BC21-BL20,IF(A21&lt;'Données projet'!$A$88,$BA$205^A21,IF(A21='Données projet'!$A$88,'Données projet'!$B$88,BD20+BC21-BL20)))</f>
        <v>66.600000000000009</v>
      </c>
      <c r="BE21" s="14">
        <f>BD21*VLOOKUP('Données projet'!$B$11,Paramètres!$A$1:$I$89,3,0)*VLOOKUP('Données projet'!$B$11,Paramètres!$A$1:$I$89,5,0)</f>
        <v>43.636320000000005</v>
      </c>
      <c r="BF21" s="14">
        <f t="shared" si="37"/>
        <v>12.957519224810106</v>
      </c>
      <c r="BG21" s="22">
        <f t="shared" si="7"/>
        <v>98.567603316544265</v>
      </c>
      <c r="BH21" s="60">
        <f t="shared" si="8"/>
        <v>310.33695650854736</v>
      </c>
      <c r="BI21" s="60">
        <f ca="1">AVERAGE(OFFSET($BH$3,0,0,'Données projet'!$E$11+1,1))-AVERAGE(OFFSET($H$3,0,0,'Données projet'!$E$11+1,1))</f>
        <v>267.90768140488603</v>
      </c>
      <c r="BJ21" s="60">
        <f t="shared" si="38"/>
        <v>280.25465074992258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5.4</v>
      </c>
      <c r="BY21" s="13">
        <f>IF('Données projet'!$A$114&gt;35,BY20+BX21-CG20,IF(A21&lt;'Données projet'!$A$114,$BV$205^A21,IF(A21='Données projet'!$A$114,'Données projet'!$B$114,BY20+BX21-CG20)))</f>
        <v>58.199999999999996</v>
      </c>
      <c r="BZ21" s="14">
        <f>BY21*VLOOKUP('Données projet'!$B$12,Paramètres!$A$1:$I$89,3,0)*VLOOKUP('Données projet'!$B$12,Paramètres!$A$1:$I$89,5,0)</f>
        <v>47.211840000000002</v>
      </c>
      <c r="CA21" s="14">
        <f t="shared" si="39"/>
        <v>13.891318331147987</v>
      </c>
      <c r="CB21" s="22">
        <f t="shared" si="10"/>
        <v>106.42133409341606</v>
      </c>
      <c r="CC21" s="60">
        <f t="shared" si="11"/>
        <v>318.19068728541919</v>
      </c>
      <c r="CD21" s="60">
        <f ca="1">AVERAGE(OFFSET($CC$3,0,0,'Données projet'!$E$12+1,1))-AVERAGE(OFFSET($H$3,0,0,'Données projet'!$E$12+1,1))</f>
        <v>308.6594206517259</v>
      </c>
      <c r="CE21" s="60">
        <f t="shared" si="40"/>
        <v>258.90832875500325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4.8717948717948714</v>
      </c>
      <c r="CT21" s="13">
        <f>IF('Données projet'!$A$140&gt;35,CT20+CS21-DB20,IF(A21&lt;'Données projet'!$A$140,$CQ$205^A21,IF(A21='Données projet'!$A$140,'Données projet'!$B$140,CT20+CS21-DB20)))</f>
        <v>51.153846153846146</v>
      </c>
      <c r="CU21" s="18">
        <f>CT21*VLOOKUP('Données projet'!$B$13,Paramètres!$A$1:$I$89,3,0)*VLOOKUP('Données projet'!$B$13,Paramètres!$A$1:$I$89,5,0)</f>
        <v>48.67799999999999</v>
      </c>
      <c r="CV21" s="14">
        <f t="shared" si="41"/>
        <v>14.271816787857182</v>
      </c>
      <c r="CW21" s="22">
        <f t="shared" si="13"/>
        <v>109.63759757218457</v>
      </c>
      <c r="CX21" s="60">
        <f t="shared" si="14"/>
        <v>321.40695076418768</v>
      </c>
      <c r="CY21" s="60">
        <f ca="1">AVERAGE(OFFSET($CX$3,0,0,'Données projet'!$E$13+1,1))-AVERAGE(OFFSET($H$3,0,0,'Données projet'!$E$13+1,1))</f>
        <v>397.63792993520934</v>
      </c>
      <c r="CZ21" s="60">
        <f t="shared" si="42"/>
        <v>300.63705521148802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6.1538461538461515</v>
      </c>
      <c r="DO21" s="13">
        <f>IF('Données projet'!$A$166&gt;35,DO20+DN21-DW20,IF(A21&lt;'Données projet'!$A$166,$DL$205^A21,IF(A21='Données projet'!$A$166,'Données projet'!$B$166,DO20+DN21-DW20)))</f>
        <v>68.461538461538453</v>
      </c>
      <c r="DP21" s="18">
        <f>DO21*VLOOKUP('Données projet'!$B$14,Paramètres!$A$1:$I$89,3,0)*VLOOKUP('Données projet'!$B$14,Paramètres!$A$1:$I$89,5,0)</f>
        <v>45.923999999999999</v>
      </c>
      <c r="DQ21" s="14">
        <f t="shared" si="43"/>
        <v>13.555962260438722</v>
      </c>
      <c r="DR21" s="22">
        <f t="shared" si="16"/>
        <v>103.59426760359743</v>
      </c>
      <c r="DS21" s="60">
        <f t="shared" si="17"/>
        <v>315.36362079560053</v>
      </c>
      <c r="DT21" s="60">
        <f ca="1">AVERAGE(OFFSET($DS$3,0,0,'Données projet'!$E$14+1,1))-AVERAGE(OFFSET($H$3,0,0,'Données projet'!$E$14+1,1))</f>
        <v>343.94240546037798</v>
      </c>
      <c r="DU21" s="60">
        <f t="shared" si="44"/>
        <v>277.30931495079346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3.56</v>
      </c>
      <c r="EJ21" s="13">
        <f>IF('Données projet'!$A$192&gt;35,EJ20+EI21-ER20,IF(A21&lt;'Données projet'!$A$192,$EG$205^A21,IF(A21='Données projet'!$A$192,'Données projet'!$B$192,EJ20+EI21-ER20)))</f>
        <v>25.325661904683113</v>
      </c>
      <c r="EK21" s="18">
        <f>EJ21*VLOOKUP('Données projet'!$B$15,Paramètres!$A$1:$I$89,3,0)*VLOOKUP('Données projet'!$B$15,Paramètres!$A$1:$I$89,5,0)</f>
        <v>19.754016285652828</v>
      </c>
      <c r="EL21" s="14">
        <f t="shared" si="45"/>
        <v>6.4326982982660121</v>
      </c>
      <c r="EM21" s="22">
        <f t="shared" si="19"/>
        <v>45.608527900325306</v>
      </c>
      <c r="EN21" s="60">
        <f t="shared" si="20"/>
        <v>257.37788109232844</v>
      </c>
      <c r="EO21" s="60">
        <f ca="1">AVERAGE(OFFSET($EN$3,0,0,'Données projet'!$E$15+1,1))-AVERAGE(OFFSET($H$3,0,0,'Données projet'!$E$15+1,1))</f>
        <v>308.76306523144956</v>
      </c>
      <c r="EP21" s="60">
        <f t="shared" si="46"/>
        <v>283.28099819802776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37.800000000000004</v>
      </c>
      <c r="FF21" s="18">
        <f>FE21*VLOOKUP('Données projet'!$B$16,Paramètres!$A$1:$I$89,3,0)*VLOOKUP('Données projet'!$B$16,Paramètres!$A$1:$I$89,5,0)</f>
        <v>33.022080000000003</v>
      </c>
      <c r="FG21" s="14">
        <f t="shared" si="47"/>
        <v>10.129025278332465</v>
      </c>
      <c r="FH21" s="22">
        <f t="shared" si="22"/>
        <v>75.154841693095705</v>
      </c>
      <c r="FI21" s="60">
        <f t="shared" si="23"/>
        <v>286.92419488509881</v>
      </c>
      <c r="FJ21" s="60">
        <f ca="1">AVERAGE(OFFSET($FI$3,0,0,'Données projet'!$E$16+1,1))-AVERAGE(OFFSET($H$3,0,0,'Données projet'!$E$16+1,1))</f>
        <v>296.01124173332352</v>
      </c>
      <c r="FK21" s="60">
        <f t="shared" si="48"/>
        <v>315.50730924873733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4.4000000000000004</v>
      </c>
      <c r="FZ21" s="13">
        <f>IF('Données projet'!$A$244&gt;35,FZ20+FY21-GH20,IF(A21&lt;'Données projet'!$A$244,$FW$205^A21,IF(A21='Données projet'!$A$244,'Données projet'!$B$244,FZ20+FY21-GH20)))</f>
        <v>35.199999999999996</v>
      </c>
      <c r="GA21" s="18">
        <f>FZ21*VLOOKUP('Données projet'!$B$17,Paramètres!$A$1:$I$89,3,0)*VLOOKUP('Données projet'!$B$17,Paramètres!$A$1:$I$89,5,0)</f>
        <v>34.045439999999999</v>
      </c>
      <c r="GB21" s="14">
        <f t="shared" si="49"/>
        <v>10.405892961044316</v>
      </c>
      <c r="GC21" s="22">
        <f t="shared" si="25"/>
        <v>77.419404907152185</v>
      </c>
      <c r="GD21" s="60">
        <f t="shared" si="26"/>
        <v>289.18875809915528</v>
      </c>
      <c r="GE21" s="60">
        <f ca="1">AVERAGE(OFFSET($GD$3,0,0,'Données projet'!$E$17+1,1))-AVERAGE(OFFSET($H$3,0,0,'Données projet'!$E$17+1,1))</f>
        <v>391.18744390931187</v>
      </c>
      <c r="GF21" s="60">
        <f t="shared" si="50"/>
        <v>261.46982358454386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285.98841258211485</v>
      </c>
      <c r="S22" s="60">
        <f ca="1">AVERAGE(OFFSET($R$3,0,0,'Données projet'!$E$9+1,1))-AVERAGE(OFFSET($H$3,0,0,'Données projet'!$E$9+1,1))</f>
        <v>469.15492079216403</v>
      </c>
      <c r="T22" s="60">
        <f t="shared" si="34"/>
        <v>250.47702091764884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29.349802561239567</v>
      </c>
      <c r="AK22" s="14">
        <f t="shared" si="35"/>
        <v>9.1269990536799668</v>
      </c>
      <c r="AL22" s="22">
        <f t="shared" si="4"/>
        <v>67.013762812651535</v>
      </c>
      <c r="AM22" s="60">
        <f t="shared" si="5"/>
        <v>281.16585705567508</v>
      </c>
      <c r="AN22" s="60">
        <f ca="1">AVERAGE(OFFSET($AM$3,0,0,'Données projet'!$E$10+1,1))-AVERAGE(OFFSET($H$3,0,0,'Données projet'!$E$10+1,1))</f>
        <v>442.49274132121275</v>
      </c>
      <c r="AO22" s="60">
        <f t="shared" si="36"/>
        <v>237.37463556402756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10.199999999999999</v>
      </c>
      <c r="BD22" s="13">
        <f>IF('Données projet'!$A$88&gt;35,BD21+BC22-BL21,IF(A22&lt;'Données projet'!$A$88,$BA$205^A22,IF(A22='Données projet'!$A$88,'Données projet'!$B$88,BD21+BC22-BL21)))</f>
        <v>76.800000000000011</v>
      </c>
      <c r="BE22" s="14">
        <f>BD22*VLOOKUP('Données projet'!$B$11,Paramètres!$A$1:$I$89,3,0)*VLOOKUP('Données projet'!$B$11,Paramètres!$A$1:$I$89,5,0)</f>
        <v>50.319360000000003</v>
      </c>
      <c r="BF22" s="14">
        <f t="shared" si="37"/>
        <v>14.696205189477473</v>
      </c>
      <c r="BG22" s="22">
        <f t="shared" si="7"/>
        <v>113.23544270500661</v>
      </c>
      <c r="BH22" s="60">
        <f t="shared" si="8"/>
        <v>327.38753694803012</v>
      </c>
      <c r="BI22" s="60">
        <f ca="1">AVERAGE(OFFSET($BH$3,0,0,'Données projet'!$E$11+1,1))-AVERAGE(OFFSET($H$3,0,0,'Données projet'!$E$11+1,1))</f>
        <v>267.90768140488603</v>
      </c>
      <c r="BJ22" s="60">
        <f t="shared" si="38"/>
        <v>280.25465074992258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5.4</v>
      </c>
      <c r="BY22" s="13">
        <f>IF('Données projet'!$A$114&gt;35,BY21+BX22-CG21,IF(A22&lt;'Données projet'!$A$114,$BV$205^A22,IF(A22='Données projet'!$A$114,'Données projet'!$B$114,BY21+BX22-CG21)))</f>
        <v>63.599999999999994</v>
      </c>
      <c r="BZ22" s="14">
        <f>BY22*VLOOKUP('Données projet'!$B$12,Paramètres!$A$1:$I$89,3,0)*VLOOKUP('Données projet'!$B$12,Paramètres!$A$1:$I$89,5,0)</f>
        <v>51.592319999999994</v>
      </c>
      <c r="CA22" s="14">
        <f t="shared" si="39"/>
        <v>15.024229944049157</v>
      </c>
      <c r="CB22" s="22">
        <f t="shared" si="10"/>
        <v>116.0238244858856</v>
      </c>
      <c r="CC22" s="60">
        <f t="shared" si="11"/>
        <v>330.1759187289091</v>
      </c>
      <c r="CD22" s="60">
        <f ca="1">AVERAGE(OFFSET($CC$3,0,0,'Données projet'!$E$12+1,1))-AVERAGE(OFFSET($H$3,0,0,'Données projet'!$E$12+1,1))</f>
        <v>308.6594206517259</v>
      </c>
      <c r="CE22" s="60">
        <f t="shared" si="40"/>
        <v>258.90832875500325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4.8717948717948714</v>
      </c>
      <c r="CT22" s="13">
        <f>IF('Données projet'!$A$140&gt;35,CT21+CS22-DB21,IF(A22&lt;'Données projet'!$A$140,$CQ$205^A22,IF(A22='Données projet'!$A$140,'Données projet'!$B$140,CT21+CS22-DB21)))</f>
        <v>56.025641025641015</v>
      </c>
      <c r="CU22" s="18">
        <f>CT22*VLOOKUP('Données projet'!$B$13,Paramètres!$A$1:$I$89,3,0)*VLOOKUP('Données projet'!$B$13,Paramètres!$A$1:$I$89,5,0)</f>
        <v>53.313999999999993</v>
      </c>
      <c r="CV22" s="14">
        <f t="shared" si="41"/>
        <v>15.4663918456211</v>
      </c>
      <c r="CW22" s="22">
        <f t="shared" si="13"/>
        <v>119.79251579779007</v>
      </c>
      <c r="CX22" s="60">
        <f t="shared" si="14"/>
        <v>333.94461004081359</v>
      </c>
      <c r="CY22" s="60">
        <f ca="1">AVERAGE(OFFSET($CX$3,0,0,'Données projet'!$E$13+1,1))-AVERAGE(OFFSET($H$3,0,0,'Données projet'!$E$13+1,1))</f>
        <v>397.63792993520934</v>
      </c>
      <c r="CZ22" s="60">
        <f t="shared" si="42"/>
        <v>300.63705521148802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6.1538461538461515</v>
      </c>
      <c r="DO22" s="13">
        <f>IF('Données projet'!$A$166&gt;35,DO21+DN22-DW21,IF(A22&lt;'Données projet'!$A$166,$DL$205^A22,IF(A22='Données projet'!$A$166,'Données projet'!$B$166,DO21+DN22-DW21)))</f>
        <v>74.615384615384599</v>
      </c>
      <c r="DP22" s="18">
        <f>DO22*VLOOKUP('Données projet'!$B$14,Paramètres!$A$1:$I$89,3,0)*VLOOKUP('Données projet'!$B$14,Paramètres!$A$1:$I$89,5,0)</f>
        <v>50.051999999999985</v>
      </c>
      <c r="DQ22" s="14">
        <f t="shared" si="43"/>
        <v>14.62718807768414</v>
      </c>
      <c r="DR22" s="22">
        <f t="shared" si="16"/>
        <v>112.64958590196653</v>
      </c>
      <c r="DS22" s="60">
        <f t="shared" si="17"/>
        <v>326.80168014499009</v>
      </c>
      <c r="DT22" s="60">
        <f ca="1">AVERAGE(OFFSET($DS$3,0,0,'Données projet'!$E$14+1,1))-AVERAGE(OFFSET($H$3,0,0,'Données projet'!$E$14+1,1))</f>
        <v>343.94240546037798</v>
      </c>
      <c r="DU22" s="60">
        <f t="shared" si="44"/>
        <v>277.30931495079346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3.56</v>
      </c>
      <c r="EJ22" s="13">
        <f>IF('Données projet'!$A$192&gt;35,EJ21+EI22-ER21,IF(A22&lt;'Données projet'!$A$192,$EG$205^A22,IF(A22='Données projet'!$A$192,'Données projet'!$B$192,EJ21+EI22-ER21)))</f>
        <v>30.306543339398647</v>
      </c>
      <c r="EK22" s="18">
        <f>EJ22*VLOOKUP('Données projet'!$B$15,Paramètres!$A$1:$I$89,3,0)*VLOOKUP('Données projet'!$B$15,Paramètres!$A$1:$I$89,5,0)</f>
        <v>23.639103804730947</v>
      </c>
      <c r="EL22" s="14">
        <f t="shared" si="45"/>
        <v>7.5386299111208031</v>
      </c>
      <c r="EM22" s="22">
        <f t="shared" si="19"/>
        <v>54.301219555108467</v>
      </c>
      <c r="EN22" s="60">
        <f t="shared" si="20"/>
        <v>268.453313798132</v>
      </c>
      <c r="EO22" s="60">
        <f ca="1">AVERAGE(OFFSET($EN$3,0,0,'Données projet'!$E$15+1,1))-AVERAGE(OFFSET($H$3,0,0,'Données projet'!$E$15+1,1))</f>
        <v>308.76306523144956</v>
      </c>
      <c r="EP22" s="60">
        <f t="shared" si="46"/>
        <v>283.28099819802776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47.400000000000006</v>
      </c>
      <c r="FF22" s="18">
        <f>FE22*VLOOKUP('Données projet'!$B$16,Paramètres!$A$1:$I$89,3,0)*VLOOKUP('Données projet'!$B$16,Paramètres!$A$1:$I$89,5,0)</f>
        <v>41.408640000000005</v>
      </c>
      <c r="FG22" s="14">
        <f t="shared" si="47"/>
        <v>12.371251711099637</v>
      </c>
      <c r="FH22" s="22">
        <f t="shared" si="22"/>
        <v>93.666644730165203</v>
      </c>
      <c r="FI22" s="60">
        <f t="shared" si="23"/>
        <v>307.81873897318872</v>
      </c>
      <c r="FJ22" s="60">
        <f ca="1">AVERAGE(OFFSET($FI$3,0,0,'Données projet'!$E$16+1,1))-AVERAGE(OFFSET($H$3,0,0,'Données projet'!$E$16+1,1))</f>
        <v>296.01124173332352</v>
      </c>
      <c r="FK22" s="60">
        <f t="shared" si="48"/>
        <v>315.50730924873733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4.4000000000000004</v>
      </c>
      <c r="FZ22" s="13">
        <f>IF('Données projet'!$A$244&gt;35,FZ21+FY22-GH21,IF(A22&lt;'Données projet'!$A$244,$FW$205^A22,IF(A22='Données projet'!$A$244,'Données projet'!$B$244,FZ21+FY22-GH21)))</f>
        <v>39.599999999999994</v>
      </c>
      <c r="GA22" s="18">
        <f>FZ22*VLOOKUP('Données projet'!$B$17,Paramètres!$A$1:$I$89,3,0)*VLOOKUP('Données projet'!$B$17,Paramètres!$A$1:$I$89,5,0)</f>
        <v>38.301119999999997</v>
      </c>
      <c r="GB22" s="14">
        <f t="shared" si="49"/>
        <v>11.547227522927502</v>
      </c>
      <c r="GC22" s="22">
        <f t="shared" si="25"/>
        <v>86.819205269098731</v>
      </c>
      <c r="GD22" s="60">
        <f t="shared" si="26"/>
        <v>300.97129951212224</v>
      </c>
      <c r="GE22" s="60">
        <f ca="1">AVERAGE(OFFSET($GD$3,0,0,'Données projet'!$E$17+1,1))-AVERAGE(OFFSET($H$3,0,0,'Données projet'!$E$17+1,1))</f>
        <v>391.18744390931187</v>
      </c>
      <c r="GF22" s="60">
        <f t="shared" si="50"/>
        <v>261.46982358454386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302.67321335741167</v>
      </c>
      <c r="S23" s="60">
        <f ca="1">AVERAGE(OFFSET($R$3,0,0,'Données projet'!$E$9+1,1))-AVERAGE(OFFSET($H$3,0,0,'Données projet'!$E$9+1,1))</f>
        <v>469.15492079216403</v>
      </c>
      <c r="T23" s="60">
        <f t="shared" si="34"/>
        <v>250.47702091764884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35.380800000000001</v>
      </c>
      <c r="AK23" s="14">
        <f t="shared" si="35"/>
        <v>10.765721954933243</v>
      </c>
      <c r="AL23" s="22">
        <f t="shared" si="4"/>
        <v>80.371859071508723</v>
      </c>
      <c r="AM23" s="60">
        <f t="shared" si="5"/>
        <v>296.88656195840446</v>
      </c>
      <c r="AN23" s="60">
        <f ca="1">AVERAGE(OFFSET($AM$3,0,0,'Données projet'!$E$10+1,1))-AVERAGE(OFFSET($H$3,0,0,'Données projet'!$E$10+1,1))</f>
        <v>442.49274132121275</v>
      </c>
      <c r="AO23" s="60">
        <f t="shared" si="36"/>
        <v>237.37463556402756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87</v>
      </c>
      <c r="BB23" s="13">
        <f>VLOOKUP(A23,'Données projet'!$A$87:$I$107,9,0)</f>
        <v>10.199999999999999</v>
      </c>
      <c r="BC23" s="13">
        <f t="array" ref="BC23">INDEX(BB:BB,MIN(IF(ISNUMBER(BB23:BB219),ROW(BB23:BB219),"")))</f>
        <v>10.199999999999999</v>
      </c>
      <c r="BD23" s="13">
        <f>IF('Données projet'!$A$88&gt;35,BD22+BC23-BL22,IF(A23&lt;'Données projet'!$A$88,$BA$205^A23,IF(A23='Données projet'!$A$88,'Données projet'!$B$88,BD22+BC23-BL22)))</f>
        <v>87.000000000000014</v>
      </c>
      <c r="BE23" s="14">
        <f>BD23*VLOOKUP('Données projet'!$B$11,Paramètres!$A$1:$I$89,3,0)*VLOOKUP('Données projet'!$B$11,Paramètres!$A$1:$I$89,5,0)</f>
        <v>57.002400000000009</v>
      </c>
      <c r="BF23" s="14">
        <f t="shared" si="37"/>
        <v>16.4081359066458</v>
      </c>
      <c r="BG23" s="22">
        <f t="shared" si="7"/>
        <v>127.85668337074144</v>
      </c>
      <c r="BH23" s="60">
        <f t="shared" si="8"/>
        <v>344.37138625763714</v>
      </c>
      <c r="BI23" s="60">
        <f ca="1">AVERAGE(OFFSET($BH$3,0,0,'Données projet'!$E$11+1,1))-AVERAGE(OFFSET($H$3,0,0,'Données projet'!$E$11+1,1))</f>
        <v>267.90768140488603</v>
      </c>
      <c r="BJ23" s="60">
        <f t="shared" si="38"/>
        <v>280.25465074992258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12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69</v>
      </c>
      <c r="BW23" s="13">
        <f>VLOOKUP(A23,'Données projet'!$A$113:$I$133,9,0)</f>
        <v>5.4</v>
      </c>
      <c r="BX23" s="13">
        <f t="array" ref="BX23">INDEX(BW:BW,MIN(IF(ISNUMBER(BW23:BW219),ROW(BW23:BW219),"")))</f>
        <v>5.4</v>
      </c>
      <c r="BY23" s="13">
        <f>IF('Données projet'!$A$114&gt;35,BY22+BX23-CG22,IF(A23&lt;'Données projet'!$A$114,$BV$205^A23,IF(A23='Données projet'!$A$114,'Données projet'!$B$114,BY22+BX23-CG22)))</f>
        <v>69</v>
      </c>
      <c r="BZ23" s="14">
        <f>BY23*VLOOKUP('Données projet'!$B$12,Paramètres!$A$1:$I$89,3,0)*VLOOKUP('Données projet'!$B$12,Paramètres!$A$1:$I$89,5,0)</f>
        <v>55.972800000000007</v>
      </c>
      <c r="CA23" s="14">
        <f t="shared" si="39"/>
        <v>16.145985978099571</v>
      </c>
      <c r="CB23" s="22">
        <f t="shared" si="10"/>
        <v>125.60688557852342</v>
      </c>
      <c r="CC23" s="60">
        <f t="shared" si="11"/>
        <v>342.12158846541911</v>
      </c>
      <c r="CD23" s="60">
        <f ca="1">AVERAGE(OFFSET($CC$3,0,0,'Données projet'!$E$12+1,1))-AVERAGE(OFFSET($H$3,0,0,'Données projet'!$E$12+1,1))</f>
        <v>308.6594206517259</v>
      </c>
      <c r="CE23" s="60">
        <f t="shared" si="40"/>
        <v>258.90832875500325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60.897435897435898</v>
      </c>
      <c r="CR23" s="13">
        <f>VLOOKUP(A23,'Données projet'!$A$139:$I$159,9,0)</f>
        <v>4.8717948717948714</v>
      </c>
      <c r="CS23" s="13">
        <f t="array" ref="CS23">INDEX(CR:CR,MIN(IF(ISNUMBER(CR23:CR219),ROW(CR23:CR219),"")))</f>
        <v>4.8717948717948714</v>
      </c>
      <c r="CT23" s="13">
        <f>IF('Données projet'!$A$140&gt;35,CT22+CS23-DB22,IF(A23&lt;'Données projet'!$A$140,$CQ$205^A23,IF(A23='Données projet'!$A$140,'Données projet'!$B$140,CT22+CS23-DB22)))</f>
        <v>60.897435897435884</v>
      </c>
      <c r="CU23" s="18">
        <f>CT23*VLOOKUP('Données projet'!$B$13,Paramètres!$A$1:$I$89,3,0)*VLOOKUP('Données projet'!$B$13,Paramètres!$A$1:$I$89,5,0)</f>
        <v>57.949999999999989</v>
      </c>
      <c r="CV23" s="14">
        <f t="shared" si="41"/>
        <v>16.648920699336671</v>
      </c>
      <c r="CW23" s="22">
        <f t="shared" si="13"/>
        <v>129.92645355134468</v>
      </c>
      <c r="CX23" s="60">
        <f t="shared" si="14"/>
        <v>346.4411564382404</v>
      </c>
      <c r="CY23" s="60">
        <f ca="1">AVERAGE(OFFSET($CX$3,0,0,'Données projet'!$E$13+1,1))-AVERAGE(OFFSET($H$3,0,0,'Données projet'!$E$13+1,1))</f>
        <v>397.63792993520934</v>
      </c>
      <c r="CZ23" s="60">
        <f t="shared" si="42"/>
        <v>300.63705521148802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16.666666666666668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80.769230769230759</v>
      </c>
      <c r="DM23" s="13">
        <f>VLOOKUP(A23,'Données projet'!$A$165:$I$185,9,0)</f>
        <v>6.1538461538461515</v>
      </c>
      <c r="DN23" s="13">
        <f t="array" ref="DN23">INDEX(DM:DM,MIN(IF(ISNUMBER(DM23:DM219),ROW(DM23:DM219),"")))</f>
        <v>6.1538461538461515</v>
      </c>
      <c r="DO23" s="13">
        <f>IF('Données projet'!$A$166&gt;35,DO22+DN23-DW22,IF(A23&lt;'Données projet'!$A$166,$DL$205^A23,IF(A23='Données projet'!$A$166,'Données projet'!$B$166,DO22+DN23-DW22)))</f>
        <v>80.769230769230745</v>
      </c>
      <c r="DP23" s="18">
        <f>DO23*VLOOKUP('Données projet'!$B$14,Paramètres!$A$1:$I$89,3,0)*VLOOKUP('Données projet'!$B$14,Paramètres!$A$1:$I$89,5,0)</f>
        <v>54.179999999999986</v>
      </c>
      <c r="DQ23" s="14">
        <f t="shared" si="43"/>
        <v>15.688167077713722</v>
      </c>
      <c r="DR23" s="22">
        <f t="shared" si="16"/>
        <v>121.68705766035139</v>
      </c>
      <c r="DS23" s="60">
        <f t="shared" si="17"/>
        <v>338.20176054724709</v>
      </c>
      <c r="DT23" s="60">
        <f ca="1">AVERAGE(OFFSET($DS$3,0,0,'Données projet'!$E$14+1,1))-AVERAGE(OFFSET($H$3,0,0,'Données projet'!$E$14+1,1))</f>
        <v>343.94240546037798</v>
      </c>
      <c r="DU23" s="60">
        <f t="shared" si="44"/>
        <v>277.30931495079346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24.358974358974358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3.56</v>
      </c>
      <c r="EJ23" s="13">
        <f>IF('Données projet'!$A$192&gt;35,EJ22+EI23-ER22,IF(A23&lt;'Données projet'!$A$192,$EG$205^A23,IF(A23='Données projet'!$A$192,'Données projet'!$B$192,EJ22+EI23-ER22)))</f>
        <v>36.267031149657967</v>
      </c>
      <c r="EK23" s="18">
        <f>EJ23*VLOOKUP('Données projet'!$B$15,Paramètres!$A$1:$I$89,3,0)*VLOOKUP('Données projet'!$B$15,Paramètres!$A$1:$I$89,5,0)</f>
        <v>28.288284296733217</v>
      </c>
      <c r="EL23" s="14">
        <f t="shared" si="45"/>
        <v>8.834697090047662</v>
      </c>
      <c r="EM23" s="22">
        <f t="shared" si="19"/>
        <v>64.655859248643353</v>
      </c>
      <c r="EN23" s="60">
        <f t="shared" si="20"/>
        <v>281.17056213553906</v>
      </c>
      <c r="EO23" s="60">
        <f ca="1">AVERAGE(OFFSET($EN$3,0,0,'Données projet'!$E$15+1,1))-AVERAGE(OFFSET($H$3,0,0,'Données projet'!$E$15+1,1))</f>
        <v>308.76306523144956</v>
      </c>
      <c r="EP23" s="60">
        <f t="shared" si="46"/>
        <v>283.28099819802776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57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57.000000000000007</v>
      </c>
      <c r="FF23" s="18">
        <f>FE23*VLOOKUP('Données projet'!$B$16,Paramètres!$A$1:$I$89,3,0)*VLOOKUP('Données projet'!$B$16,Paramètres!$A$1:$I$89,5,0)</f>
        <v>49.795200000000008</v>
      </c>
      <c r="FG23" s="14">
        <f t="shared" si="47"/>
        <v>14.560856542690781</v>
      </c>
      <c r="FH23" s="22">
        <f t="shared" si="22"/>
        <v>112.08679847851981</v>
      </c>
      <c r="FI23" s="60">
        <f t="shared" si="23"/>
        <v>328.60150136541552</v>
      </c>
      <c r="FJ23" s="60">
        <f ca="1">AVERAGE(OFFSET($FI$3,0,0,'Données projet'!$E$16+1,1))-AVERAGE(OFFSET($H$3,0,0,'Données projet'!$E$16+1,1))</f>
        <v>296.01124173332352</v>
      </c>
      <c r="FK23" s="60">
        <f t="shared" si="48"/>
        <v>315.50730924873733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21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44</v>
      </c>
      <c r="FX23" s="13">
        <f>VLOOKUP(A23,'Données projet'!$A$243:$I$263,9,0)</f>
        <v>4.4000000000000004</v>
      </c>
      <c r="FY23" s="13">
        <f t="array" ref="FY23">INDEX(FX:FX,MIN(IF(ISNUMBER(FX23:FX219),ROW(FX23:FX219),"")))</f>
        <v>4.4000000000000004</v>
      </c>
      <c r="FZ23" s="13">
        <f>IF('Données projet'!$A$244&gt;35,FZ22+FY23-GH22,IF(A23&lt;'Données projet'!$A$244,$FW$205^A23,IF(A23='Données projet'!$A$244,'Données projet'!$B$244,FZ22+FY23-GH22)))</f>
        <v>43.999999999999993</v>
      </c>
      <c r="GA23" s="18">
        <f>FZ23*VLOOKUP('Données projet'!$B$17,Paramètres!$A$1:$I$89,3,0)*VLOOKUP('Données projet'!$B$17,Paramètres!$A$1:$I$89,5,0)</f>
        <v>42.556799999999996</v>
      </c>
      <c r="GB23" s="14">
        <f t="shared" si="49"/>
        <v>12.673863978067095</v>
      </c>
      <c r="GC23" s="22">
        <f t="shared" si="25"/>
        <v>96.193406428466844</v>
      </c>
      <c r="GD23" s="60">
        <f t="shared" si="26"/>
        <v>312.70810931536255</v>
      </c>
      <c r="GE23" s="60">
        <f ca="1">AVERAGE(OFFSET($GD$3,0,0,'Données projet'!$E$17+1,1))-AVERAGE(OFFSET($H$3,0,0,'Données projet'!$E$17+1,1))</f>
        <v>391.18744390931187</v>
      </c>
      <c r="GF23" s="60">
        <f t="shared" si="50"/>
        <v>261.46982358454386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5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4.3000000000000003E-2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0.22897522793623581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0.22897522793623581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316.17645629884402</v>
      </c>
      <c r="S24" s="60">
        <f ca="1">AVERAGE(OFFSET($R$3,0,0,'Données projet'!$E$9+1,1))-AVERAGE(OFFSET($H$3,0,0,'Données projet'!$E$9+1,1))</f>
        <v>469.15492079216403</v>
      </c>
      <c r="T24" s="60">
        <f t="shared" si="34"/>
        <v>250.47702091764884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40.098240000000011</v>
      </c>
      <c r="AK24" s="14">
        <f t="shared" si="35"/>
        <v>12.024681710991171</v>
      </c>
      <c r="AL24" s="22">
        <f t="shared" si="4"/>
        <v>90.780755313309626</v>
      </c>
      <c r="AM24" s="60">
        <f t="shared" si="5"/>
        <v>309.63828368918399</v>
      </c>
      <c r="AN24" s="60">
        <f ca="1">AVERAGE(OFFSET($AM$3,0,0,'Données projet'!$E$10+1,1))-AVERAGE(OFFSET($H$3,0,0,'Données projet'!$E$10+1,1))</f>
        <v>442.49274132121275</v>
      </c>
      <c r="AO24" s="60">
        <f t="shared" si="36"/>
        <v>237.37463556402756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8.1999999999999993</v>
      </c>
      <c r="BD24" s="13">
        <f>IF('Données projet'!$A$88&gt;35,BD23+BC24-BL23,IF(A24&lt;'Données projet'!$A$88,$BA$205^A24,IF(A24='Données projet'!$A$88,'Données projet'!$B$88,BD23+BC24-BL23)))</f>
        <v>83.200000000000017</v>
      </c>
      <c r="BE24" s="14">
        <f>BD24*VLOOKUP('Données projet'!$B$11,Paramètres!$A$1:$I$89,3,0)*VLOOKUP('Données projet'!$B$11,Paramètres!$A$1:$I$89,5,0)</f>
        <v>54.512640000000005</v>
      </c>
      <c r="BF24" s="14">
        <f t="shared" si="37"/>
        <v>15.773243364716285</v>
      </c>
      <c r="BG24" s="22">
        <f t="shared" si="7"/>
        <v>122.41458019354752</v>
      </c>
      <c r="BH24" s="60">
        <f t="shared" si="8"/>
        <v>341.2721085694219</v>
      </c>
      <c r="BI24" s="60">
        <f ca="1">AVERAGE(OFFSET($BH$3,0,0,'Données projet'!$E$11+1,1))-AVERAGE(OFFSET($H$3,0,0,'Données projet'!$E$11+1,1))</f>
        <v>267.90768140488603</v>
      </c>
      <c r="BJ24" s="60">
        <f t="shared" si="38"/>
        <v>280.25465074992258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</v>
      </c>
      <c r="BY24" s="13">
        <f>IF('Données projet'!$A$114&gt;35,BY23+BX24-CG23,IF(A24&lt;'Données projet'!$A$114,$BV$205^A24,IF(A24='Données projet'!$A$114,'Données projet'!$B$114,BY23+BX24-CG23)))</f>
        <v>59.8</v>
      </c>
      <c r="BZ24" s="14">
        <f>BY24*VLOOKUP('Données projet'!$B$12,Paramètres!$A$1:$I$89,3,0)*VLOOKUP('Données projet'!$B$12,Paramètres!$A$1:$I$89,5,0)</f>
        <v>48.50976</v>
      </c>
      <c r="CA24" s="14">
        <f t="shared" si="39"/>
        <v>14.228223566336322</v>
      </c>
      <c r="CB24" s="22">
        <f t="shared" si="10"/>
        <v>109.26865471136909</v>
      </c>
      <c r="CC24" s="60">
        <f t="shared" si="11"/>
        <v>328.12618308724348</v>
      </c>
      <c r="CD24" s="60">
        <f ca="1">AVERAGE(OFFSET($CC$3,0,0,'Données projet'!$E$12+1,1))-AVERAGE(OFFSET($H$3,0,0,'Données projet'!$E$12+1,1))</f>
        <v>308.6594206517259</v>
      </c>
      <c r="CE24" s="60">
        <f t="shared" si="40"/>
        <v>258.90832875500325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7.9487179487179507</v>
      </c>
      <c r="CT24" s="13">
        <f>IF('Données projet'!$A$140&gt;35,CT23+CS24-DB23,IF(A24&lt;'Données projet'!$A$140,$CQ$205^A24,IF(A24='Données projet'!$A$140,'Données projet'!$B$140,CT23+CS24-DB23)))</f>
        <v>52.179487179487168</v>
      </c>
      <c r="CU24" s="18">
        <f>CT24*VLOOKUP('Données projet'!$B$13,Paramètres!$A$1:$I$89,3,0)*VLOOKUP('Données projet'!$B$13,Paramètres!$A$1:$I$89,5,0)</f>
        <v>49.653999999999989</v>
      </c>
      <c r="CV24" s="14">
        <f t="shared" si="41"/>
        <v>14.524367574015365</v>
      </c>
      <c r="CW24" s="22">
        <f t="shared" si="13"/>
        <v>111.77732352474339</v>
      </c>
      <c r="CX24" s="60">
        <f t="shared" si="14"/>
        <v>330.63485190061778</v>
      </c>
      <c r="CY24" s="60">
        <f ca="1">AVERAGE(OFFSET($CX$3,0,0,'Données projet'!$E$13+1,1))-AVERAGE(OFFSET($H$3,0,0,'Données projet'!$E$13+1,1))</f>
        <v>397.63792993520934</v>
      </c>
      <c r="CZ24" s="60">
        <f t="shared" si="42"/>
        <v>300.63705521148802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10.512820512820513</v>
      </c>
      <c r="DO24" s="13">
        <f>IF('Données projet'!$A$166&gt;35,DO23+DN24-DW23,IF(A24&lt;'Données projet'!$A$166,$DL$205^A24,IF(A24='Données projet'!$A$166,'Données projet'!$B$166,DO23+DN24-DW23)))</f>
        <v>66.923076923076906</v>
      </c>
      <c r="DP24" s="18">
        <f>DO24*VLOOKUP('Données projet'!$B$14,Paramètres!$A$1:$I$89,3,0)*VLOOKUP('Données projet'!$B$14,Paramètres!$A$1:$I$89,5,0)</f>
        <v>44.891999999999989</v>
      </c>
      <c r="DQ24" s="14">
        <f t="shared" si="43"/>
        <v>13.286437619761639</v>
      </c>
      <c r="DR24" s="22">
        <f t="shared" si="16"/>
        <v>101.32744552108483</v>
      </c>
      <c r="DS24" s="60">
        <f t="shared" si="17"/>
        <v>320.18497389695921</v>
      </c>
      <c r="DT24" s="60">
        <f ca="1">AVERAGE(OFFSET($DS$3,0,0,'Données projet'!$E$14+1,1))-AVERAGE(OFFSET($H$3,0,0,'Données projet'!$E$14+1,1))</f>
        <v>343.94240546037798</v>
      </c>
      <c r="DU24" s="60">
        <f t="shared" si="44"/>
        <v>277.30931495079346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3.56</v>
      </c>
      <c r="EJ24" s="13">
        <f>IF('Données projet'!$A$192&gt;35,EJ23+EI24-ER23,IF(A24&lt;'Données projet'!$A$192,$EG$205^A24,IF(A24='Données projet'!$A$192,'Données projet'!$B$192,EJ23+EI24-ER23)))</f>
        <v>43.399787751457886</v>
      </c>
      <c r="EK24" s="18">
        <f>EJ24*VLOOKUP('Données projet'!$B$15,Paramètres!$A$1:$I$89,3,0)*VLOOKUP('Données projet'!$B$15,Paramètres!$A$1:$I$89,5,0)</f>
        <v>33.851834446137154</v>
      </c>
      <c r="EL24" s="14">
        <f t="shared" si="45"/>
        <v>10.353588595423204</v>
      </c>
      <c r="EM24" s="22">
        <f t="shared" si="19"/>
        <v>76.991111797384278</v>
      </c>
      <c r="EN24" s="60">
        <f t="shared" si="20"/>
        <v>295.84864017325867</v>
      </c>
      <c r="EO24" s="60">
        <f ca="1">AVERAGE(OFFSET($EN$3,0,0,'Données projet'!$E$15+1,1))-AVERAGE(OFFSET($H$3,0,0,'Données projet'!$E$15+1,1))</f>
        <v>308.76306523144956</v>
      </c>
      <c r="EP24" s="60">
        <f t="shared" si="46"/>
        <v>283.28099819802776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</v>
      </c>
      <c r="FE24" s="13">
        <f>IF('Données projet'!$A$218&gt;35,FE23+FD24-FM23,IF(A24&lt;'Données projet'!$A$218,$FB$205^A24,IF(A24='Données projet'!$A$218,'Données projet'!$B$218,FE23+FD24-FM23)))</f>
        <v>46</v>
      </c>
      <c r="FF24" s="18">
        <f>FE24*VLOOKUP('Données projet'!$B$16,Paramètres!$A$1:$I$89,3,0)*VLOOKUP('Données projet'!$B$16,Paramètres!$A$1:$I$89,5,0)</f>
        <v>40.185600000000001</v>
      </c>
      <c r="FG24" s="14">
        <f t="shared" si="47"/>
        <v>12.047826945473735</v>
      </c>
      <c r="FH24" s="22">
        <f t="shared" si="22"/>
        <v>90.973218596700079</v>
      </c>
      <c r="FI24" s="60">
        <f t="shared" si="23"/>
        <v>309.83074697257445</v>
      </c>
      <c r="FJ24" s="60">
        <f ca="1">AVERAGE(OFFSET($FI$3,0,0,'Données projet'!$E$16+1,1))-AVERAGE(OFFSET($H$3,0,0,'Données projet'!$E$16+1,1))</f>
        <v>296.01124173332352</v>
      </c>
      <c r="FK24" s="60">
        <f t="shared" si="48"/>
        <v>315.50730924873733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44.599999999999994</v>
      </c>
      <c r="GA24" s="18">
        <f>FZ24*VLOOKUP('Données projet'!$B$17,Paramètres!$A$1:$I$89,3,0)*VLOOKUP('Données projet'!$B$17,Paramètres!$A$1:$I$89,5,0)</f>
        <v>43.137119999999996</v>
      </c>
      <c r="GB24" s="14">
        <f t="shared" si="49"/>
        <v>12.826451932868354</v>
      </c>
      <c r="GC24" s="22">
        <f t="shared" si="25"/>
        <v>97.469887783079045</v>
      </c>
      <c r="GD24" s="60">
        <f t="shared" si="26"/>
        <v>316.32741615895344</v>
      </c>
      <c r="GE24" s="60">
        <f ca="1">AVERAGE(OFFSET($GD$3,0,0,'Données projet'!$E$17+1,1))-AVERAGE(OFFSET($H$3,0,0,'Données projet'!$E$17+1,1))</f>
        <v>391.18744390931187</v>
      </c>
      <c r="GF24" s="60">
        <f t="shared" si="50"/>
        <v>261.46982358454386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0.22271388828703553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0.22271388828703553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329.62841581638901</v>
      </c>
      <c r="S25" s="60">
        <f ca="1">AVERAGE(OFFSET($R$3,0,0,'Données projet'!$E$9+1,1))-AVERAGE(OFFSET($H$3,0,0,'Données projet'!$E$9+1,1))</f>
        <v>469.15492079216403</v>
      </c>
      <c r="T25" s="60">
        <f t="shared" si="34"/>
        <v>250.47702091764884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44.815680000000008</v>
      </c>
      <c r="AK25" s="14">
        <f t="shared" si="35"/>
        <v>13.266476878569183</v>
      </c>
      <c r="AL25" s="22">
        <f t="shared" si="4"/>
        <v>101.159756563508</v>
      </c>
      <c r="AM25" s="60">
        <f t="shared" si="5"/>
        <v>322.34067046697641</v>
      </c>
      <c r="AN25" s="60">
        <f ca="1">AVERAGE(OFFSET($AM$3,0,0,'Données projet'!$E$10+1,1))-AVERAGE(OFFSET($H$3,0,0,'Données projet'!$E$10+1,1))</f>
        <v>442.49274132121275</v>
      </c>
      <c r="AO25" s="60">
        <f t="shared" si="36"/>
        <v>237.37463556402756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8.1999999999999993</v>
      </c>
      <c r="BD25" s="13">
        <f>IF('Données projet'!$A$88&gt;35,BD24+BC25-BL24,IF(A25&lt;'Données projet'!$A$88,$BA$205^A25,IF(A25='Données projet'!$A$88,'Données projet'!$B$88,BD24+BC25-BL24)))</f>
        <v>91.40000000000002</v>
      </c>
      <c r="BE25" s="14">
        <f>BD25*VLOOKUP('Données projet'!$B$11,Paramètres!$A$1:$I$89,3,0)*VLOOKUP('Données projet'!$B$11,Paramètres!$A$1:$I$89,5,0)</f>
        <v>59.885280000000009</v>
      </c>
      <c r="BF25" s="14">
        <f t="shared" si="37"/>
        <v>17.139260967250106</v>
      </c>
      <c r="BG25" s="22">
        <f t="shared" si="7"/>
        <v>134.15107551796063</v>
      </c>
      <c r="BH25" s="60">
        <f t="shared" si="8"/>
        <v>355.33198942142906</v>
      </c>
      <c r="BI25" s="60">
        <f ca="1">AVERAGE(OFFSET($BH$3,0,0,'Données projet'!$E$11+1,1))-AVERAGE(OFFSET($H$3,0,0,'Données projet'!$E$11+1,1))</f>
        <v>267.90768140488603</v>
      </c>
      <c r="BJ25" s="60">
        <f t="shared" si="38"/>
        <v>280.25465074992258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</v>
      </c>
      <c r="BY25" s="13">
        <f>IF('Données projet'!$A$114&gt;35,BY24+BX25-CG24,IF(A25&lt;'Données projet'!$A$114,$BV$205^A25,IF(A25='Données projet'!$A$114,'Données projet'!$B$114,BY24+BX25-CG24)))</f>
        <v>65.599999999999994</v>
      </c>
      <c r="BZ25" s="14">
        <f>BY25*VLOOKUP('Données projet'!$B$12,Paramètres!$A$1:$I$89,3,0)*VLOOKUP('Données projet'!$B$12,Paramètres!$A$1:$I$89,5,0)</f>
        <v>53.214719999999993</v>
      </c>
      <c r="CA25" s="14">
        <f t="shared" si="39"/>
        <v>15.440940408182183</v>
      </c>
      <c r="CB25" s="22">
        <f t="shared" si="10"/>
        <v>119.57527521091727</v>
      </c>
      <c r="CC25" s="60">
        <f t="shared" si="11"/>
        <v>340.75618911438568</v>
      </c>
      <c r="CD25" s="60">
        <f ca="1">AVERAGE(OFFSET($CC$3,0,0,'Données projet'!$E$12+1,1))-AVERAGE(OFFSET($H$3,0,0,'Données projet'!$E$12+1,1))</f>
        <v>308.6594206517259</v>
      </c>
      <c r="CE25" s="60">
        <f t="shared" si="40"/>
        <v>258.90832875500325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7.9487179487179507</v>
      </c>
      <c r="CT25" s="13">
        <f>IF('Données projet'!$A$140&gt;35,CT24+CS25-DB24,IF(A25&lt;'Données projet'!$A$140,$CQ$205^A25,IF(A25='Données projet'!$A$140,'Données projet'!$B$140,CT24+CS25-DB24)))</f>
        <v>60.128205128205117</v>
      </c>
      <c r="CU25" s="18">
        <f>CT25*VLOOKUP('Données projet'!$B$13,Paramètres!$A$1:$I$89,3,0)*VLOOKUP('Données projet'!$B$13,Paramètres!$A$1:$I$89,5,0)</f>
        <v>57.217999999999989</v>
      </c>
      <c r="CV25" s="14">
        <f t="shared" si="41"/>
        <v>16.462960458406368</v>
      </c>
      <c r="CW25" s="22">
        <f t="shared" si="13"/>
        <v>128.32767279839106</v>
      </c>
      <c r="CX25" s="60">
        <f t="shared" si="14"/>
        <v>349.50858670185949</v>
      </c>
      <c r="CY25" s="60">
        <f ca="1">AVERAGE(OFFSET($CX$3,0,0,'Données projet'!$E$13+1,1))-AVERAGE(OFFSET($H$3,0,0,'Données projet'!$E$13+1,1))</f>
        <v>397.63792993520934</v>
      </c>
      <c r="CZ25" s="60">
        <f t="shared" si="42"/>
        <v>300.63705521148802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10.512820512820513</v>
      </c>
      <c r="DO25" s="13">
        <f>IF('Données projet'!$A$166&gt;35,DO24+DN25-DW24,IF(A25&lt;'Données projet'!$A$166,$DL$205^A25,IF(A25='Données projet'!$A$166,'Données projet'!$B$166,DO24+DN25-DW24)))</f>
        <v>77.435897435897417</v>
      </c>
      <c r="DP25" s="18">
        <f>DO25*VLOOKUP('Données projet'!$B$14,Paramètres!$A$1:$I$89,3,0)*VLOOKUP('Données projet'!$B$14,Paramètres!$A$1:$I$89,5,0)</f>
        <v>51.943999999999988</v>
      </c>
      <c r="DQ25" s="14">
        <f t="shared" si="43"/>
        <v>15.114686208674053</v>
      </c>
      <c r="DR25" s="22">
        <f t="shared" si="16"/>
        <v>116.7938784801073</v>
      </c>
      <c r="DS25" s="60">
        <f t="shared" si="17"/>
        <v>337.97479238357568</v>
      </c>
      <c r="DT25" s="60">
        <f ca="1">AVERAGE(OFFSET($DS$3,0,0,'Données projet'!$E$14+1,1))-AVERAGE(OFFSET($H$3,0,0,'Données projet'!$E$14+1,1))</f>
        <v>343.94240546037798</v>
      </c>
      <c r="DU25" s="60">
        <f t="shared" si="44"/>
        <v>277.30931495079346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3.56</v>
      </c>
      <c r="EJ25" s="13">
        <f>IF('Données projet'!$A$192&gt;35,EJ24+EI25-ER24,IF(A25&lt;'Données projet'!$A$192,$EG$205^A25,IF(A25='Données projet'!$A$192,'Données projet'!$B$192,EJ24+EI25-ER24)))</f>
        <v>51.935367113427411</v>
      </c>
      <c r="EK25" s="18">
        <f>EJ25*VLOOKUP('Données projet'!$B$15,Paramètres!$A$1:$I$89,3,0)*VLOOKUP('Données projet'!$B$15,Paramètres!$A$1:$I$89,5,0)</f>
        <v>40.509586348473384</v>
      </c>
      <c r="EL25" s="14">
        <f t="shared" si="45"/>
        <v>12.133613151721432</v>
      </c>
      <c r="EM25" s="22">
        <f t="shared" si="19"/>
        <v>91.686905796172638</v>
      </c>
      <c r="EN25" s="60">
        <f t="shared" si="20"/>
        <v>312.86781969964102</v>
      </c>
      <c r="EO25" s="60">
        <f ca="1">AVERAGE(OFFSET($EN$3,0,0,'Données projet'!$E$15+1,1))-AVERAGE(OFFSET($H$3,0,0,'Données projet'!$E$15+1,1))</f>
        <v>308.76306523144956</v>
      </c>
      <c r="EP25" s="60">
        <f t="shared" si="46"/>
        <v>283.28099819802776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</v>
      </c>
      <c r="FE25" s="13">
        <f>IF('Données projet'!$A$218&gt;35,FE24+FD25-FM24,IF(A25&lt;'Données projet'!$A$218,$FB$205^A25,IF(A25='Données projet'!$A$218,'Données projet'!$B$218,FE24+FD25-FM24)))</f>
        <v>56</v>
      </c>
      <c r="FF25" s="18">
        <f>FE25*VLOOKUP('Données projet'!$B$16,Paramètres!$A$1:$I$89,3,0)*VLOOKUP('Données projet'!$B$16,Paramètres!$A$1:$I$89,5,0)</f>
        <v>48.921600000000005</v>
      </c>
      <c r="FG25" s="14">
        <f t="shared" si="47"/>
        <v>14.334905731333867</v>
      </c>
      <c r="FH25" s="22">
        <f t="shared" si="22"/>
        <v>110.17174748207316</v>
      </c>
      <c r="FI25" s="60">
        <f t="shared" si="23"/>
        <v>331.35266138554152</v>
      </c>
      <c r="FJ25" s="60">
        <f ca="1">AVERAGE(OFFSET($FI$3,0,0,'Données projet'!$E$16+1,1))-AVERAGE(OFFSET($H$3,0,0,'Données projet'!$E$16+1,1))</f>
        <v>296.01124173332352</v>
      </c>
      <c r="FK25" s="60">
        <f t="shared" si="48"/>
        <v>315.50730924873733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50.199999999999996</v>
      </c>
      <c r="GA25" s="18">
        <f>FZ25*VLOOKUP('Données projet'!$B$17,Paramètres!$A$1:$I$89,3,0)*VLOOKUP('Données projet'!$B$17,Paramètres!$A$1:$I$89,5,0)</f>
        <v>48.553440000000002</v>
      </c>
      <c r="GB25" s="14">
        <f t="shared" si="49"/>
        <v>14.239543324251954</v>
      </c>
      <c r="GC25" s="22">
        <f t="shared" si="25"/>
        <v>109.36444595640548</v>
      </c>
      <c r="GD25" s="60">
        <f t="shared" si="26"/>
        <v>330.54535985987388</v>
      </c>
      <c r="GE25" s="60">
        <f ca="1">AVERAGE(OFFSET($GD$3,0,0,'Données projet'!$E$17+1,1))-AVERAGE(OFFSET($H$3,0,0,'Données projet'!$E$17+1,1))</f>
        <v>391.18744390931187</v>
      </c>
      <c r="GF25" s="60">
        <f t="shared" si="50"/>
        <v>261.46982358454386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0.21662376529981217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0.21662376529981217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343.03316299510493</v>
      </c>
      <c r="S26" s="60">
        <f ca="1">AVERAGE(OFFSET($R$3,0,0,'Données projet'!$E$9+1,1))-AVERAGE(OFFSET($H$3,0,0,'Données projet'!$E$9+1,1))</f>
        <v>469.15492079216403</v>
      </c>
      <c r="T26" s="60">
        <f t="shared" si="34"/>
        <v>250.47702091764884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49.533120000000011</v>
      </c>
      <c r="AK26" s="14">
        <f t="shared" si="35"/>
        <v>14.493120113047395</v>
      </c>
      <c r="AL26" s="22">
        <f t="shared" si="4"/>
        <v>111.5123681968909</v>
      </c>
      <c r="AM26" s="60">
        <f t="shared" si="5"/>
        <v>334.99756490643739</v>
      </c>
      <c r="AN26" s="60">
        <f ca="1">AVERAGE(OFFSET($AM$3,0,0,'Données projet'!$E$10+1,1))-AVERAGE(OFFSET($H$3,0,0,'Données projet'!$E$10+1,1))</f>
        <v>442.49274132121275</v>
      </c>
      <c r="AO26" s="60">
        <f t="shared" si="36"/>
        <v>237.37463556402756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8.1999999999999993</v>
      </c>
      <c r="BD26" s="13">
        <f>IF('Données projet'!$A$88&gt;35,BD25+BC26-BL25,IF(A26&lt;'Données projet'!$A$88,$BA$205^A26,IF(A26='Données projet'!$A$88,'Données projet'!$B$88,BD25+BC26-BL25)))</f>
        <v>99.600000000000023</v>
      </c>
      <c r="BE26" s="14">
        <f>BD26*VLOOKUP('Données projet'!$B$11,Paramètres!$A$1:$I$89,3,0)*VLOOKUP('Données projet'!$B$11,Paramètres!$A$1:$I$89,5,0)</f>
        <v>65.257920000000013</v>
      </c>
      <c r="BF26" s="14">
        <f t="shared" si="37"/>
        <v>18.491067519086762</v>
      </c>
      <c r="BG26" s="22">
        <f t="shared" si="7"/>
        <v>145.8628199290761</v>
      </c>
      <c r="BH26" s="60">
        <f t="shared" si="8"/>
        <v>369.3480166386226</v>
      </c>
      <c r="BI26" s="60">
        <f ca="1">AVERAGE(OFFSET($BH$3,0,0,'Données projet'!$E$11+1,1))-AVERAGE(OFFSET($H$3,0,0,'Données projet'!$E$11+1,1))</f>
        <v>267.90768140488603</v>
      </c>
      <c r="BJ26" s="60">
        <f t="shared" si="38"/>
        <v>280.25465074992258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</v>
      </c>
      <c r="BY26" s="13">
        <f>IF('Données projet'!$A$114&gt;35,BY25+BX26-CG25,IF(A26&lt;'Données projet'!$A$114,$BV$205^A26,IF(A26='Données projet'!$A$114,'Données projet'!$B$114,BY25+BX26-CG25)))</f>
        <v>71.399999999999991</v>
      </c>
      <c r="BZ26" s="14">
        <f>BY26*VLOOKUP('Données projet'!$B$12,Paramètres!$A$1:$I$89,3,0)*VLOOKUP('Données projet'!$B$12,Paramètres!$A$1:$I$89,5,0)</f>
        <v>57.91968</v>
      </c>
      <c r="CA26" s="14">
        <f t="shared" si="39"/>
        <v>16.641223534705848</v>
      </c>
      <c r="CB26" s="22">
        <f t="shared" si="10"/>
        <v>129.860240322946</v>
      </c>
      <c r="CC26" s="60">
        <f t="shared" si="11"/>
        <v>353.3454370324925</v>
      </c>
      <c r="CD26" s="60">
        <f ca="1">AVERAGE(OFFSET($CC$3,0,0,'Données projet'!$E$12+1,1))-AVERAGE(OFFSET($H$3,0,0,'Données projet'!$E$12+1,1))</f>
        <v>308.6594206517259</v>
      </c>
      <c r="CE26" s="60">
        <f t="shared" si="40"/>
        <v>258.90832875500325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7.9487179487179507</v>
      </c>
      <c r="CT26" s="13">
        <f>IF('Données projet'!$A$140&gt;35,CT25+CS26-DB25,IF(A26&lt;'Données projet'!$A$140,$CQ$205^A26,IF(A26='Données projet'!$A$140,'Données projet'!$B$140,CT25+CS26-DB25)))</f>
        <v>68.076923076923066</v>
      </c>
      <c r="CU26" s="18">
        <f>CT26*VLOOKUP('Données projet'!$B$13,Paramètres!$A$1:$I$89,3,0)*VLOOKUP('Données projet'!$B$13,Paramètres!$A$1:$I$89,5,0)</f>
        <v>64.781999999999996</v>
      </c>
      <c r="CV26" s="14">
        <f t="shared" si="41"/>
        <v>18.371860118393808</v>
      </c>
      <c r="CW26" s="22">
        <f t="shared" si="13"/>
        <v>144.8263063728692</v>
      </c>
      <c r="CX26" s="60">
        <f t="shared" si="14"/>
        <v>368.3115030824157</v>
      </c>
      <c r="CY26" s="60">
        <f ca="1">AVERAGE(OFFSET($CX$3,0,0,'Données projet'!$E$13+1,1))-AVERAGE(OFFSET($H$3,0,0,'Données projet'!$E$13+1,1))</f>
        <v>397.63792993520934</v>
      </c>
      <c r="CZ26" s="60">
        <f t="shared" si="42"/>
        <v>300.63705521148802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10.512820512820513</v>
      </c>
      <c r="DO26" s="13">
        <f>IF('Données projet'!$A$166&gt;35,DO25+DN26-DW25,IF(A26&lt;'Données projet'!$A$166,$DL$205^A26,IF(A26='Données projet'!$A$166,'Données projet'!$B$166,DO25+DN26-DW25)))</f>
        <v>87.948717948717928</v>
      </c>
      <c r="DP26" s="18">
        <f>DO26*VLOOKUP('Données projet'!$B$14,Paramètres!$A$1:$I$89,3,0)*VLOOKUP('Données projet'!$B$14,Paramètres!$A$1:$I$89,5,0)</f>
        <v>58.995999999999988</v>
      </c>
      <c r="DQ26" s="14">
        <f t="shared" si="43"/>
        <v>16.914177546505581</v>
      </c>
      <c r="DR26" s="22">
        <f t="shared" si="16"/>
        <v>132.21022589349721</v>
      </c>
      <c r="DS26" s="60">
        <f t="shared" si="17"/>
        <v>355.69542260304371</v>
      </c>
      <c r="DT26" s="60">
        <f ca="1">AVERAGE(OFFSET($DS$3,0,0,'Données projet'!$E$14+1,1))-AVERAGE(OFFSET($H$3,0,0,'Données projet'!$E$14+1,1))</f>
        <v>343.94240546037798</v>
      </c>
      <c r="DU26" s="60">
        <f t="shared" si="44"/>
        <v>277.30931495079346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3.56</v>
      </c>
      <c r="EJ26" s="13">
        <f>IF('Données projet'!$A$192&gt;35,EJ25+EI26-ER25,IF(A26&lt;'Données projet'!$A$192,$EG$205^A26,IF(A26='Données projet'!$A$192,'Données projet'!$B$192,EJ25+EI26-ER25)))</f>
        <v>62.149667013426139</v>
      </c>
      <c r="EK26" s="18">
        <f>EJ26*VLOOKUP('Données projet'!$B$15,Paramètres!$A$1:$I$89,3,0)*VLOOKUP('Données projet'!$B$15,Paramètres!$A$1:$I$89,5,0)</f>
        <v>48.476740270472391</v>
      </c>
      <c r="EL26" s="14">
        <f t="shared" si="45"/>
        <v>14.219665651067873</v>
      </c>
      <c r="EM26" s="22">
        <f t="shared" si="19"/>
        <v>109.19624031334928</v>
      </c>
      <c r="EN26" s="60">
        <f t="shared" si="20"/>
        <v>332.68143702289581</v>
      </c>
      <c r="EO26" s="60">
        <f ca="1">AVERAGE(OFFSET($EN$3,0,0,'Données projet'!$E$15+1,1))-AVERAGE(OFFSET($H$3,0,0,'Données projet'!$E$15+1,1))</f>
        <v>308.76306523144956</v>
      </c>
      <c r="EP26" s="60">
        <f t="shared" si="46"/>
        <v>283.28099819802776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</v>
      </c>
      <c r="FE26" s="13">
        <f>IF('Données projet'!$A$218&gt;35,FE25+FD26-FM25,IF(A26&lt;'Données projet'!$A$218,$FB$205^A26,IF(A26='Données projet'!$A$218,'Données projet'!$B$218,FE25+FD26-FM25)))</f>
        <v>66</v>
      </c>
      <c r="FF26" s="18">
        <f>FE26*VLOOKUP('Données projet'!$B$16,Paramètres!$A$1:$I$89,3,0)*VLOOKUP('Données projet'!$B$16,Paramètres!$A$1:$I$89,5,0)</f>
        <v>57.657600000000002</v>
      </c>
      <c r="FG26" s="14">
        <f t="shared" si="47"/>
        <v>16.574671209026025</v>
      </c>
      <c r="FH26" s="22">
        <f t="shared" si="22"/>
        <v>129.28787235572034</v>
      </c>
      <c r="FI26" s="60">
        <f t="shared" si="23"/>
        <v>352.77306906526684</v>
      </c>
      <c r="FJ26" s="60">
        <f ca="1">AVERAGE(OFFSET($FI$3,0,0,'Données projet'!$E$16+1,1))-AVERAGE(OFFSET($H$3,0,0,'Données projet'!$E$16+1,1))</f>
        <v>296.01124173332352</v>
      </c>
      <c r="FK26" s="60">
        <f t="shared" si="48"/>
        <v>315.50730924873733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55.8</v>
      </c>
      <c r="GA26" s="18">
        <f>FZ26*VLOOKUP('Données projet'!$B$17,Paramètres!$A$1:$I$89,3,0)*VLOOKUP('Données projet'!$B$17,Paramètres!$A$1:$I$89,5,0)</f>
        <v>53.969759999999994</v>
      </c>
      <c r="GB26" s="14">
        <f t="shared" si="49"/>
        <v>15.634364575776651</v>
      </c>
      <c r="GC26" s="22">
        <f t="shared" si="25"/>
        <v>121.22718363614432</v>
      </c>
      <c r="GD26" s="60">
        <f t="shared" si="26"/>
        <v>344.7123803456908</v>
      </c>
      <c r="GE26" s="60">
        <f ca="1">AVERAGE(OFFSET($GD$3,0,0,'Données projet'!$E$17+1,1))-AVERAGE(OFFSET($H$3,0,0,'Données projet'!$E$17+1,1))</f>
        <v>391.18744390931187</v>
      </c>
      <c r="GF26" s="60">
        <f t="shared" si="50"/>
        <v>261.46982358454386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0.2107001770459401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0.2107001770459401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356.39401090659169</v>
      </c>
      <c r="S27" s="60">
        <f ca="1">AVERAGE(OFFSET($R$3,0,0,'Données projet'!$E$9+1,1))-AVERAGE(OFFSET($H$3,0,0,'Données projet'!$E$9+1,1))</f>
        <v>469.15492079216403</v>
      </c>
      <c r="T27" s="60">
        <f t="shared" si="34"/>
        <v>250.47702091764884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54.250560000000007</v>
      </c>
      <c r="AK27" s="14">
        <f t="shared" si="35"/>
        <v>15.706218631166928</v>
      </c>
      <c r="AL27" s="22">
        <f t="shared" si="4"/>
        <v>121.84138944928242</v>
      </c>
      <c r="AM27" s="60">
        <f t="shared" si="5"/>
        <v>347.61209763290219</v>
      </c>
      <c r="AN27" s="60">
        <f ca="1">AVERAGE(OFFSET($AM$3,0,0,'Données projet'!$E$10+1,1))-AVERAGE(OFFSET($H$3,0,0,'Données projet'!$E$10+1,1))</f>
        <v>442.49274132121275</v>
      </c>
      <c r="AO27" s="60">
        <f t="shared" si="36"/>
        <v>237.37463556402756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8.1999999999999993</v>
      </c>
      <c r="BD27" s="13">
        <f>IF('Données projet'!$A$88&gt;35,BD26+BC27-BL26,IF(A27&lt;'Données projet'!$A$88,$BA$205^A27,IF(A27='Données projet'!$A$88,'Données projet'!$B$88,BD26+BC27-BL26)))</f>
        <v>107.80000000000003</v>
      </c>
      <c r="BE27" s="14">
        <f>BD27*VLOOKUP('Données projet'!$B$11,Paramètres!$A$1:$I$89,3,0)*VLOOKUP('Données projet'!$B$11,Paramètres!$A$1:$I$89,5,0)</f>
        <v>70.630560000000017</v>
      </c>
      <c r="BF27" s="14">
        <f t="shared" si="37"/>
        <v>19.829966022106095</v>
      </c>
      <c r="BG27" s="22">
        <f t="shared" si="7"/>
        <v>157.5520828218348</v>
      </c>
      <c r="BH27" s="60">
        <f t="shared" si="8"/>
        <v>383.32279100545463</v>
      </c>
      <c r="BI27" s="60">
        <f ca="1">AVERAGE(OFFSET($BH$3,0,0,'Données projet'!$E$11+1,1))-AVERAGE(OFFSET($H$3,0,0,'Données projet'!$E$11+1,1))</f>
        <v>267.90768140488603</v>
      </c>
      <c r="BJ27" s="60">
        <f t="shared" si="38"/>
        <v>280.25465074992258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</v>
      </c>
      <c r="BY27" s="13">
        <f>IF('Données projet'!$A$114&gt;35,BY26+BX27-CG26,IF(A27&lt;'Données projet'!$A$114,$BV$205^A27,IF(A27='Données projet'!$A$114,'Données projet'!$B$114,BY26+BX27-CG26)))</f>
        <v>77.199999999999989</v>
      </c>
      <c r="BZ27" s="14">
        <f>BY27*VLOOKUP('Données projet'!$B$12,Paramètres!$A$1:$I$89,3,0)*VLOOKUP('Données projet'!$B$12,Paramètres!$A$1:$I$89,5,0)</f>
        <v>62.624639999999999</v>
      </c>
      <c r="CA27" s="14">
        <f t="shared" si="39"/>
        <v>17.830197796836153</v>
      </c>
      <c r="CB27" s="22">
        <f t="shared" si="10"/>
        <v>140.12550916282296</v>
      </c>
      <c r="CC27" s="60">
        <f t="shared" si="11"/>
        <v>365.89621734644277</v>
      </c>
      <c r="CD27" s="60">
        <f ca="1">AVERAGE(OFFSET($CC$3,0,0,'Données projet'!$E$12+1,1))-AVERAGE(OFFSET($H$3,0,0,'Données projet'!$E$12+1,1))</f>
        <v>308.6594206517259</v>
      </c>
      <c r="CE27" s="60">
        <f t="shared" si="40"/>
        <v>258.90832875500325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7.9487179487179507</v>
      </c>
      <c r="CT27" s="13">
        <f>IF('Données projet'!$A$140&gt;35,CT26+CS27-DB26,IF(A27&lt;'Données projet'!$A$140,$CQ$205^A27,IF(A27='Données projet'!$A$140,'Données projet'!$B$140,CT26+CS27-DB26)))</f>
        <v>76.025641025641022</v>
      </c>
      <c r="CU27" s="18">
        <f>CT27*VLOOKUP('Données projet'!$B$13,Paramètres!$A$1:$I$89,3,0)*VLOOKUP('Données projet'!$B$13,Paramètres!$A$1:$I$89,5,0)</f>
        <v>72.346000000000004</v>
      </c>
      <c r="CV27" s="14">
        <f t="shared" si="41"/>
        <v>20.254929612324752</v>
      </c>
      <c r="CW27" s="22">
        <f t="shared" si="13"/>
        <v>161.27995240813229</v>
      </c>
      <c r="CX27" s="60">
        <f t="shared" si="14"/>
        <v>387.05066059175209</v>
      </c>
      <c r="CY27" s="60">
        <f ca="1">AVERAGE(OFFSET($CX$3,0,0,'Données projet'!$E$13+1,1))-AVERAGE(OFFSET($H$3,0,0,'Données projet'!$E$13+1,1))</f>
        <v>397.63792993520934</v>
      </c>
      <c r="CZ27" s="60">
        <f t="shared" si="42"/>
        <v>300.63705521148802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10.512820512820513</v>
      </c>
      <c r="DO27" s="13">
        <f>IF('Données projet'!$A$166&gt;35,DO26+DN27-DW26,IF(A27&lt;'Données projet'!$A$166,$DL$205^A27,IF(A27='Données projet'!$A$166,'Données projet'!$B$166,DO26+DN27-DW26)))</f>
        <v>98.461538461538439</v>
      </c>
      <c r="DP27" s="18">
        <f>DO27*VLOOKUP('Données projet'!$B$14,Paramètres!$A$1:$I$89,3,0)*VLOOKUP('Données projet'!$B$14,Paramètres!$A$1:$I$89,5,0)</f>
        <v>66.047999999999988</v>
      </c>
      <c r="DQ27" s="14">
        <f t="shared" si="43"/>
        <v>18.688742078294052</v>
      </c>
      <c r="DR27" s="22">
        <f t="shared" si="16"/>
        <v>147.58315911969544</v>
      </c>
      <c r="DS27" s="60">
        <f t="shared" si="17"/>
        <v>373.35386730331527</v>
      </c>
      <c r="DT27" s="60">
        <f ca="1">AVERAGE(OFFSET($DS$3,0,0,'Données projet'!$E$14+1,1))-AVERAGE(OFFSET($H$3,0,0,'Données projet'!$E$14+1,1))</f>
        <v>343.94240546037798</v>
      </c>
      <c r="DU27" s="60">
        <f t="shared" si="44"/>
        <v>277.30931495079346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3.56</v>
      </c>
      <c r="EJ27" s="13">
        <f>IF('Données projet'!$A$192&gt;35,EJ26+EI27-ER26,IF(A27&lt;'Données projet'!$A$192,$EG$205^A27,IF(A27='Données projet'!$A$192,'Données projet'!$B$192,EJ26+EI27-ER26)))</f>
        <v>74.372846955020648</v>
      </c>
      <c r="EK27" s="18">
        <f>EJ27*VLOOKUP('Données projet'!$B$15,Paramètres!$A$1:$I$89,3,0)*VLOOKUP('Données projet'!$B$15,Paramètres!$A$1:$I$89,5,0)</f>
        <v>58.010820624916107</v>
      </c>
      <c r="EL27" s="14">
        <f t="shared" si="45"/>
        <v>16.664359469831368</v>
      </c>
      <c r="EM27" s="22">
        <f t="shared" si="19"/>
        <v>130.05927199835185</v>
      </c>
      <c r="EN27" s="60">
        <f t="shared" si="20"/>
        <v>355.82998018197168</v>
      </c>
      <c r="EO27" s="60">
        <f ca="1">AVERAGE(OFFSET($EN$3,0,0,'Données projet'!$E$15+1,1))-AVERAGE(OFFSET($H$3,0,0,'Données projet'!$E$15+1,1))</f>
        <v>308.76306523144956</v>
      </c>
      <c r="EP27" s="60">
        <f t="shared" si="46"/>
        <v>283.28099819802776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</v>
      </c>
      <c r="FE27" s="13">
        <f>IF('Données projet'!$A$218&gt;35,FE26+FD27-FM26,IF(A27&lt;'Données projet'!$A$218,$FB$205^A27,IF(A27='Données projet'!$A$218,'Données projet'!$B$218,FE26+FD27-FM26)))</f>
        <v>76</v>
      </c>
      <c r="FF27" s="18">
        <f>FE27*VLOOKUP('Données projet'!$B$16,Paramètres!$A$1:$I$89,3,0)*VLOOKUP('Données projet'!$B$16,Paramètres!$A$1:$I$89,5,0)</f>
        <v>66.393600000000006</v>
      </c>
      <c r="FG27" s="14">
        <f t="shared" si="47"/>
        <v>18.775122997078544</v>
      </c>
      <c r="FH27" s="22">
        <f t="shared" si="22"/>
        <v>148.33552588657844</v>
      </c>
      <c r="FI27" s="60">
        <f t="shared" si="23"/>
        <v>374.10623407019824</v>
      </c>
      <c r="FJ27" s="60">
        <f ca="1">AVERAGE(OFFSET($FI$3,0,0,'Données projet'!$E$16+1,1))-AVERAGE(OFFSET($H$3,0,0,'Données projet'!$E$16+1,1))</f>
        <v>296.01124173332352</v>
      </c>
      <c r="FK27" s="60">
        <f t="shared" si="48"/>
        <v>315.50730924873733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61.4</v>
      </c>
      <c r="GA27" s="18">
        <f>FZ27*VLOOKUP('Données projet'!$B$17,Paramètres!$A$1:$I$89,3,0)*VLOOKUP('Données projet'!$B$17,Paramètres!$A$1:$I$89,5,0)</f>
        <v>59.38608</v>
      </c>
      <c r="GB27" s="14">
        <f t="shared" si="49"/>
        <v>17.012957988058726</v>
      </c>
      <c r="GC27" s="22">
        <f t="shared" si="25"/>
        <v>133.06165782920229</v>
      </c>
      <c r="GD27" s="60">
        <f t="shared" si="26"/>
        <v>358.83236601282209</v>
      </c>
      <c r="GE27" s="60">
        <f ca="1">AVERAGE(OFFSET($GD$3,0,0,'Données projet'!$E$17+1,1))-AVERAGE(OFFSET($H$3,0,0,'Données projet'!$E$17+1,1))</f>
        <v>391.18744390931187</v>
      </c>
      <c r="GF27" s="60">
        <f t="shared" si="50"/>
        <v>261.46982358454386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0.20493856962437812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0.20493856962437812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369.71371867296341</v>
      </c>
      <c r="S28" s="60">
        <f ca="1">AVERAGE(OFFSET($R$3,0,0,'Données projet'!$E$9+1,1))-AVERAGE(OFFSET($H$3,0,0,'Données projet'!$E$9+1,1))</f>
        <v>469.15492079216403</v>
      </c>
      <c r="T28" s="60">
        <f t="shared" si="34"/>
        <v>250.47702091764884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58.968000000000011</v>
      </c>
      <c r="AK28" s="14">
        <f t="shared" si="35"/>
        <v>16.907084152971134</v>
      </c>
      <c r="AL28" s="22">
        <f t="shared" si="4"/>
        <v>132.14910489975807</v>
      </c>
      <c r="AM28" s="60">
        <f t="shared" si="5"/>
        <v>360.18687886609018</v>
      </c>
      <c r="AN28" s="60">
        <f ca="1">AVERAGE(OFFSET($AM$3,0,0,'Données projet'!$E$10+1,1))-AVERAGE(OFFSET($H$3,0,0,'Données projet'!$E$10+1,1))</f>
        <v>442.49274132121275</v>
      </c>
      <c r="AO28" s="60">
        <f t="shared" si="36"/>
        <v>237.37463556402756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116</v>
      </c>
      <c r="BB28" s="13">
        <f>VLOOKUP(A28,'Données projet'!$A$87:$I$107,9,0)</f>
        <v>8.1999999999999993</v>
      </c>
      <c r="BC28" s="13">
        <f t="array" ref="BC28">INDEX(BB:BB,MIN(IF(ISNUMBER(BB28:BB224),ROW(BB28:BB224),"")))</f>
        <v>8.1999999999999993</v>
      </c>
      <c r="BD28" s="13">
        <f>IF('Données projet'!$A$88&gt;35,BD27+BC28-BL27,IF(A28&lt;'Données projet'!$A$88,$BA$205^A28,IF(A28='Données projet'!$A$88,'Données projet'!$B$88,BD27+BC28-BL27)))</f>
        <v>116.00000000000003</v>
      </c>
      <c r="BE28" s="14">
        <f>BD28*VLOOKUP('Données projet'!$B$11,Paramètres!$A$1:$I$89,3,0)*VLOOKUP('Données projet'!$B$11,Paramètres!$A$1:$I$89,5,0)</f>
        <v>76.003200000000021</v>
      </c>
      <c r="BF28" s="14">
        <f t="shared" si="37"/>
        <v>21.157049992000456</v>
      </c>
      <c r="BG28" s="22">
        <f t="shared" si="7"/>
        <v>169.2207687360675</v>
      </c>
      <c r="BH28" s="60">
        <f t="shared" si="8"/>
        <v>397.25854270239961</v>
      </c>
      <c r="BI28" s="60">
        <f ca="1">AVERAGE(OFFSET($BH$3,0,0,'Données projet'!$E$11+1,1))-AVERAGE(OFFSET($H$3,0,0,'Données projet'!$E$11+1,1))</f>
        <v>267.90768140488603</v>
      </c>
      <c r="BJ28" s="60">
        <f t="shared" si="38"/>
        <v>280.25465074992258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83</v>
      </c>
      <c r="BW28" s="13">
        <f>VLOOKUP(A28,'Données projet'!$A$113:$I$133,9,0)</f>
        <v>5.8</v>
      </c>
      <c r="BX28" s="13">
        <f t="array" ref="BX28">INDEX(BW:BW,MIN(IF(ISNUMBER(BW28:BW224),ROW(BW28:BW224),"")))</f>
        <v>5.8</v>
      </c>
      <c r="BY28" s="13">
        <f>IF('Données projet'!$A$114&gt;35,BY27+BX28-CG27,IF(A28&lt;'Données projet'!$A$114,$BV$205^A28,IF(A28='Données projet'!$A$114,'Données projet'!$B$114,BY27+BX28-CG27)))</f>
        <v>82.999999999999986</v>
      </c>
      <c r="BZ28" s="14">
        <f>BY28*VLOOKUP('Données projet'!$B$12,Paramètres!$A$1:$I$89,3,0)*VLOOKUP('Données projet'!$B$12,Paramètres!$A$1:$I$89,5,0)</f>
        <v>67.329599999999999</v>
      </c>
      <c r="CA28" s="14">
        <f t="shared" si="39"/>
        <v>19.008809433660961</v>
      </c>
      <c r="CB28" s="22">
        <f t="shared" si="10"/>
        <v>150.37272976362615</v>
      </c>
      <c r="CC28" s="60">
        <f t="shared" si="11"/>
        <v>378.41050372995824</v>
      </c>
      <c r="CD28" s="60">
        <f ca="1">AVERAGE(OFFSET($CC$3,0,0,'Données projet'!$E$12+1,1))-AVERAGE(OFFSET($H$3,0,0,'Données projet'!$E$12+1,1))</f>
        <v>308.6594206517259</v>
      </c>
      <c r="CE28" s="60">
        <f t="shared" si="40"/>
        <v>258.90832875500325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83.974358974358978</v>
      </c>
      <c r="CR28" s="13">
        <f>VLOOKUP(A28,'Données projet'!$A$139:$I$159,9,0)</f>
        <v>7.9487179487179507</v>
      </c>
      <c r="CS28" s="13">
        <f t="array" ref="CS28">INDEX(CR:CR,MIN(IF(ISNUMBER(CR28:CR224),ROW(CR28:CR224),"")))</f>
        <v>7.9487179487179507</v>
      </c>
      <c r="CT28" s="13">
        <f>IF('Données projet'!$A$140&gt;35,CT27+CS28-DB27,IF(A28&lt;'Données projet'!$A$140,$CQ$205^A28,IF(A28='Données projet'!$A$140,'Données projet'!$B$140,CT27+CS28-DB27)))</f>
        <v>83.974358974358978</v>
      </c>
      <c r="CU28" s="18">
        <f>CT28*VLOOKUP('Données projet'!$B$13,Paramètres!$A$1:$I$89,3,0)*VLOOKUP('Données projet'!$B$13,Paramètres!$A$1:$I$89,5,0)</f>
        <v>79.910000000000011</v>
      </c>
      <c r="CV28" s="14">
        <f t="shared" si="41"/>
        <v>22.115177219366689</v>
      </c>
      <c r="CW28" s="22">
        <f t="shared" si="13"/>
        <v>177.69385032373032</v>
      </c>
      <c r="CX28" s="60">
        <f t="shared" si="14"/>
        <v>405.73162429006243</v>
      </c>
      <c r="CY28" s="60">
        <f ca="1">AVERAGE(OFFSET($CX$3,0,0,'Données projet'!$E$13+1,1))-AVERAGE(OFFSET($H$3,0,0,'Données projet'!$E$13+1,1))</f>
        <v>397.63792993520934</v>
      </c>
      <c r="CZ28" s="60">
        <f t="shared" si="42"/>
        <v>300.63705521148802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108.97435897435896</v>
      </c>
      <c r="DM28" s="13">
        <f>VLOOKUP(A28,'Données projet'!$A$165:$I$185,9,0)</f>
        <v>10.512820512820513</v>
      </c>
      <c r="DN28" s="13">
        <f t="array" ref="DN28">INDEX(DM:DM,MIN(IF(ISNUMBER(DM28:DM224),ROW(DM28:DM224),"")))</f>
        <v>10.512820512820513</v>
      </c>
      <c r="DO28" s="13">
        <f>IF('Données projet'!$A$166&gt;35,DO27+DN28-DW27,IF(A28&lt;'Données projet'!$A$166,$DL$205^A28,IF(A28='Données projet'!$A$166,'Données projet'!$B$166,DO27+DN28-DW27)))</f>
        <v>108.97435897435895</v>
      </c>
      <c r="DP28" s="18">
        <f>DO28*VLOOKUP('Données projet'!$B$14,Paramètres!$A$1:$I$89,3,0)*VLOOKUP('Données projet'!$B$14,Paramètres!$A$1:$I$89,5,0)</f>
        <v>73.099999999999994</v>
      </c>
      <c r="DQ28" s="14">
        <f t="shared" si="43"/>
        <v>20.44134457781275</v>
      </c>
      <c r="DR28" s="22">
        <f t="shared" si="16"/>
        <v>162.91784180635719</v>
      </c>
      <c r="DS28" s="60">
        <f t="shared" si="17"/>
        <v>390.95561577268927</v>
      </c>
      <c r="DT28" s="60">
        <f ca="1">AVERAGE(OFFSET($DS$3,0,0,'Données projet'!$E$14+1,1))-AVERAGE(OFFSET($H$3,0,0,'Données projet'!$E$14+1,1))</f>
        <v>343.94240546037798</v>
      </c>
      <c r="DU28" s="60">
        <f t="shared" si="44"/>
        <v>277.30931495079346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89</v>
      </c>
      <c r="EH28" s="13">
        <f>VLOOKUP(A28,'Données projet'!$A$191:$I$211,9,0)</f>
        <v>3.56</v>
      </c>
      <c r="EI28" s="13">
        <f t="array" ref="EI28">INDEX(EH:EH,MIN(IF(ISNUMBER(EH28:EH224),ROW(EH28:EH224),"")))</f>
        <v>3.56</v>
      </c>
      <c r="EJ28" s="13">
        <f>IF('Données projet'!$A$192&gt;35,EJ27+EI28-ER27,IF(A28&lt;'Données projet'!$A$192,$EG$205^A28,IF(A28='Données projet'!$A$192,'Données projet'!$B$192,EJ27+EI28-ER27)))</f>
        <v>89</v>
      </c>
      <c r="EK28" s="18">
        <f>EJ28*VLOOKUP('Données projet'!$B$15,Paramètres!$A$1:$I$89,3,0)*VLOOKUP('Données projet'!$B$15,Paramètres!$A$1:$I$89,5,0)</f>
        <v>69.42</v>
      </c>
      <c r="EL28" s="14">
        <f t="shared" si="45"/>
        <v>19.529353456978352</v>
      </c>
      <c r="EM28" s="22">
        <f t="shared" si="19"/>
        <v>154.92012393757065</v>
      </c>
      <c r="EN28" s="60">
        <f t="shared" si="20"/>
        <v>382.95789790390279</v>
      </c>
      <c r="EO28" s="60">
        <f ca="1">AVERAGE(OFFSET($EN$3,0,0,'Données projet'!$E$15+1,1))-AVERAGE(OFFSET($H$3,0,0,'Données projet'!$E$15+1,1))</f>
        <v>308.76306523144956</v>
      </c>
      <c r="EP28" s="60">
        <f t="shared" si="46"/>
        <v>283.28099819802776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86</v>
      </c>
      <c r="FC28" s="13">
        <f>VLOOKUP(A28,'Données projet'!$A$217:$I$237,9,0)</f>
        <v>10</v>
      </c>
      <c r="FD28" s="13">
        <f t="array" ref="FD28">INDEX(FC:FC,MIN(IF(ISNUMBER(FC28:FC224),ROW(FC28:FC224),"")))</f>
        <v>10</v>
      </c>
      <c r="FE28" s="13">
        <f>IF('Données projet'!$A$218&gt;35,FE27+FD28-FM27,IF(A28&lt;'Données projet'!$A$218,$FB$205^A28,IF(A28='Données projet'!$A$218,'Données projet'!$B$218,FE27+FD28-FM27)))</f>
        <v>86</v>
      </c>
      <c r="FF28" s="18">
        <f>FE28*VLOOKUP('Données projet'!$B$16,Paramètres!$A$1:$I$89,3,0)*VLOOKUP('Données projet'!$B$16,Paramètres!$A$1:$I$89,5,0)</f>
        <v>75.129600000000011</v>
      </c>
      <c r="FG28" s="14">
        <f t="shared" si="47"/>
        <v>20.942027818647581</v>
      </c>
      <c r="FH28" s="22">
        <f t="shared" si="22"/>
        <v>167.32475178414452</v>
      </c>
      <c r="FI28" s="60">
        <f t="shared" si="23"/>
        <v>395.36252575047661</v>
      </c>
      <c r="FJ28" s="60">
        <f ca="1">AVERAGE(OFFSET($FI$3,0,0,'Données projet'!$E$16+1,1))-AVERAGE(OFFSET($H$3,0,0,'Données projet'!$E$16+1,1))</f>
        <v>296.01124173332352</v>
      </c>
      <c r="FK28" s="60">
        <f t="shared" si="48"/>
        <v>315.50730924873733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67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67</v>
      </c>
      <c r="GA28" s="18">
        <f>FZ28*VLOOKUP('Données projet'!$B$17,Paramètres!$A$1:$I$89,3,0)*VLOOKUP('Données projet'!$B$17,Paramètres!$A$1:$I$89,5,0)</f>
        <v>64.802400000000006</v>
      </c>
      <c r="GB28" s="14">
        <f t="shared" si="49"/>
        <v>18.376971951830182</v>
      </c>
      <c r="GC28" s="22">
        <f t="shared" si="25"/>
        <v>144.87073948277092</v>
      </c>
      <c r="GD28" s="60">
        <f t="shared" si="26"/>
        <v>372.908513449103</v>
      </c>
      <c r="GE28" s="60">
        <f ca="1">AVERAGE(OFFSET($GD$3,0,0,'Données projet'!$E$17+1,1))-AVERAGE(OFFSET($H$3,0,0,'Données projet'!$E$17+1,1))</f>
        <v>391.18744390931187</v>
      </c>
      <c r="GF28" s="60">
        <f t="shared" si="50"/>
        <v>261.46982358454386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0.19933451366074853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0.19933451366074853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0">
        <f t="shared" si="0"/>
        <v>369.99054249424239</v>
      </c>
      <c r="S29" s="60">
        <f ca="1">AVERAGE(OFFSET($R$3,0,0,'Données projet'!$E$9+1,1))-AVERAGE(OFFSET($H$3,0,0,'Données projet'!$E$9+1,1))</f>
        <v>469.15492079216403</v>
      </c>
      <c r="T29" s="60">
        <f t="shared" si="34"/>
        <v>250.47702091764884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58.125600000000013</v>
      </c>
      <c r="AK29" s="14">
        <f t="shared" si="35"/>
        <v>16.693490054590175</v>
      </c>
      <c r="AL29" s="22">
        <f t="shared" si="4"/>
        <v>130.30991517841125</v>
      </c>
      <c r="AM29" s="60">
        <f t="shared" si="5"/>
        <v>360.5966292276014</v>
      </c>
      <c r="AN29" s="60">
        <f ca="1">AVERAGE(OFFSET($AM$3,0,0,'Données projet'!$E$10+1,1))-AVERAGE(OFFSET($H$3,0,0,'Données projet'!$E$10+1,1))</f>
        <v>442.49274132121275</v>
      </c>
      <c r="AO29" s="60">
        <f t="shared" si="36"/>
        <v>237.37463556402756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7.8</v>
      </c>
      <c r="BD29" s="13">
        <f>IF('Données projet'!$A$88&gt;35,BD28+BC29-BL28,IF(A29&lt;'Données projet'!$A$88,$BA$205^A29,IF(A29='Données projet'!$A$88,'Données projet'!$B$88,BD28+BC29-BL28)))</f>
        <v>123.80000000000003</v>
      </c>
      <c r="BE29" s="14">
        <f>BD29*VLOOKUP('Données projet'!$B$11,Paramètres!$A$1:$I$89,3,0)*VLOOKUP('Données projet'!$B$11,Paramètres!$A$1:$I$89,5,0)</f>
        <v>81.113760000000013</v>
      </c>
      <c r="BF29" s="14">
        <f t="shared" si="37"/>
        <v>22.409284723370522</v>
      </c>
      <c r="BG29" s="22">
        <f t="shared" si="7"/>
        <v>180.30263622653698</v>
      </c>
      <c r="BH29" s="60">
        <f t="shared" si="8"/>
        <v>410.58935027572716</v>
      </c>
      <c r="BI29" s="60">
        <f ca="1">AVERAGE(OFFSET($BH$3,0,0,'Données projet'!$E$11+1,1))-AVERAGE(OFFSET($H$3,0,0,'Données projet'!$E$11+1,1))</f>
        <v>267.90768140488603</v>
      </c>
      <c r="BJ29" s="60">
        <f t="shared" si="38"/>
        <v>280.25465074992258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</v>
      </c>
      <c r="BY29" s="13">
        <f>IF('Données projet'!$A$114&gt;35,BY28+BX29-CG28,IF(A29&lt;'Données projet'!$A$114,$BV$205^A29,IF(A29='Données projet'!$A$114,'Données projet'!$B$114,BY28+BX29-CG28)))</f>
        <v>88.999999999999986</v>
      </c>
      <c r="BZ29" s="14">
        <f>BY29*VLOOKUP('Données projet'!$B$12,Paramètres!$A$1:$I$89,3,0)*VLOOKUP('Données projet'!$B$12,Paramètres!$A$1:$I$89,5,0)</f>
        <v>72.196799999999996</v>
      </c>
      <c r="CA29" s="14">
        <f t="shared" si="39"/>
        <v>20.218015459285905</v>
      </c>
      <c r="CB29" s="22">
        <f t="shared" si="10"/>
        <v>160.95580359158961</v>
      </c>
      <c r="CC29" s="60">
        <f t="shared" si="11"/>
        <v>391.24251764077979</v>
      </c>
      <c r="CD29" s="60">
        <f ca="1">AVERAGE(OFFSET($CC$3,0,0,'Données projet'!$E$12+1,1))-AVERAGE(OFFSET($H$3,0,0,'Données projet'!$E$12+1,1))</f>
        <v>308.6594206517259</v>
      </c>
      <c r="CE29" s="60">
        <f t="shared" si="40"/>
        <v>258.90832875500325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6.5384615384615357</v>
      </c>
      <c r="CT29" s="13">
        <f>IF('Données projet'!$A$140&gt;35,CT28+CS29-DB28,IF(A29&lt;'Données projet'!$A$140,$CQ$205^A29,IF(A29='Données projet'!$A$140,'Données projet'!$B$140,CT28+CS29-DB28)))</f>
        <v>90.512820512820511</v>
      </c>
      <c r="CU29" s="18">
        <f>CT29*VLOOKUP('Données projet'!$B$13,Paramètres!$A$1:$I$89,3,0)*VLOOKUP('Données projet'!$B$13,Paramètres!$A$1:$I$89,5,0)</f>
        <v>86.132000000000005</v>
      </c>
      <c r="CV29" s="14">
        <f t="shared" si="41"/>
        <v>23.629984954025307</v>
      </c>
      <c r="CW29" s="22">
        <f t="shared" si="13"/>
        <v>191.16879046159409</v>
      </c>
      <c r="CX29" s="60">
        <f t="shared" si="14"/>
        <v>421.45550451078429</v>
      </c>
      <c r="CY29" s="60">
        <f ca="1">AVERAGE(OFFSET($CX$3,0,0,'Données projet'!$E$13+1,1))-AVERAGE(OFFSET($H$3,0,0,'Données projet'!$E$13+1,1))</f>
        <v>397.63792993520934</v>
      </c>
      <c r="CZ29" s="60">
        <f t="shared" si="42"/>
        <v>300.63705521148802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8.0769230769230802</v>
      </c>
      <c r="DO29" s="13">
        <f>IF('Données projet'!$A$166&gt;35,DO28+DN29-DW28,IF(A29&lt;'Données projet'!$A$166,$DL$205^A29,IF(A29='Données projet'!$A$166,'Données projet'!$B$166,DO28+DN29-DW28)))</f>
        <v>117.05128205128203</v>
      </c>
      <c r="DP29" s="18">
        <f>DO29*VLOOKUP('Données projet'!$B$14,Paramètres!$A$1:$I$89,3,0)*VLOOKUP('Données projet'!$B$14,Paramètres!$A$1:$I$89,5,0)</f>
        <v>78.517999999999986</v>
      </c>
      <c r="DQ29" s="14">
        <f t="shared" si="43"/>
        <v>21.774434027551703</v>
      </c>
      <c r="DR29" s="22">
        <f t="shared" si="16"/>
        <v>174.67598926465254</v>
      </c>
      <c r="DS29" s="60">
        <f t="shared" si="17"/>
        <v>404.96270331384272</v>
      </c>
      <c r="DT29" s="60">
        <f ca="1">AVERAGE(OFFSET($DS$3,0,0,'Données projet'!$E$14+1,1))-AVERAGE(OFFSET($H$3,0,0,'Données projet'!$E$14+1,1))</f>
        <v>343.94240546037798</v>
      </c>
      <c r="DU29" s="60">
        <f t="shared" si="44"/>
        <v>277.30931495079346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</v>
      </c>
      <c r="EJ29" s="13">
        <f>IF('Données projet'!$A$192&gt;35,EJ28+EI29-ER28,IF(A29&lt;'Données projet'!$A$192,$EG$205^A29,IF(A29='Données projet'!$A$192,'Données projet'!$B$192,EJ28+EI29-ER28)))</f>
        <v>75.2</v>
      </c>
      <c r="EK29" s="18">
        <f>EJ29*VLOOKUP('Données projet'!$B$15,Paramètres!$A$1:$I$89,3,0)*VLOOKUP('Données projet'!$B$15,Paramètres!$A$1:$I$89,5,0)</f>
        <v>58.656000000000006</v>
      </c>
      <c r="EL29" s="14">
        <f t="shared" si="45"/>
        <v>16.828016909929076</v>
      </c>
      <c r="EM29" s="22">
        <f t="shared" si="19"/>
        <v>131.46799611812648</v>
      </c>
      <c r="EN29" s="60">
        <f t="shared" si="20"/>
        <v>361.75471016731666</v>
      </c>
      <c r="EO29" s="60">
        <f ca="1">AVERAGE(OFFSET($EN$3,0,0,'Données projet'!$E$15+1,1))-AVERAGE(OFFSET($H$3,0,0,'Données projet'!$E$15+1,1))</f>
        <v>308.76306523144956</v>
      </c>
      <c r="EP29" s="60">
        <f t="shared" si="46"/>
        <v>283.28099819802776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9.8000000000000007</v>
      </c>
      <c r="FE29" s="13">
        <f>IF('Données projet'!$A$218&gt;35,FE28+FD29-FM28,IF(A29&lt;'Données projet'!$A$218,$FB$205^A29,IF(A29='Données projet'!$A$218,'Données projet'!$B$218,FE28+FD29-FM28)))</f>
        <v>95.8</v>
      </c>
      <c r="FF29" s="18">
        <f>FE29*VLOOKUP('Données projet'!$B$16,Paramètres!$A$1:$I$89,3,0)*VLOOKUP('Données projet'!$B$16,Paramètres!$A$1:$I$89,5,0)</f>
        <v>83.690880000000007</v>
      </c>
      <c r="FG29" s="14">
        <f t="shared" si="47"/>
        <v>23.037240938104041</v>
      </c>
      <c r="FH29" s="22">
        <f t="shared" si="22"/>
        <v>185.88481063386453</v>
      </c>
      <c r="FI29" s="60">
        <f t="shared" si="23"/>
        <v>416.17152468305471</v>
      </c>
      <c r="FJ29" s="60">
        <f ca="1">AVERAGE(OFFSET($FI$3,0,0,'Données projet'!$E$16+1,1))-AVERAGE(OFFSET($H$3,0,0,'Données projet'!$E$16+1,1))</f>
        <v>296.01124173332352</v>
      </c>
      <c r="FK29" s="60">
        <f t="shared" si="48"/>
        <v>315.50730924873733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5.8</v>
      </c>
      <c r="FZ29" s="13">
        <f>IF('Données projet'!$A$244&gt;35,FZ28+FY29-GH28,IF(A29&lt;'Données projet'!$A$244,$FW$205^A29,IF(A29='Données projet'!$A$244,'Données projet'!$B$244,FZ28+FY29-GH28)))</f>
        <v>72.8</v>
      </c>
      <c r="GA29" s="18">
        <f>FZ29*VLOOKUP('Données projet'!$B$17,Paramètres!$A$1:$I$89,3,0)*VLOOKUP('Données projet'!$B$17,Paramètres!$A$1:$I$89,5,0)</f>
        <v>70.41216</v>
      </c>
      <c r="GB29" s="14">
        <f t="shared" si="49"/>
        <v>19.775776427555098</v>
      </c>
      <c r="GC29" s="22">
        <f t="shared" si="25"/>
        <v>157.07732261132512</v>
      </c>
      <c r="GD29" s="60">
        <f t="shared" si="26"/>
        <v>387.3640366605153</v>
      </c>
      <c r="GE29" s="60">
        <f ca="1">AVERAGE(OFFSET($GD$3,0,0,'Données projet'!$E$17+1,1))-AVERAGE(OFFSET($H$3,0,0,'Données projet'!$E$17+1,1))</f>
        <v>391.18744390931187</v>
      </c>
      <c r="GF29" s="60">
        <f t="shared" si="50"/>
        <v>261.46982358454386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0.19388370090214888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0.19388370090214888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0">
        <f t="shared" si="0"/>
        <v>386.0130105794799</v>
      </c>
      <c r="S30" s="60">
        <f ca="1">AVERAGE(OFFSET($R$3,0,0,'Données projet'!$E$9+1,1))-AVERAGE(OFFSET($H$3,0,0,'Données projet'!$E$9+1,1))</f>
        <v>469.15492079216403</v>
      </c>
      <c r="T30" s="60">
        <f t="shared" si="34"/>
        <v>250.47702091764884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64.022400000000019</v>
      </c>
      <c r="AK30" s="14">
        <f t="shared" si="35"/>
        <v>18.181385543312242</v>
      </c>
      <c r="AL30" s="22">
        <f t="shared" si="4"/>
        <v>143.17159315460219</v>
      </c>
      <c r="AM30" s="60">
        <f t="shared" si="5"/>
        <v>375.6894360271657</v>
      </c>
      <c r="AN30" s="60">
        <f ca="1">AVERAGE(OFFSET($AM$3,0,0,'Données projet'!$E$10+1,1))-AVERAGE(OFFSET($H$3,0,0,'Données projet'!$E$10+1,1))</f>
        <v>442.49274132121275</v>
      </c>
      <c r="AO30" s="60">
        <f t="shared" si="36"/>
        <v>237.37463556402756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7.8</v>
      </c>
      <c r="BD30" s="13">
        <f>IF('Données projet'!$A$88&gt;35,BD29+BC30-BL29,IF(A30&lt;'Données projet'!$A$88,$BA$205^A30,IF(A30='Données projet'!$A$88,'Données projet'!$B$88,BD29+BC30-BL29)))</f>
        <v>131.60000000000002</v>
      </c>
      <c r="BE30" s="14">
        <f>BD30*VLOOKUP('Données projet'!$B$11,Paramètres!$A$1:$I$89,3,0)*VLOOKUP('Données projet'!$B$11,Paramètres!$A$1:$I$89,5,0)</f>
        <v>86.224320000000006</v>
      </c>
      <c r="BF30" s="14">
        <f t="shared" si="37"/>
        <v>23.652363060428655</v>
      </c>
      <c r="BG30" s="22">
        <f t="shared" si="7"/>
        <v>191.36855633024655</v>
      </c>
      <c r="BH30" s="60">
        <f t="shared" si="8"/>
        <v>423.88639920281003</v>
      </c>
      <c r="BI30" s="60">
        <f ca="1">AVERAGE(OFFSET($BH$3,0,0,'Données projet'!$E$11+1,1))-AVERAGE(OFFSET($H$3,0,0,'Données projet'!$E$11+1,1))</f>
        <v>267.90768140488603</v>
      </c>
      <c r="BJ30" s="60">
        <f t="shared" si="38"/>
        <v>280.25465074992258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</v>
      </c>
      <c r="BY30" s="13">
        <f>IF('Données projet'!$A$114&gt;35,BY29+BX30-CG29,IF(A30&lt;'Données projet'!$A$114,$BV$205^A30,IF(A30='Données projet'!$A$114,'Données projet'!$B$114,BY29+BX30-CG29)))</f>
        <v>94.999999999999986</v>
      </c>
      <c r="BZ30" s="14">
        <f>BY30*VLOOKUP('Données projet'!$B$12,Paramètres!$A$1:$I$89,3,0)*VLOOKUP('Données projet'!$B$12,Paramètres!$A$1:$I$89,5,0)</f>
        <v>77.063999999999993</v>
      </c>
      <c r="CA30" s="14">
        <f t="shared" si="39"/>
        <v>21.417762186678065</v>
      </c>
      <c r="CB30" s="22">
        <f t="shared" si="10"/>
        <v>171.52240247513092</v>
      </c>
      <c r="CC30" s="60">
        <f t="shared" si="11"/>
        <v>404.04024534769439</v>
      </c>
      <c r="CD30" s="60">
        <f ca="1">AVERAGE(OFFSET($CC$3,0,0,'Données projet'!$E$12+1,1))-AVERAGE(OFFSET($H$3,0,0,'Données projet'!$E$12+1,1))</f>
        <v>308.6594206517259</v>
      </c>
      <c r="CE30" s="60">
        <f t="shared" si="40"/>
        <v>258.90832875500325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6.5384615384615357</v>
      </c>
      <c r="CT30" s="13">
        <f>IF('Données projet'!$A$140&gt;35,CT29+CS30-DB29,IF(A30&lt;'Données projet'!$A$140,$CQ$205^A30,IF(A30='Données projet'!$A$140,'Données projet'!$B$140,CT29+CS30-DB29)))</f>
        <v>97.051282051282044</v>
      </c>
      <c r="CU30" s="18">
        <f>CT30*VLOOKUP('Données projet'!$B$13,Paramètres!$A$1:$I$89,3,0)*VLOOKUP('Données projet'!$B$13,Paramètres!$A$1:$I$89,5,0)</f>
        <v>92.353999999999985</v>
      </c>
      <c r="CV30" s="14">
        <f t="shared" si="41"/>
        <v>25.132097180965346</v>
      </c>
      <c r="CW30" s="22">
        <f t="shared" si="13"/>
        <v>204.62161925684794</v>
      </c>
      <c r="CX30" s="60">
        <f t="shared" si="14"/>
        <v>437.13946212941141</v>
      </c>
      <c r="CY30" s="60">
        <f ca="1">AVERAGE(OFFSET($CX$3,0,0,'Données projet'!$E$13+1,1))-AVERAGE(OFFSET($H$3,0,0,'Données projet'!$E$13+1,1))</f>
        <v>397.63792993520934</v>
      </c>
      <c r="CZ30" s="60">
        <f t="shared" si="42"/>
        <v>300.63705521148802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8.0769230769230802</v>
      </c>
      <c r="DO30" s="13">
        <f>IF('Données projet'!$A$166&gt;35,DO29+DN30-DW29,IF(A30&lt;'Données projet'!$A$166,$DL$205^A30,IF(A30='Données projet'!$A$166,'Données projet'!$B$166,DO29+DN30-DW29)))</f>
        <v>125.12820512820511</v>
      </c>
      <c r="DP30" s="18">
        <f>DO30*VLOOKUP('Données projet'!$B$14,Paramètres!$A$1:$I$89,3,0)*VLOOKUP('Données projet'!$B$14,Paramètres!$A$1:$I$89,5,0)</f>
        <v>83.935999999999993</v>
      </c>
      <c r="DQ30" s="14">
        <f t="shared" si="43"/>
        <v>23.096850074431298</v>
      </c>
      <c r="DR30" s="22">
        <f t="shared" si="16"/>
        <v>186.41554721296782</v>
      </c>
      <c r="DS30" s="60">
        <f t="shared" si="17"/>
        <v>418.9333900855313</v>
      </c>
      <c r="DT30" s="60">
        <f ca="1">AVERAGE(OFFSET($DS$3,0,0,'Données projet'!$E$14+1,1))-AVERAGE(OFFSET($H$3,0,0,'Données projet'!$E$14+1,1))</f>
        <v>343.94240546037798</v>
      </c>
      <c r="DU30" s="60">
        <f t="shared" si="44"/>
        <v>277.30931495079346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</v>
      </c>
      <c r="EJ30" s="13">
        <f>IF('Données projet'!$A$192&gt;35,EJ29+EI30-ER29,IF(A30&lt;'Données projet'!$A$192,$EG$205^A30,IF(A30='Données projet'!$A$192,'Données projet'!$B$192,EJ29+EI30-ER29)))</f>
        <v>89.4</v>
      </c>
      <c r="EK30" s="18">
        <f>EJ30*VLOOKUP('Données projet'!$B$15,Paramètres!$A$1:$I$89,3,0)*VLOOKUP('Données projet'!$B$15,Paramètres!$A$1:$I$89,5,0)</f>
        <v>69.732000000000014</v>
      </c>
      <c r="EL30" s="14">
        <f t="shared" si="45"/>
        <v>19.606888874982506</v>
      </c>
      <c r="EM30" s="22">
        <f t="shared" si="19"/>
        <v>155.59856479059454</v>
      </c>
      <c r="EN30" s="60">
        <f t="shared" si="20"/>
        <v>388.11640766315804</v>
      </c>
      <c r="EO30" s="60">
        <f ca="1">AVERAGE(OFFSET($EN$3,0,0,'Données projet'!$E$15+1,1))-AVERAGE(OFFSET($H$3,0,0,'Données projet'!$E$15+1,1))</f>
        <v>308.76306523144956</v>
      </c>
      <c r="EP30" s="60">
        <f t="shared" si="46"/>
        <v>283.28099819802776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9.8000000000000007</v>
      </c>
      <c r="FE30" s="13">
        <f>IF('Données projet'!$A$218&gt;35,FE29+FD30-FM29,IF(A30&lt;'Données projet'!$A$218,$FB$205^A30,IF(A30='Données projet'!$A$218,'Données projet'!$B$218,FE29+FD30-FM29)))</f>
        <v>105.6</v>
      </c>
      <c r="FF30" s="18">
        <f>FE30*VLOOKUP('Données projet'!$B$16,Paramètres!$A$1:$I$89,3,0)*VLOOKUP('Données projet'!$B$16,Paramètres!$A$1:$I$89,5,0)</f>
        <v>92.252160000000003</v>
      </c>
      <c r="FG30" s="14">
        <f t="shared" si="47"/>
        <v>25.107607958259987</v>
      </c>
      <c r="FH30" s="22">
        <f t="shared" si="22"/>
        <v>204.40159586063612</v>
      </c>
      <c r="FI30" s="60">
        <f t="shared" si="23"/>
        <v>436.91943873319963</v>
      </c>
      <c r="FJ30" s="60">
        <f ca="1">AVERAGE(OFFSET($FI$3,0,0,'Données projet'!$E$16+1,1))-AVERAGE(OFFSET($H$3,0,0,'Données projet'!$E$16+1,1))</f>
        <v>296.01124173332352</v>
      </c>
      <c r="FK30" s="60">
        <f t="shared" si="48"/>
        <v>315.50730924873733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5.8</v>
      </c>
      <c r="FZ30" s="13">
        <f>IF('Données projet'!$A$244&gt;35,FZ29+FY30-GH29,IF(A30&lt;'Données projet'!$A$244,$FW$205^A30,IF(A30='Données projet'!$A$244,'Données projet'!$B$244,FZ29+FY30-GH29)))</f>
        <v>78.599999999999994</v>
      </c>
      <c r="GA30" s="18">
        <f>FZ30*VLOOKUP('Données projet'!$B$17,Paramètres!$A$1:$I$89,3,0)*VLOOKUP('Données projet'!$B$17,Paramètres!$A$1:$I$89,5,0)</f>
        <v>76.021920000000009</v>
      </c>
      <c r="GB30" s="14">
        <f t="shared" si="49"/>
        <v>21.161654450476842</v>
      </c>
      <c r="GC30" s="22">
        <f t="shared" si="25"/>
        <v>169.26139216791384</v>
      </c>
      <c r="GD30" s="60">
        <f t="shared" si="26"/>
        <v>401.77923504047737</v>
      </c>
      <c r="GE30" s="60">
        <f ca="1">AVERAGE(OFFSET($GD$3,0,0,'Données projet'!$E$17+1,1))-AVERAGE(OFFSET($H$3,0,0,'Données projet'!$E$17+1,1))</f>
        <v>391.18744390931187</v>
      </c>
      <c r="GF30" s="60">
        <f t="shared" si="50"/>
        <v>261.46982358454386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0.1885819409050789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0.1885819409050789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0">
        <f t="shared" si="0"/>
        <v>401.98849697292746</v>
      </c>
      <c r="S31" s="60">
        <f ca="1">AVERAGE(OFFSET($R$3,0,0,'Données projet'!$E$9+1,1))-AVERAGE(OFFSET($H$3,0,0,'Données projet'!$E$9+1,1))</f>
        <v>469.15492079216403</v>
      </c>
      <c r="T31" s="60">
        <f t="shared" si="34"/>
        <v>250.47702091764884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69.919200000000004</v>
      </c>
      <c r="AK31" s="14">
        <f t="shared" si="35"/>
        <v>19.653390735061731</v>
      </c>
      <c r="AL31" s="22">
        <f t="shared" si="4"/>
        <v>156.00559553023251</v>
      </c>
      <c r="AM31" s="60">
        <f t="shared" si="5"/>
        <v>390.7370649522166</v>
      </c>
      <c r="AN31" s="60">
        <f ca="1">AVERAGE(OFFSET($AM$3,0,0,'Données projet'!$E$10+1,1))-AVERAGE(OFFSET($H$3,0,0,'Données projet'!$E$10+1,1))</f>
        <v>442.49274132121275</v>
      </c>
      <c r="AO31" s="60">
        <f t="shared" si="36"/>
        <v>237.37463556402756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7.8</v>
      </c>
      <c r="BD31" s="13">
        <f>IF('Données projet'!$A$88&gt;35,BD30+BC31-BL30,IF(A31&lt;'Données projet'!$A$88,$BA$205^A31,IF(A31='Données projet'!$A$88,'Données projet'!$B$88,BD30+BC31-BL30)))</f>
        <v>139.40000000000003</v>
      </c>
      <c r="BE31" s="14">
        <f>BD31*VLOOKUP('Données projet'!$B$11,Paramètres!$A$1:$I$89,3,0)*VLOOKUP('Données projet'!$B$11,Paramètres!$A$1:$I$89,5,0)</f>
        <v>91.334880000000013</v>
      </c>
      <c r="BF31" s="14">
        <f t="shared" si="37"/>
        <v>24.886889521433787</v>
      </c>
      <c r="BG31" s="22">
        <f t="shared" si="7"/>
        <v>202.41958191649721</v>
      </c>
      <c r="BH31" s="60">
        <f t="shared" si="8"/>
        <v>437.1510513384813</v>
      </c>
      <c r="BI31" s="60">
        <f ca="1">AVERAGE(OFFSET($BH$3,0,0,'Données projet'!$E$11+1,1))-AVERAGE(OFFSET($H$3,0,0,'Données projet'!$E$11+1,1))</f>
        <v>267.90768140488603</v>
      </c>
      <c r="BJ31" s="60">
        <f t="shared" si="38"/>
        <v>280.25465074992258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</v>
      </c>
      <c r="BY31" s="13">
        <f>IF('Données projet'!$A$114&gt;35,BY30+BX31-CG30,IF(A31&lt;'Données projet'!$A$114,$BV$205^A31,IF(A31='Données projet'!$A$114,'Données projet'!$B$114,BY30+BX31-CG30)))</f>
        <v>100.99999999999999</v>
      </c>
      <c r="BZ31" s="14">
        <f>BY31*VLOOKUP('Données projet'!$B$12,Paramètres!$A$1:$I$89,3,0)*VLOOKUP('Données projet'!$B$12,Paramètres!$A$1:$I$89,5,0)</f>
        <v>81.93119999999999</v>
      </c>
      <c r="CA31" s="14">
        <f t="shared" si="39"/>
        <v>22.608715052719766</v>
      </c>
      <c r="CB31" s="22">
        <f t="shared" si="10"/>
        <v>182.07368538348692</v>
      </c>
      <c r="CC31" s="60">
        <f t="shared" si="11"/>
        <v>416.80515480547103</v>
      </c>
      <c r="CD31" s="60">
        <f ca="1">AVERAGE(OFFSET($CC$3,0,0,'Données projet'!$E$12+1,1))-AVERAGE(OFFSET($H$3,0,0,'Données projet'!$E$12+1,1))</f>
        <v>308.6594206517259</v>
      </c>
      <c r="CE31" s="60">
        <f t="shared" si="40"/>
        <v>258.90832875500325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6.5384615384615357</v>
      </c>
      <c r="CT31" s="13">
        <f>IF('Données projet'!$A$140&gt;35,CT30+CS31-DB30,IF(A31&lt;'Données projet'!$A$140,$CQ$205^A31,IF(A31='Données projet'!$A$140,'Données projet'!$B$140,CT30+CS31-DB30)))</f>
        <v>103.58974358974358</v>
      </c>
      <c r="CU31" s="18">
        <f>CT31*VLOOKUP('Données projet'!$B$13,Paramètres!$A$1:$I$89,3,0)*VLOOKUP('Données projet'!$B$13,Paramètres!$A$1:$I$89,5,0)</f>
        <v>98.575999999999979</v>
      </c>
      <c r="CV31" s="14">
        <f t="shared" si="41"/>
        <v>26.622466525409418</v>
      </c>
      <c r="CW31" s="22">
        <f t="shared" si="13"/>
        <v>218.05399586508801</v>
      </c>
      <c r="CX31" s="60">
        <f t="shared" si="14"/>
        <v>452.7854652870721</v>
      </c>
      <c r="CY31" s="60">
        <f ca="1">AVERAGE(OFFSET($CX$3,0,0,'Données projet'!$E$13+1,1))-AVERAGE(OFFSET($H$3,0,0,'Données projet'!$E$13+1,1))</f>
        <v>397.63792993520934</v>
      </c>
      <c r="CZ31" s="60">
        <f t="shared" si="42"/>
        <v>300.63705521148802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8.0769230769230802</v>
      </c>
      <c r="DO31" s="13">
        <f>IF('Données projet'!$A$166&gt;35,DO30+DN31-DW30,IF(A31&lt;'Données projet'!$A$166,$DL$205^A31,IF(A31='Données projet'!$A$166,'Données projet'!$B$166,DO30+DN31-DW30)))</f>
        <v>133.20512820512818</v>
      </c>
      <c r="DP31" s="18">
        <f>DO31*VLOOKUP('Données projet'!$B$14,Paramètres!$A$1:$I$89,3,0)*VLOOKUP('Données projet'!$B$14,Paramètres!$A$1:$I$89,5,0)</f>
        <v>89.353999999999985</v>
      </c>
      <c r="DQ31" s="14">
        <f t="shared" si="43"/>
        <v>24.40936009026365</v>
      </c>
      <c r="DR31" s="22">
        <f t="shared" si="16"/>
        <v>198.13785215720915</v>
      </c>
      <c r="DS31" s="60">
        <f t="shared" si="17"/>
        <v>432.86932157919324</v>
      </c>
      <c r="DT31" s="60">
        <f ca="1">AVERAGE(OFFSET($DS$3,0,0,'Données projet'!$E$14+1,1))-AVERAGE(OFFSET($H$3,0,0,'Données projet'!$E$14+1,1))</f>
        <v>343.94240546037798</v>
      </c>
      <c r="DU31" s="60">
        <f t="shared" si="44"/>
        <v>277.30931495079346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</v>
      </c>
      <c r="EJ31" s="13">
        <f>IF('Données projet'!$A$192&gt;35,EJ30+EI31-ER30,IF(A31&lt;'Données projet'!$A$192,$EG$205^A31,IF(A31='Données projet'!$A$192,'Données projet'!$B$192,EJ30+EI31-ER30)))</f>
        <v>103.60000000000001</v>
      </c>
      <c r="EK31" s="18">
        <f>EJ31*VLOOKUP('Données projet'!$B$15,Paramètres!$A$1:$I$89,3,0)*VLOOKUP('Données projet'!$B$15,Paramètres!$A$1:$I$89,5,0)</f>
        <v>80.808000000000007</v>
      </c>
      <c r="EL31" s="14">
        <f t="shared" si="45"/>
        <v>22.334628633536209</v>
      </c>
      <c r="EM31" s="22">
        <f t="shared" si="19"/>
        <v>179.64007820340893</v>
      </c>
      <c r="EN31" s="60">
        <f t="shared" si="20"/>
        <v>414.37154762539302</v>
      </c>
      <c r="EO31" s="60">
        <f ca="1">AVERAGE(OFFSET($EN$3,0,0,'Données projet'!$E$15+1,1))-AVERAGE(OFFSET($H$3,0,0,'Données projet'!$E$15+1,1))</f>
        <v>308.76306523144956</v>
      </c>
      <c r="EP31" s="60">
        <f t="shared" si="46"/>
        <v>283.28099819802776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9.8000000000000007</v>
      </c>
      <c r="FE31" s="13">
        <f>IF('Données projet'!$A$218&gt;35,FE30+FD31-FM30,IF(A31&lt;'Données projet'!$A$218,$FB$205^A31,IF(A31='Données projet'!$A$218,'Données projet'!$B$218,FE30+FD31-FM30)))</f>
        <v>115.39999999999999</v>
      </c>
      <c r="FF31" s="18">
        <f>FE31*VLOOKUP('Données projet'!$B$16,Paramètres!$A$1:$I$89,3,0)*VLOOKUP('Données projet'!$B$16,Paramètres!$A$1:$I$89,5,0)</f>
        <v>100.81344</v>
      </c>
      <c r="FG31" s="14">
        <f t="shared" si="47"/>
        <v>27.155696942944218</v>
      </c>
      <c r="FH31" s="22">
        <f t="shared" si="22"/>
        <v>222.87958017562786</v>
      </c>
      <c r="FI31" s="60">
        <f t="shared" si="23"/>
        <v>457.61104959761195</v>
      </c>
      <c r="FJ31" s="60">
        <f ca="1">AVERAGE(OFFSET($FI$3,0,0,'Données projet'!$E$16+1,1))-AVERAGE(OFFSET($H$3,0,0,'Données projet'!$E$16+1,1))</f>
        <v>296.01124173332352</v>
      </c>
      <c r="FK31" s="60">
        <f t="shared" si="48"/>
        <v>315.50730924873733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5.8</v>
      </c>
      <c r="FZ31" s="13">
        <f>IF('Données projet'!$A$244&gt;35,FZ30+FY31-GH30,IF(A31&lt;'Données projet'!$A$244,$FW$205^A31,IF(A31='Données projet'!$A$244,'Données projet'!$B$244,FZ30+FY31-GH30)))</f>
        <v>84.399999999999991</v>
      </c>
      <c r="GA31" s="18">
        <f>FZ31*VLOOKUP('Données projet'!$B$17,Paramètres!$A$1:$I$89,3,0)*VLOOKUP('Données projet'!$B$17,Paramètres!$A$1:$I$89,5,0)</f>
        <v>81.631680000000003</v>
      </c>
      <c r="GB31" s="14">
        <f t="shared" si="49"/>
        <v>22.535668349926055</v>
      </c>
      <c r="GC31" s="22">
        <f t="shared" si="25"/>
        <v>181.4247983761212</v>
      </c>
      <c r="GD31" s="60">
        <f t="shared" si="26"/>
        <v>416.15626779810532</v>
      </c>
      <c r="GE31" s="60">
        <f ca="1">AVERAGE(OFFSET($GD$3,0,0,'Données projet'!$E$17+1,1))-AVERAGE(OFFSET($H$3,0,0,'Données projet'!$E$17+1,1))</f>
        <v>391.18744390931187</v>
      </c>
      <c r="GF31" s="60">
        <f t="shared" si="50"/>
        <v>261.46982358454386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0.18342515781393626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0.18342515781393626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0">
        <f t="shared" si="0"/>
        <v>417.920074181362</v>
      </c>
      <c r="S32" s="60">
        <f ca="1">AVERAGE(OFFSET($R$3,0,0,'Données projet'!$E$9+1,1))-AVERAGE(OFFSET($H$3,0,0,'Données projet'!$E$9+1,1))</f>
        <v>469.15492079216403</v>
      </c>
      <c r="T32" s="60">
        <f t="shared" si="34"/>
        <v>250.47702091764884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75.816000000000003</v>
      </c>
      <c r="AK32" s="14">
        <f t="shared" si="35"/>
        <v>21.110998140607162</v>
      </c>
      <c r="AL32" s="22">
        <f t="shared" si="4"/>
        <v>168.81452176155747</v>
      </c>
      <c r="AM32" s="60">
        <f t="shared" si="5"/>
        <v>405.74241908433328</v>
      </c>
      <c r="AN32" s="60">
        <f ca="1">AVERAGE(OFFSET($AM$3,0,0,'Données projet'!$E$10+1,1))-AVERAGE(OFFSET($H$3,0,0,'Données projet'!$E$10+1,1))</f>
        <v>442.49274132121275</v>
      </c>
      <c r="AO32" s="60">
        <f t="shared" si="36"/>
        <v>237.37463556402756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7.8</v>
      </c>
      <c r="BD32" s="13">
        <f>IF('Données projet'!$A$88&gt;35,BD31+BC32-BL31,IF(A32&lt;'Données projet'!$A$88,$BA$205^A32,IF(A32='Données projet'!$A$88,'Données projet'!$B$88,BD31+BC32-BL31)))</f>
        <v>147.20000000000005</v>
      </c>
      <c r="BE32" s="14">
        <f>BD32*VLOOKUP('Données projet'!$B$11,Paramètres!$A$1:$I$89,3,0)*VLOOKUP('Données projet'!$B$11,Paramètres!$A$1:$I$89,5,0)</f>
        <v>96.445440000000033</v>
      </c>
      <c r="BF32" s="14">
        <f t="shared" si="37"/>
        <v>26.113397153228323</v>
      </c>
      <c r="BG32" s="22">
        <f t="shared" si="7"/>
        <v>213.45664137520603</v>
      </c>
      <c r="BH32" s="60">
        <f t="shared" si="8"/>
        <v>450.38453869798184</v>
      </c>
      <c r="BI32" s="60">
        <f ca="1">AVERAGE(OFFSET($BH$3,0,0,'Données projet'!$E$11+1,1))-AVERAGE(OFFSET($H$3,0,0,'Données projet'!$E$11+1,1))</f>
        <v>267.90768140488603</v>
      </c>
      <c r="BJ32" s="60">
        <f t="shared" si="38"/>
        <v>280.25465074992258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</v>
      </c>
      <c r="BY32" s="13">
        <f>IF('Données projet'!$A$114&gt;35,BY31+BX32-CG31,IF(A32&lt;'Données projet'!$A$114,$BV$205^A32,IF(A32='Données projet'!$A$114,'Données projet'!$B$114,BY31+BX32-CG31)))</f>
        <v>106.99999999999999</v>
      </c>
      <c r="BZ32" s="14">
        <f>BY32*VLOOKUP('Données projet'!$B$12,Paramètres!$A$1:$I$89,3,0)*VLOOKUP('Données projet'!$B$12,Paramètres!$A$1:$I$89,5,0)</f>
        <v>86.798399999999987</v>
      </c>
      <c r="CA32" s="14">
        <f t="shared" si="39"/>
        <v>23.79145596594833</v>
      </c>
      <c r="CB32" s="22">
        <f t="shared" si="10"/>
        <v>192.61066580735996</v>
      </c>
      <c r="CC32" s="60">
        <f t="shared" si="11"/>
        <v>429.5385631301358</v>
      </c>
      <c r="CD32" s="60">
        <f ca="1">AVERAGE(OFFSET($CC$3,0,0,'Données projet'!$E$12+1,1))-AVERAGE(OFFSET($H$3,0,0,'Données projet'!$E$12+1,1))</f>
        <v>308.6594206517259</v>
      </c>
      <c r="CE32" s="60">
        <f t="shared" si="40"/>
        <v>258.90832875500325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6.5384615384615357</v>
      </c>
      <c r="CT32" s="13">
        <f>IF('Données projet'!$A$140&gt;35,CT31+CS32-DB31,IF(A32&lt;'Données projet'!$A$140,$CQ$205^A32,IF(A32='Données projet'!$A$140,'Données projet'!$B$140,CT31+CS32-DB31)))</f>
        <v>110.12820512820511</v>
      </c>
      <c r="CU32" s="18">
        <f>CT32*VLOOKUP('Données projet'!$B$13,Paramètres!$A$1:$I$89,3,0)*VLOOKUP('Données projet'!$B$13,Paramètres!$A$1:$I$89,5,0)</f>
        <v>104.79799999999999</v>
      </c>
      <c r="CV32" s="14">
        <f t="shared" si="41"/>
        <v>28.101918557678896</v>
      </c>
      <c r="CW32" s="22">
        <f t="shared" si="13"/>
        <v>231.46735815462407</v>
      </c>
      <c r="CX32" s="60">
        <f t="shared" si="14"/>
        <v>468.39525547739993</v>
      </c>
      <c r="CY32" s="60">
        <f ca="1">AVERAGE(OFFSET($CX$3,0,0,'Données projet'!$E$13+1,1))-AVERAGE(OFFSET($H$3,0,0,'Données projet'!$E$13+1,1))</f>
        <v>397.63792993520934</v>
      </c>
      <c r="CZ32" s="60">
        <f t="shared" si="42"/>
        <v>300.63705521148802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8.0769230769230802</v>
      </c>
      <c r="DO32" s="13">
        <f>IF('Données projet'!$A$166&gt;35,DO31+DN32-DW31,IF(A32&lt;'Données projet'!$A$166,$DL$205^A32,IF(A32='Données projet'!$A$166,'Données projet'!$B$166,DO31+DN32-DW31)))</f>
        <v>141.28205128205127</v>
      </c>
      <c r="DP32" s="18">
        <f>DO32*VLOOKUP('Données projet'!$B$14,Paramètres!$A$1:$I$89,3,0)*VLOOKUP('Données projet'!$B$14,Paramètres!$A$1:$I$89,5,0)</f>
        <v>94.771999999999991</v>
      </c>
      <c r="DQ32" s="14">
        <f t="shared" si="43"/>
        <v>25.712633129183839</v>
      </c>
      <c r="DR32" s="22">
        <f t="shared" si="16"/>
        <v>209.84406936666184</v>
      </c>
      <c r="DS32" s="60">
        <f t="shared" si="17"/>
        <v>446.7719666894377</v>
      </c>
      <c r="DT32" s="60">
        <f ca="1">AVERAGE(OFFSET($DS$3,0,0,'Données projet'!$E$14+1,1))-AVERAGE(OFFSET($H$3,0,0,'Données projet'!$E$14+1,1))</f>
        <v>343.94240546037798</v>
      </c>
      <c r="DU32" s="60">
        <f t="shared" si="44"/>
        <v>277.30931495079346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</v>
      </c>
      <c r="EJ32" s="13">
        <f>IF('Données projet'!$A$192&gt;35,EJ31+EI32-ER31,IF(A32&lt;'Données projet'!$A$192,$EG$205^A32,IF(A32='Données projet'!$A$192,'Données projet'!$B$192,EJ31+EI32-ER31)))</f>
        <v>117.80000000000001</v>
      </c>
      <c r="EK32" s="18">
        <f>EJ32*VLOOKUP('Données projet'!$B$15,Paramètres!$A$1:$I$89,3,0)*VLOOKUP('Données projet'!$B$15,Paramètres!$A$1:$I$89,5,0)</f>
        <v>91.884000000000015</v>
      </c>
      <c r="EL32" s="14">
        <f t="shared" si="45"/>
        <v>25.019051117801563</v>
      </c>
      <c r="EM32" s="22">
        <f t="shared" si="19"/>
        <v>203.60614736350442</v>
      </c>
      <c r="EN32" s="60">
        <f t="shared" si="20"/>
        <v>440.53404468628025</v>
      </c>
      <c r="EO32" s="60">
        <f ca="1">AVERAGE(OFFSET($EN$3,0,0,'Données projet'!$E$15+1,1))-AVERAGE(OFFSET($H$3,0,0,'Données projet'!$E$15+1,1))</f>
        <v>308.76306523144956</v>
      </c>
      <c r="EP32" s="60">
        <f t="shared" si="46"/>
        <v>283.28099819802776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9.8000000000000007</v>
      </c>
      <c r="FE32" s="13">
        <f>IF('Données projet'!$A$218&gt;35,FE31+FD32-FM31,IF(A32&lt;'Données projet'!$A$218,$FB$205^A32,IF(A32='Données projet'!$A$218,'Données projet'!$B$218,FE31+FD32-FM31)))</f>
        <v>125.19999999999999</v>
      </c>
      <c r="FF32" s="18">
        <f>FE32*VLOOKUP('Données projet'!$B$16,Paramètres!$A$1:$I$89,3,0)*VLOOKUP('Données projet'!$B$16,Paramètres!$A$1:$I$89,5,0)</f>
        <v>109.37472</v>
      </c>
      <c r="FG32" s="14">
        <f t="shared" si="47"/>
        <v>29.183614885996381</v>
      </c>
      <c r="FH32" s="22">
        <f t="shared" si="22"/>
        <v>241.32243325977697</v>
      </c>
      <c r="FI32" s="60">
        <f t="shared" si="23"/>
        <v>478.25033058255281</v>
      </c>
      <c r="FJ32" s="60">
        <f ca="1">AVERAGE(OFFSET($FI$3,0,0,'Données projet'!$E$16+1,1))-AVERAGE(OFFSET($H$3,0,0,'Données projet'!$E$16+1,1))</f>
        <v>296.01124173332352</v>
      </c>
      <c r="FK32" s="60">
        <f t="shared" si="48"/>
        <v>315.50730924873733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5.8</v>
      </c>
      <c r="FZ32" s="13">
        <f>IF('Données projet'!$A$244&gt;35,FZ31+FY32-GH31,IF(A32&lt;'Données projet'!$A$244,$FW$205^A32,IF(A32='Données projet'!$A$244,'Données projet'!$B$244,FZ31+FY32-GH31)))</f>
        <v>90.199999999999989</v>
      </c>
      <c r="GA32" s="18">
        <f>FZ32*VLOOKUP('Données projet'!$B$17,Paramètres!$A$1:$I$89,3,0)*VLOOKUP('Données projet'!$B$17,Paramètres!$A$1:$I$89,5,0)</f>
        <v>87.241439999999997</v>
      </c>
      <c r="GB32" s="14">
        <f t="shared" si="49"/>
        <v>23.898726182438701</v>
      </c>
      <c r="GC32" s="22">
        <f t="shared" si="25"/>
        <v>193.56912276774736</v>
      </c>
      <c r="GD32" s="60">
        <f t="shared" si="26"/>
        <v>430.49702009052316</v>
      </c>
      <c r="GE32" s="60">
        <f ca="1">AVERAGE(OFFSET($GD$3,0,0,'Données projet'!$E$17+1,1))-AVERAGE(OFFSET($H$3,0,0,'Données projet'!$E$17+1,1))</f>
        <v>391.18744390931187</v>
      </c>
      <c r="GF32" s="60">
        <f t="shared" si="50"/>
        <v>261.46982358454386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0.17840938722760435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0.17840938722760435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0">
        <f t="shared" si="0"/>
        <v>433.81035425098219</v>
      </c>
      <c r="S33" s="60">
        <f ca="1">AVERAGE(OFFSET($R$3,0,0,'Données projet'!$E$9+1,1))-AVERAGE(OFFSET($H$3,0,0,'Données projet'!$E$9+1,1))</f>
        <v>469.15492079216403</v>
      </c>
      <c r="T33" s="60">
        <f t="shared" si="34"/>
        <v>250.47702091764884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81.712800000000001</v>
      </c>
      <c r="AK33" s="14">
        <f t="shared" si="35"/>
        <v>22.55545490774292</v>
      </c>
      <c r="AL33" s="22">
        <f t="shared" si="4"/>
        <v>181.60054396431892</v>
      </c>
      <c r="AM33" s="60">
        <f t="shared" si="5"/>
        <v>420.7079688973609</v>
      </c>
      <c r="AN33" s="60">
        <f ca="1">AVERAGE(OFFSET($AM$3,0,0,'Données projet'!$E$10+1,1))-AVERAGE(OFFSET($H$3,0,0,'Données projet'!$E$10+1,1))</f>
        <v>442.49274132121275</v>
      </c>
      <c r="AO33" s="60">
        <f t="shared" si="36"/>
        <v>237.37463556402756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155</v>
      </c>
      <c r="BB33" s="13">
        <f>VLOOKUP(A33,'Données projet'!$A$87:$I$107,9,0)</f>
        <v>7.8</v>
      </c>
      <c r="BC33" s="13">
        <f t="array" ref="BC33">INDEX(BB:BB,MIN(IF(ISNUMBER(BB33:BB229),ROW(BB33:BB229),"")))</f>
        <v>7.8</v>
      </c>
      <c r="BD33" s="13">
        <f>IF('Données projet'!$A$88&gt;35,BD32+BC33-BL32,IF(A33&lt;'Données projet'!$A$88,$BA$205^A33,IF(A33='Données projet'!$A$88,'Données projet'!$B$88,BD32+BC33-BL32)))</f>
        <v>155.00000000000006</v>
      </c>
      <c r="BE33" s="14">
        <f>BD33*VLOOKUP('Données projet'!$B$11,Paramètres!$A$1:$I$89,3,0)*VLOOKUP('Données projet'!$B$11,Paramètres!$A$1:$I$89,5,0)</f>
        <v>101.55600000000004</v>
      </c>
      <c r="BF33" s="14">
        <f t="shared" si="37"/>
        <v>27.332359320696934</v>
      </c>
      <c r="BG33" s="22">
        <f t="shared" si="7"/>
        <v>224.48055915021391</v>
      </c>
      <c r="BH33" s="60">
        <f t="shared" si="8"/>
        <v>463.58798408325589</v>
      </c>
      <c r="BI33" s="60">
        <f ca="1">AVERAGE(OFFSET($BH$3,0,0,'Données projet'!$E$11+1,1))-AVERAGE(OFFSET($H$3,0,0,'Données projet'!$E$11+1,1))</f>
        <v>267.90768140488603</v>
      </c>
      <c r="BJ33" s="60">
        <f t="shared" si="38"/>
        <v>280.25465074992258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38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113</v>
      </c>
      <c r="BW33" s="13">
        <f>VLOOKUP(A33,'Données projet'!$A$113:$I$133,9,0)</f>
        <v>6</v>
      </c>
      <c r="BX33" s="13">
        <f t="array" ref="BX33">INDEX(BW:BW,MIN(IF(ISNUMBER(BW33:BW229),ROW(BW33:BW229),"")))</f>
        <v>6</v>
      </c>
      <c r="BY33" s="13">
        <f>IF('Données projet'!$A$114&gt;35,BY32+BX33-CG32,IF(A33&lt;'Données projet'!$A$114,$BV$205^A33,IF(A33='Données projet'!$A$114,'Données projet'!$B$114,BY32+BX33-CG32)))</f>
        <v>112.99999999999999</v>
      </c>
      <c r="BZ33" s="14">
        <f>BY33*VLOOKUP('Données projet'!$B$12,Paramètres!$A$1:$I$89,3,0)*VLOOKUP('Données projet'!$B$12,Paramètres!$A$1:$I$89,5,0)</f>
        <v>91.665599999999998</v>
      </c>
      <c r="CA33" s="14">
        <f t="shared" si="39"/>
        <v>24.966497888207439</v>
      </c>
      <c r="CB33" s="22">
        <f t="shared" si="10"/>
        <v>203.13423715529461</v>
      </c>
      <c r="CC33" s="60">
        <f t="shared" si="11"/>
        <v>442.24166208833662</v>
      </c>
      <c r="CD33" s="60">
        <f ca="1">AVERAGE(OFFSET($CC$3,0,0,'Données projet'!$E$12+1,1))-AVERAGE(OFFSET($H$3,0,0,'Données projet'!$E$12+1,1))</f>
        <v>308.6594206517259</v>
      </c>
      <c r="CE33" s="60">
        <f t="shared" si="40"/>
        <v>258.90832875500325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116.66666666666666</v>
      </c>
      <c r="CR33" s="13">
        <f>VLOOKUP(A33,'Données projet'!$A$139:$I$159,9,0)</f>
        <v>6.5384615384615357</v>
      </c>
      <c r="CS33" s="13">
        <f t="array" ref="CS33">INDEX(CR:CR,MIN(IF(ISNUMBER(CR33:CR229),ROW(CR33:CR229),"")))</f>
        <v>6.5384615384615357</v>
      </c>
      <c r="CT33" s="13">
        <f>IF('Données projet'!$A$140&gt;35,CT32+CS33-DB32,IF(A33&lt;'Données projet'!$A$140,$CQ$205^A33,IF(A33='Données projet'!$A$140,'Données projet'!$B$140,CT32+CS33-DB32)))</f>
        <v>116.66666666666664</v>
      </c>
      <c r="CU33" s="18">
        <f>CT33*VLOOKUP('Données projet'!$B$13,Paramètres!$A$1:$I$89,3,0)*VLOOKUP('Données projet'!$B$13,Paramètres!$A$1:$I$89,5,0)</f>
        <v>111.02</v>
      </c>
      <c r="CV33" s="14">
        <f t="shared" si="41"/>
        <v>29.571175279490561</v>
      </c>
      <c r="CW33" s="22">
        <f t="shared" si="13"/>
        <v>244.86296361177938</v>
      </c>
      <c r="CX33" s="60">
        <f t="shared" si="14"/>
        <v>483.97038854482139</v>
      </c>
      <c r="CY33" s="60">
        <f ca="1">AVERAGE(OFFSET($CX$3,0,0,'Données projet'!$E$13+1,1))-AVERAGE(OFFSET($H$3,0,0,'Données projet'!$E$13+1,1))</f>
        <v>397.63792993520934</v>
      </c>
      <c r="CZ33" s="60">
        <f t="shared" si="42"/>
        <v>300.63705521148802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25.641025641025639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149.35897435897436</v>
      </c>
      <c r="DM33" s="13">
        <f>VLOOKUP(A33,'Données projet'!$A$165:$I$185,9,0)</f>
        <v>8.0769230769230802</v>
      </c>
      <c r="DN33" s="13">
        <f t="array" ref="DN33">INDEX(DM:DM,MIN(IF(ISNUMBER(DM33:DM229),ROW(DM33:DM229),"")))</f>
        <v>8.0769230769230802</v>
      </c>
      <c r="DO33" s="13">
        <f>IF('Données projet'!$A$166&gt;35,DO32+DN33-DW32,IF(A33&lt;'Données projet'!$A$166,$DL$205^A33,IF(A33='Données projet'!$A$166,'Données projet'!$B$166,DO32+DN33-DW32)))</f>
        <v>149.35897435897436</v>
      </c>
      <c r="DP33" s="18">
        <f>DO33*VLOOKUP('Données projet'!$B$14,Paramètres!$A$1:$I$89,3,0)*VLOOKUP('Données projet'!$B$14,Paramètres!$A$1:$I$89,5,0)</f>
        <v>100.19000000000001</v>
      </c>
      <c r="DQ33" s="14">
        <f t="shared" si="43"/>
        <v>27.007257426460161</v>
      </c>
      <c r="DR33" s="22">
        <f t="shared" si="16"/>
        <v>221.5352233510848</v>
      </c>
      <c r="DS33" s="60">
        <f t="shared" si="17"/>
        <v>460.64264828412678</v>
      </c>
      <c r="DT33" s="60">
        <f ca="1">AVERAGE(OFFSET($DS$3,0,0,'Données projet'!$E$14+1,1))-AVERAGE(OFFSET($H$3,0,0,'Données projet'!$E$14+1,1))</f>
        <v>343.94240546037798</v>
      </c>
      <c r="DU33" s="60">
        <f t="shared" si="44"/>
        <v>277.30931495079346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32.692307692307693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5.3000000000000005E-2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1.2798181164426083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1.2798181164426083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132</v>
      </c>
      <c r="EH33" s="13">
        <f>VLOOKUP(A33,'Données projet'!$A$191:$I$211,9,0)</f>
        <v>14.2</v>
      </c>
      <c r="EI33" s="13">
        <f t="array" ref="EI33">INDEX(EH:EH,MIN(IF(ISNUMBER(EH33:EH229),ROW(EH33:EH229),"")))</f>
        <v>14.2</v>
      </c>
      <c r="EJ33" s="13">
        <f>IF('Données projet'!$A$192&gt;35,EJ32+EI33-ER32,IF(A33&lt;'Données projet'!$A$192,$EG$205^A33,IF(A33='Données projet'!$A$192,'Données projet'!$B$192,EJ32+EI33-ER32)))</f>
        <v>132</v>
      </c>
      <c r="EK33" s="18">
        <f>EJ33*VLOOKUP('Données projet'!$B$15,Paramètres!$A$1:$I$89,3,0)*VLOOKUP('Données projet'!$B$15,Paramètres!$A$1:$I$89,5,0)</f>
        <v>102.96000000000001</v>
      </c>
      <c r="EL33" s="14">
        <f t="shared" si="45"/>
        <v>27.665975080374633</v>
      </c>
      <c r="EM33" s="22">
        <f t="shared" si="19"/>
        <v>227.50690659831915</v>
      </c>
      <c r="EN33" s="60">
        <f t="shared" si="20"/>
        <v>466.61433153136113</v>
      </c>
      <c r="EO33" s="60">
        <f ca="1">AVERAGE(OFFSET($EN$3,0,0,'Données projet'!$E$15+1,1))-AVERAGE(OFFSET($H$3,0,0,'Données projet'!$E$15+1,1))</f>
        <v>308.76306523144956</v>
      </c>
      <c r="EP33" s="60">
        <f t="shared" si="46"/>
        <v>283.28099819802776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135</v>
      </c>
      <c r="FC33" s="13">
        <f>VLOOKUP(A33,'Données projet'!$A$217:$I$237,9,0)</f>
        <v>9.8000000000000007</v>
      </c>
      <c r="FD33" s="13">
        <f t="array" ref="FD33">INDEX(FC:FC,MIN(IF(ISNUMBER(FC33:FC229),ROW(FC33:FC229),"")))</f>
        <v>9.8000000000000007</v>
      </c>
      <c r="FE33" s="13">
        <f>IF('Données projet'!$A$218&gt;35,FE32+FD33-FM32,IF(A33&lt;'Données projet'!$A$218,$FB$205^A33,IF(A33='Données projet'!$A$218,'Données projet'!$B$218,FE32+FD33-FM32)))</f>
        <v>135</v>
      </c>
      <c r="FF33" s="18">
        <f>FE33*VLOOKUP('Données projet'!$B$16,Paramètres!$A$1:$I$89,3,0)*VLOOKUP('Données projet'!$B$16,Paramètres!$A$1:$I$89,5,0)</f>
        <v>117.93600000000002</v>
      </c>
      <c r="FG33" s="14">
        <f t="shared" si="47"/>
        <v>31.1931201812605</v>
      </c>
      <c r="FH33" s="22">
        <f t="shared" si="22"/>
        <v>259.73321764902875</v>
      </c>
      <c r="FI33" s="60">
        <f t="shared" si="23"/>
        <v>498.8406425820707</v>
      </c>
      <c r="FJ33" s="60">
        <f ca="1">AVERAGE(OFFSET($FI$3,0,0,'Données projet'!$E$16+1,1))-AVERAGE(OFFSET($H$3,0,0,'Données projet'!$E$16+1,1))</f>
        <v>296.01124173332352</v>
      </c>
      <c r="FK33" s="60">
        <f t="shared" si="48"/>
        <v>315.50730924873733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42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96</v>
      </c>
      <c r="FX33" s="13">
        <f>VLOOKUP(A33,'Données projet'!$A$243:$I$263,9,0)</f>
        <v>5.8</v>
      </c>
      <c r="FY33" s="13">
        <f t="array" ref="FY33">INDEX(FX:FX,MIN(IF(ISNUMBER(FX33:FX229),ROW(FX33:FX229),"")))</f>
        <v>5.8</v>
      </c>
      <c r="FZ33" s="13">
        <f>IF('Données projet'!$A$244&gt;35,FZ32+FY33-GH32,IF(A33&lt;'Données projet'!$A$244,$FW$205^A33,IF(A33='Données projet'!$A$244,'Données projet'!$B$244,FZ32+FY33-GH32)))</f>
        <v>95.999999999999986</v>
      </c>
      <c r="GA33" s="18">
        <f>FZ33*VLOOKUP('Données projet'!$B$17,Paramètres!$A$1:$I$89,3,0)*VLOOKUP('Données projet'!$B$17,Paramètres!$A$1:$I$89,5,0)</f>
        <v>92.851199999999992</v>
      </c>
      <c r="GB33" s="14">
        <f t="shared" si="49"/>
        <v>25.251612622871896</v>
      </c>
      <c r="GC33" s="22">
        <f t="shared" si="25"/>
        <v>205.69573198483519</v>
      </c>
      <c r="GD33" s="60">
        <f t="shared" si="26"/>
        <v>444.80315691787717</v>
      </c>
      <c r="GE33" s="60">
        <f ca="1">AVERAGE(OFFSET($GD$3,0,0,'Données projet'!$E$17+1,1))-AVERAGE(OFFSET($H$3,0,0,'Données projet'!$E$17+1,1))</f>
        <v>391.18744390931187</v>
      </c>
      <c r="GF33" s="60">
        <f t="shared" si="50"/>
        <v>261.46982358454386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26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4.3000000000000003E-2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1.3642019584201499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1.3642019584201499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0">
        <f t="shared" si="0"/>
        <v>450.39311232178062</v>
      </c>
      <c r="S34" s="60">
        <f ca="1">AVERAGE(OFFSET($R$3,0,0,'Données projet'!$E$9+1,1))-AVERAGE(OFFSET($H$3,0,0,'Données projet'!$E$9+1,1))</f>
        <v>469.15492079216403</v>
      </c>
      <c r="T34" s="60">
        <f t="shared" si="34"/>
        <v>250.47702091764884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88.452000000000012</v>
      </c>
      <c r="AK34" s="14">
        <f t="shared" si="35"/>
        <v>24.191508526943956</v>
      </c>
      <c r="AL34" s="22">
        <f t="shared" si="4"/>
        <v>196.18744401776075</v>
      </c>
      <c r="AM34" s="60">
        <f t="shared" si="5"/>
        <v>436.23556723057834</v>
      </c>
      <c r="AN34" s="60">
        <f ca="1">AVERAGE(OFFSET($AM$3,0,0,'Données projet'!$E$10+1,1))-AVERAGE(OFFSET($H$3,0,0,'Données projet'!$E$10+1,1))</f>
        <v>442.49274132121275</v>
      </c>
      <c r="AO34" s="60">
        <f t="shared" si="36"/>
        <v>237.37463556402756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7.2</v>
      </c>
      <c r="BD34" s="13">
        <f>IF('Données projet'!$A$88&gt;35,BD33+BC34-BL33,IF(A34&lt;'Données projet'!$A$88,$BA$205^A34,IF(A34='Données projet'!$A$88,'Données projet'!$B$88,BD33+BC34-BL33)))</f>
        <v>124.20000000000005</v>
      </c>
      <c r="BE34" s="14">
        <f>BD34*VLOOKUP('Données projet'!$B$11,Paramètres!$A$1:$I$89,3,0)*VLOOKUP('Données projet'!$B$11,Paramètres!$A$1:$I$89,5,0)</f>
        <v>81.375840000000025</v>
      </c>
      <c r="BF34" s="14">
        <f t="shared" si="37"/>
        <v>22.473249586041131</v>
      </c>
      <c r="BG34" s="22">
        <f t="shared" si="7"/>
        <v>180.87049769568833</v>
      </c>
      <c r="BH34" s="60">
        <f t="shared" si="8"/>
        <v>420.91862090850589</v>
      </c>
      <c r="BI34" s="60">
        <f ca="1">AVERAGE(OFFSET($BH$3,0,0,'Données projet'!$E$11+1,1))-AVERAGE(OFFSET($H$3,0,0,'Données projet'!$E$11+1,1))</f>
        <v>267.90768140488603</v>
      </c>
      <c r="BJ34" s="60">
        <f t="shared" si="38"/>
        <v>280.25465074992258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97.799999999999983</v>
      </c>
      <c r="BZ34" s="14">
        <f>BY34*VLOOKUP('Données projet'!$B$12,Paramètres!$A$1:$I$89,3,0)*VLOOKUP('Données projet'!$B$12,Paramètres!$A$1:$I$89,5,0)</f>
        <v>79.335359999999994</v>
      </c>
      <c r="CA34" s="14">
        <f t="shared" si="39"/>
        <v>21.974597372641874</v>
      </c>
      <c r="CB34" s="22">
        <f t="shared" si="10"/>
        <v>176.44817575735124</v>
      </c>
      <c r="CC34" s="60">
        <f t="shared" si="11"/>
        <v>416.49629897016882</v>
      </c>
      <c r="CD34" s="60">
        <f ca="1">AVERAGE(OFFSET($CC$3,0,0,'Données projet'!$E$12+1,1))-AVERAGE(OFFSET($H$3,0,0,'Données projet'!$E$12+1,1))</f>
        <v>308.6594206517259</v>
      </c>
      <c r="CE34" s="60">
        <f t="shared" si="40"/>
        <v>258.90832875500325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6.4102564102564088</v>
      </c>
      <c r="CT34" s="13">
        <f>IF('Données projet'!$A$140&gt;35,CT33+CS34-DB33,IF(A34&lt;'Données projet'!$A$140,$CQ$205^A34,IF(A34='Données projet'!$A$140,'Données projet'!$B$140,CT33+CS34-DB33)))</f>
        <v>97.435897435897417</v>
      </c>
      <c r="CU34" s="18">
        <f>CT34*VLOOKUP('Données projet'!$B$13,Paramètres!$A$1:$I$89,3,0)*VLOOKUP('Données projet'!$B$13,Paramètres!$A$1:$I$89,5,0)</f>
        <v>92.719999999999985</v>
      </c>
      <c r="CV34" s="14">
        <f t="shared" si="41"/>
        <v>25.22008241222111</v>
      </c>
      <c r="CW34" s="22">
        <f t="shared" si="13"/>
        <v>205.41231020128509</v>
      </c>
      <c r="CX34" s="60">
        <f t="shared" si="14"/>
        <v>445.46043341410268</v>
      </c>
      <c r="CY34" s="60">
        <f ca="1">AVERAGE(OFFSET($CX$3,0,0,'Données projet'!$E$13+1,1))-AVERAGE(OFFSET($H$3,0,0,'Données projet'!$E$13+1,1))</f>
        <v>397.63792993520934</v>
      </c>
      <c r="CZ34" s="60">
        <f t="shared" si="42"/>
        <v>300.63705521148802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7.6923076923076881</v>
      </c>
      <c r="DO34" s="13">
        <f>IF('Données projet'!$A$166&gt;35,DO33+DN34-DW33,IF(A34&lt;'Données projet'!$A$166,$DL$205^A34,IF(A34='Données projet'!$A$166,'Données projet'!$B$166,DO33+DN34-DW33)))</f>
        <v>124.35897435897435</v>
      </c>
      <c r="DP34" s="18">
        <f>DO34*VLOOKUP('Données projet'!$B$14,Paramètres!$A$1:$I$89,3,0)*VLOOKUP('Données projet'!$B$14,Paramètres!$A$1:$I$89,5,0)</f>
        <v>83.42</v>
      </c>
      <c r="DQ34" s="14">
        <f t="shared" si="43"/>
        <v>22.971343750654679</v>
      </c>
      <c r="DR34" s="22">
        <f t="shared" si="16"/>
        <v>185.29825703239021</v>
      </c>
      <c r="DS34" s="60">
        <f t="shared" si="17"/>
        <v>425.3463802452078</v>
      </c>
      <c r="DT34" s="60">
        <f ca="1">AVERAGE(OFFSET($DS$3,0,0,'Données projet'!$E$14+1,1))-AVERAGE(OFFSET($H$3,0,0,'Données projet'!$E$14+1,1))</f>
        <v>343.94240546037798</v>
      </c>
      <c r="DU34" s="60">
        <f t="shared" si="44"/>
        <v>277.30931495079346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1.2448214227457755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1.2448214227457755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13</v>
      </c>
      <c r="EJ34" s="13">
        <f>IF('Données projet'!$A$192&gt;35,EJ33+EI34-ER33,IF(A34&lt;'Données projet'!$A$192,$EG$205^A34,IF(A34='Données projet'!$A$192,'Données projet'!$B$192,EJ33+EI34-ER33)))</f>
        <v>121</v>
      </c>
      <c r="EK34" s="18">
        <f>EJ34*VLOOKUP('Données projet'!$B$15,Paramètres!$A$1:$I$89,3,0)*VLOOKUP('Données projet'!$B$15,Paramètres!$A$1:$I$89,5,0)</f>
        <v>94.38000000000001</v>
      </c>
      <c r="EL34" s="14">
        <f t="shared" si="45"/>
        <v>25.618636348883211</v>
      </c>
      <c r="EM34" s="22">
        <f t="shared" si="19"/>
        <v>208.99762497430493</v>
      </c>
      <c r="EN34" s="60">
        <f t="shared" si="20"/>
        <v>449.04574818712251</v>
      </c>
      <c r="EO34" s="60">
        <f ca="1">AVERAGE(OFFSET($EN$3,0,0,'Données projet'!$E$15+1,1))-AVERAGE(OFFSET($H$3,0,0,'Données projet'!$E$15+1,1))</f>
        <v>308.76306523144956</v>
      </c>
      <c r="EP34" s="60">
        <f t="shared" si="46"/>
        <v>283.28099819802776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8.6</v>
      </c>
      <c r="FE34" s="13">
        <f>IF('Données projet'!$A$218&gt;35,FE33+FD34-FM33,IF(A34&lt;'Données projet'!$A$218,$FB$205^A34,IF(A34='Données projet'!$A$218,'Données projet'!$B$218,FE33+FD34-FM33)))</f>
        <v>101.6</v>
      </c>
      <c r="FF34" s="18">
        <f>FE34*VLOOKUP('Données projet'!$B$16,Paramètres!$A$1:$I$89,3,0)*VLOOKUP('Données projet'!$B$16,Paramètres!$A$1:$I$89,5,0)</f>
        <v>88.757760000000005</v>
      </c>
      <c r="FG34" s="14">
        <f t="shared" si="47"/>
        <v>24.265384701755014</v>
      </c>
      <c r="FH34" s="22">
        <f t="shared" si="22"/>
        <v>196.84864368888998</v>
      </c>
      <c r="FI34" s="60">
        <f t="shared" si="23"/>
        <v>436.89676690170757</v>
      </c>
      <c r="FJ34" s="60">
        <f ca="1">AVERAGE(OFFSET($FI$3,0,0,'Données projet'!$E$16+1,1))-AVERAGE(OFFSET($H$3,0,0,'Données projet'!$E$16+1,1))</f>
        <v>296.01124173332352</v>
      </c>
      <c r="FK34" s="60">
        <f t="shared" si="48"/>
        <v>315.50730924873733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6.2</v>
      </c>
      <c r="FZ34" s="13">
        <f>IF('Données projet'!$A$244&gt;35,FZ33+FY34-GH33,IF(A34&lt;'Données projet'!$A$244,$FW$205^A34,IF(A34='Données projet'!$A$244,'Données projet'!$B$244,FZ33+FY34-GH33)))</f>
        <v>76.199999999999989</v>
      </c>
      <c r="GA34" s="18">
        <f>FZ34*VLOOKUP('Données projet'!$B$17,Paramètres!$A$1:$I$89,3,0)*VLOOKUP('Données projet'!$B$17,Paramètres!$A$1:$I$89,5,0)</f>
        <v>73.700639999999993</v>
      </c>
      <c r="GB34" s="14">
        <f t="shared" si="49"/>
        <v>20.58968343836661</v>
      </c>
      <c r="GC34" s="22">
        <f t="shared" si="25"/>
        <v>164.22231332182182</v>
      </c>
      <c r="GD34" s="60">
        <f t="shared" si="26"/>
        <v>404.27043653463937</v>
      </c>
      <c r="GE34" s="60">
        <f ca="1">AVERAGE(OFFSET($GD$3,0,0,'Données projet'!$E$17+1,1))-AVERAGE(OFFSET($H$3,0,0,'Données projet'!$E$17+1,1))</f>
        <v>391.18744390931187</v>
      </c>
      <c r="GF34" s="60">
        <f t="shared" si="50"/>
        <v>261.46982358454386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1.3268977841268879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1.3268977841268879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0">
        <f t="shared" si="0"/>
        <v>466.9327252987855</v>
      </c>
      <c r="S35" s="60">
        <f ca="1">AVERAGE(OFFSET($R$3,0,0,'Données projet'!$E$9+1,1))-AVERAGE(OFFSET($H$3,0,0,'Données projet'!$E$9+1,1))</f>
        <v>469.15492079216403</v>
      </c>
      <c r="T35" s="60">
        <f t="shared" si="34"/>
        <v>250.47702091764884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95.191200000000009</v>
      </c>
      <c r="AK35" s="14">
        <f t="shared" si="35"/>
        <v>25.8131020775105</v>
      </c>
      <c r="AL35" s="22">
        <f t="shared" si="4"/>
        <v>210.74915945166413</v>
      </c>
      <c r="AM35" s="60">
        <f t="shared" si="5"/>
        <v>451.72166193218948</v>
      </c>
      <c r="AN35" s="60">
        <f ca="1">AVERAGE(OFFSET($AM$3,0,0,'Données projet'!$E$10+1,1))-AVERAGE(OFFSET($H$3,0,0,'Données projet'!$E$10+1,1))</f>
        <v>442.49274132121275</v>
      </c>
      <c r="AO35" s="60">
        <f t="shared" si="36"/>
        <v>237.37463556402756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7.2</v>
      </c>
      <c r="BD35" s="13">
        <f>IF('Données projet'!$A$88&gt;35,BD34+BC35-BL34,IF(A35&lt;'Données projet'!$A$88,$BA$205^A35,IF(A35='Données projet'!$A$88,'Données projet'!$B$88,BD34+BC35-BL34)))</f>
        <v>131.40000000000003</v>
      </c>
      <c r="BE35" s="14">
        <f>BD35*VLOOKUP('Données projet'!$B$11,Paramètres!$A$1:$I$89,3,0)*VLOOKUP('Données projet'!$B$11,Paramètres!$A$1:$I$89,5,0)</f>
        <v>86.093280000000021</v>
      </c>
      <c r="BF35" s="14">
        <f t="shared" si="37"/>
        <v>23.620598504835936</v>
      </c>
      <c r="BG35" s="22">
        <f t="shared" si="7"/>
        <v>191.08500506258929</v>
      </c>
      <c r="BH35" s="60">
        <f t="shared" si="8"/>
        <v>432.05750754311464</v>
      </c>
      <c r="BI35" s="60">
        <f ca="1">AVERAGE(OFFSET($BH$3,0,0,'Données projet'!$E$11+1,1))-AVERAGE(OFFSET($H$3,0,0,'Données projet'!$E$11+1,1))</f>
        <v>267.90768140488603</v>
      </c>
      <c r="BJ35" s="60">
        <f t="shared" si="38"/>
        <v>280.25465074992258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103.59999999999998</v>
      </c>
      <c r="BZ35" s="14">
        <f>BY35*VLOOKUP('Données projet'!$B$12,Paramètres!$A$1:$I$89,3,0)*VLOOKUP('Données projet'!$B$12,Paramètres!$A$1:$I$89,5,0)</f>
        <v>84.040319999999994</v>
      </c>
      <c r="CA35" s="14">
        <f t="shared" si="39"/>
        <v>23.122212826195224</v>
      </c>
      <c r="CB35" s="22">
        <f t="shared" si="10"/>
        <v>186.64141133895666</v>
      </c>
      <c r="CC35" s="60">
        <f t="shared" si="11"/>
        <v>427.61391381948198</v>
      </c>
      <c r="CD35" s="60">
        <f ca="1">AVERAGE(OFFSET($CC$3,0,0,'Données projet'!$E$12+1,1))-AVERAGE(OFFSET($H$3,0,0,'Données projet'!$E$12+1,1))</f>
        <v>308.6594206517259</v>
      </c>
      <c r="CE35" s="60">
        <f t="shared" si="40"/>
        <v>258.90832875500325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6.4102564102564088</v>
      </c>
      <c r="CT35" s="13">
        <f>IF('Données projet'!$A$140&gt;35,CT34+CS35-DB34,IF(A35&lt;'Données projet'!$A$140,$CQ$205^A35,IF(A35='Données projet'!$A$140,'Données projet'!$B$140,CT34+CS35-DB34)))</f>
        <v>103.84615384615383</v>
      </c>
      <c r="CU35" s="18">
        <f>CT35*VLOOKUP('Données projet'!$B$13,Paramètres!$A$1:$I$89,3,0)*VLOOKUP('Données projet'!$B$13,Paramètres!$A$1:$I$89,5,0)</f>
        <v>98.819999999999979</v>
      </c>
      <c r="CV35" s="14">
        <f t="shared" si="41"/>
        <v>26.680684905958366</v>
      </c>
      <c r="CW35" s="22">
        <f t="shared" si="13"/>
        <v>218.58035954454411</v>
      </c>
      <c r="CX35" s="60">
        <f t="shared" si="14"/>
        <v>459.55286202506943</v>
      </c>
      <c r="CY35" s="60">
        <f ca="1">AVERAGE(OFFSET($CX$3,0,0,'Données projet'!$E$13+1,1))-AVERAGE(OFFSET($H$3,0,0,'Données projet'!$E$13+1,1))</f>
        <v>397.63792993520934</v>
      </c>
      <c r="CZ35" s="60">
        <f t="shared" si="42"/>
        <v>300.63705521148802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7.6923076923076881</v>
      </c>
      <c r="DO35" s="13">
        <f>IF('Données projet'!$A$166&gt;35,DO34+DN35-DW34,IF(A35&lt;'Données projet'!$A$166,$DL$205^A35,IF(A35='Données projet'!$A$166,'Données projet'!$B$166,DO34+DN35-DW34)))</f>
        <v>132.05128205128204</v>
      </c>
      <c r="DP35" s="18">
        <f>DO35*VLOOKUP('Données projet'!$B$14,Paramètres!$A$1:$I$89,3,0)*VLOOKUP('Données projet'!$B$14,Paramètres!$A$1:$I$89,5,0)</f>
        <v>88.58</v>
      </c>
      <c r="DQ35" s="14">
        <f t="shared" si="43"/>
        <v>24.222438846820232</v>
      </c>
      <c r="DR35" s="22">
        <f t="shared" si="16"/>
        <v>196.46424765821189</v>
      </c>
      <c r="DS35" s="60">
        <f t="shared" si="17"/>
        <v>437.43675013873724</v>
      </c>
      <c r="DT35" s="60">
        <f ca="1">AVERAGE(OFFSET($DS$3,0,0,'Données projet'!$E$14+1,1))-AVERAGE(OFFSET($H$3,0,0,'Données projet'!$E$14+1,1))</f>
        <v>343.94240546037798</v>
      </c>
      <c r="DU35" s="60">
        <f t="shared" si="44"/>
        <v>277.30931495079346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1.2107817154784786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1.2107817154784786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13</v>
      </c>
      <c r="EJ35" s="13">
        <f>IF('Données projet'!$A$192&gt;35,EJ34+EI35-ER34,IF(A35&lt;'Données projet'!$A$192,$EG$205^A35,IF(A35='Données projet'!$A$192,'Données projet'!$B$192,EJ34+EI35-ER34)))</f>
        <v>134</v>
      </c>
      <c r="EK35" s="18">
        <f>EJ35*VLOOKUP('Données projet'!$B$15,Paramètres!$A$1:$I$89,3,0)*VLOOKUP('Données projet'!$B$15,Paramètres!$A$1:$I$89,5,0)</f>
        <v>104.52000000000001</v>
      </c>
      <c r="EL35" s="14">
        <f t="shared" si="45"/>
        <v>28.036039012748962</v>
      </c>
      <c r="EM35" s="22">
        <f t="shared" si="19"/>
        <v>230.86843461387113</v>
      </c>
      <c r="EN35" s="60">
        <f t="shared" si="20"/>
        <v>471.84093709439645</v>
      </c>
      <c r="EO35" s="60">
        <f ca="1">AVERAGE(OFFSET($EN$3,0,0,'Données projet'!$E$15+1,1))-AVERAGE(OFFSET($H$3,0,0,'Données projet'!$E$15+1,1))</f>
        <v>308.76306523144956</v>
      </c>
      <c r="EP35" s="60">
        <f t="shared" si="46"/>
        <v>283.28099819802776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8.6</v>
      </c>
      <c r="FE35" s="13">
        <f>IF('Données projet'!$A$218&gt;35,FE34+FD35-FM34,IF(A35&lt;'Données projet'!$A$218,$FB$205^A35,IF(A35='Données projet'!$A$218,'Données projet'!$B$218,FE34+FD35-FM34)))</f>
        <v>110.19999999999999</v>
      </c>
      <c r="FF35" s="18">
        <f>FE35*VLOOKUP('Données projet'!$B$16,Paramètres!$A$1:$I$89,3,0)*VLOOKUP('Données projet'!$B$16,Paramètres!$A$1:$I$89,5,0)</f>
        <v>96.270719999999997</v>
      </c>
      <c r="FG35" s="14">
        <f t="shared" si="47"/>
        <v>26.071592384845928</v>
      </c>
      <c r="FH35" s="22">
        <f t="shared" si="22"/>
        <v>213.07952740360665</v>
      </c>
      <c r="FI35" s="60">
        <f t="shared" si="23"/>
        <v>454.05202988413197</v>
      </c>
      <c r="FJ35" s="60">
        <f ca="1">AVERAGE(OFFSET($FI$3,0,0,'Données projet'!$E$16+1,1))-AVERAGE(OFFSET($H$3,0,0,'Données projet'!$E$16+1,1))</f>
        <v>296.01124173332352</v>
      </c>
      <c r="FK35" s="60">
        <f t="shared" si="48"/>
        <v>315.50730924873733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6.2</v>
      </c>
      <c r="FZ35" s="13">
        <f>IF('Données projet'!$A$244&gt;35,FZ34+FY35-GH34,IF(A35&lt;'Données projet'!$A$244,$FW$205^A35,IF(A35='Données projet'!$A$244,'Données projet'!$B$244,FZ34+FY35-GH34)))</f>
        <v>82.399999999999991</v>
      </c>
      <c r="GA35" s="18">
        <f>FZ35*VLOOKUP('Données projet'!$B$17,Paramètres!$A$1:$I$89,3,0)*VLOOKUP('Données projet'!$B$17,Paramètres!$A$1:$I$89,5,0)</f>
        <v>79.697279999999992</v>
      </c>
      <c r="GB35" s="14">
        <f t="shared" si="49"/>
        <v>22.06315119132076</v>
      </c>
      <c r="GC35" s="22">
        <f t="shared" si="25"/>
        <v>177.23275099155026</v>
      </c>
      <c r="GD35" s="60">
        <f t="shared" si="26"/>
        <v>418.20525347207558</v>
      </c>
      <c r="GE35" s="60">
        <f ca="1">AVERAGE(OFFSET($GD$3,0,0,'Données projet'!$E$17+1,1))-AVERAGE(OFFSET($H$3,0,0,'Données projet'!$E$17+1,1))</f>
        <v>391.18744390931187</v>
      </c>
      <c r="GF35" s="60">
        <f t="shared" si="50"/>
        <v>261.46982358454386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1.2906136944414164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1.2906136944414164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0">
        <f t="shared" si="0"/>
        <v>483.43159148487337</v>
      </c>
      <c r="S36" s="60">
        <f ca="1">AVERAGE(OFFSET($R$3,0,0,'Données projet'!$E$9+1,1))-AVERAGE(OFFSET($H$3,0,0,'Données projet'!$E$9+1,1))</f>
        <v>469.15492079216403</v>
      </c>
      <c r="T36" s="60">
        <f t="shared" si="34"/>
        <v>250.47702091764884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101.93040000000001</v>
      </c>
      <c r="AK36" s="14">
        <f t="shared" si="35"/>
        <v>27.421375718582158</v>
      </c>
      <c r="AL36" s="22">
        <f t="shared" si="4"/>
        <v>225.28767604319728</v>
      </c>
      <c r="AM36" s="60">
        <f t="shared" si="5"/>
        <v>467.16852187773804</v>
      </c>
      <c r="AN36" s="60">
        <f ca="1">AVERAGE(OFFSET($AM$3,0,0,'Données projet'!$E$10+1,1))-AVERAGE(OFFSET($H$3,0,0,'Données projet'!$E$10+1,1))</f>
        <v>442.49274132121275</v>
      </c>
      <c r="AO36" s="60">
        <f t="shared" si="36"/>
        <v>237.37463556402756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7.2</v>
      </c>
      <c r="BD36" s="13">
        <f>IF('Données projet'!$A$88&gt;35,BD35+BC36-BL35,IF(A36&lt;'Données projet'!$A$88,$BA$205^A36,IF(A36='Données projet'!$A$88,'Données projet'!$B$88,BD35+BC36-BL35)))</f>
        <v>138.60000000000002</v>
      </c>
      <c r="BE36" s="14">
        <f>BD36*VLOOKUP('Données projet'!$B$11,Paramètres!$A$1:$I$89,3,0)*VLOOKUP('Données projet'!$B$11,Paramètres!$A$1:$I$89,5,0)</f>
        <v>90.810720000000018</v>
      </c>
      <c r="BF36" s="14">
        <f t="shared" si="37"/>
        <v>24.760648970178458</v>
      </c>
      <c r="BG36" s="22">
        <f t="shared" si="7"/>
        <v>201.28680095639413</v>
      </c>
      <c r="BH36" s="60">
        <f t="shared" si="8"/>
        <v>443.1676467909349</v>
      </c>
      <c r="BI36" s="60">
        <f ca="1">AVERAGE(OFFSET($BH$3,0,0,'Données projet'!$E$11+1,1))-AVERAGE(OFFSET($H$3,0,0,'Données projet'!$E$11+1,1))</f>
        <v>267.90768140488603</v>
      </c>
      <c r="BJ36" s="60">
        <f t="shared" si="38"/>
        <v>280.25465074992258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109.39999999999998</v>
      </c>
      <c r="BZ36" s="14">
        <f>BY36*VLOOKUP('Données projet'!$B$12,Paramètres!$A$1:$I$89,3,0)*VLOOKUP('Données projet'!$B$12,Paramètres!$A$1:$I$89,5,0)</f>
        <v>88.745279999999994</v>
      </c>
      <c r="CA36" s="14">
        <f t="shared" si="39"/>
        <v>24.262369928218718</v>
      </c>
      <c r="CB36" s="22">
        <f t="shared" si="10"/>
        <v>196.82165695831426</v>
      </c>
      <c r="CC36" s="60">
        <f t="shared" si="11"/>
        <v>438.702502792855</v>
      </c>
      <c r="CD36" s="60">
        <f ca="1">AVERAGE(OFFSET($CC$3,0,0,'Données projet'!$E$12+1,1))-AVERAGE(OFFSET($H$3,0,0,'Données projet'!$E$12+1,1))</f>
        <v>308.6594206517259</v>
      </c>
      <c r="CE36" s="60">
        <f t="shared" si="40"/>
        <v>258.90832875500325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6.4102564102564088</v>
      </c>
      <c r="CT36" s="13">
        <f>IF('Données projet'!$A$140&gt;35,CT35+CS36-DB35,IF(A36&lt;'Données projet'!$A$140,$CQ$205^A36,IF(A36='Données projet'!$A$140,'Données projet'!$B$140,CT35+CS36-DB35)))</f>
        <v>110.25641025641023</v>
      </c>
      <c r="CU36" s="18">
        <f>CT36*VLOOKUP('Données projet'!$B$13,Paramètres!$A$1:$I$89,3,0)*VLOOKUP('Données projet'!$B$13,Paramètres!$A$1:$I$89,5,0)</f>
        <v>104.91999999999999</v>
      </c>
      <c r="CV36" s="14">
        <f t="shared" si="41"/>
        <v>28.130823299932707</v>
      </c>
      <c r="CW36" s="22">
        <f t="shared" si="13"/>
        <v>231.73018391404943</v>
      </c>
      <c r="CX36" s="60">
        <f t="shared" si="14"/>
        <v>473.61102974859017</v>
      </c>
      <c r="CY36" s="60">
        <f ca="1">AVERAGE(OFFSET($CX$3,0,0,'Données projet'!$E$13+1,1))-AVERAGE(OFFSET($H$3,0,0,'Données projet'!$E$13+1,1))</f>
        <v>397.63792993520934</v>
      </c>
      <c r="CZ36" s="60">
        <f t="shared" si="42"/>
        <v>300.63705521148802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7.6923076923076881</v>
      </c>
      <c r="DO36" s="13">
        <f>IF('Données projet'!$A$166&gt;35,DO35+DN36-DW35,IF(A36&lt;'Données projet'!$A$166,$DL$205^A36,IF(A36='Données projet'!$A$166,'Données projet'!$B$166,DO35+DN36-DW35)))</f>
        <v>139.74358974358972</v>
      </c>
      <c r="DP36" s="18">
        <f>DO36*VLOOKUP('Données projet'!$B$14,Paramètres!$A$1:$I$89,3,0)*VLOOKUP('Données projet'!$B$14,Paramètres!$A$1:$I$89,5,0)</f>
        <v>93.739999999999981</v>
      </c>
      <c r="DQ36" s="14">
        <f t="shared" si="43"/>
        <v>25.465074435109123</v>
      </c>
      <c r="DR36" s="22">
        <f t="shared" si="16"/>
        <v>207.61550464114836</v>
      </c>
      <c r="DS36" s="60">
        <f t="shared" si="17"/>
        <v>449.4963504756891</v>
      </c>
      <c r="DT36" s="60">
        <f ca="1">AVERAGE(OFFSET($DS$3,0,0,'Données projet'!$E$14+1,1))-AVERAGE(OFFSET($H$3,0,0,'Données projet'!$E$14+1,1))</f>
        <v>343.94240546037798</v>
      </c>
      <c r="DU36" s="60">
        <f t="shared" si="44"/>
        <v>277.30931495079346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1.1776728257964764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1.1776728257964764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13</v>
      </c>
      <c r="EJ36" s="13">
        <f>IF('Données projet'!$A$192&gt;35,EJ35+EI36-ER35,IF(A36&lt;'Données projet'!$A$192,$EG$205^A36,IF(A36='Données projet'!$A$192,'Données projet'!$B$192,EJ35+EI36-ER35)))</f>
        <v>147</v>
      </c>
      <c r="EK36" s="18">
        <f>EJ36*VLOOKUP('Données projet'!$B$15,Paramètres!$A$1:$I$89,3,0)*VLOOKUP('Données projet'!$B$15,Paramètres!$A$1:$I$89,5,0)</f>
        <v>114.66000000000001</v>
      </c>
      <c r="EL36" s="14">
        <f t="shared" si="45"/>
        <v>30.426251641117418</v>
      </c>
      <c r="EM36" s="22">
        <f t="shared" si="19"/>
        <v>252.69188827494614</v>
      </c>
      <c r="EN36" s="60">
        <f t="shared" si="20"/>
        <v>494.57273410948687</v>
      </c>
      <c r="EO36" s="60">
        <f ca="1">AVERAGE(OFFSET($EN$3,0,0,'Données projet'!$E$15+1,1))-AVERAGE(OFFSET($H$3,0,0,'Données projet'!$E$15+1,1))</f>
        <v>308.76306523144956</v>
      </c>
      <c r="EP36" s="60">
        <f t="shared" si="46"/>
        <v>283.28099819802776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8.6</v>
      </c>
      <c r="FE36" s="13">
        <f>IF('Données projet'!$A$218&gt;35,FE35+FD36-FM35,IF(A36&lt;'Données projet'!$A$218,$FB$205^A36,IF(A36='Données projet'!$A$218,'Données projet'!$B$218,FE35+FD36-FM35)))</f>
        <v>118.79999999999998</v>
      </c>
      <c r="FF36" s="18">
        <f>FE36*VLOOKUP('Données projet'!$B$16,Paramètres!$A$1:$I$89,3,0)*VLOOKUP('Données projet'!$B$16,Paramètres!$A$1:$I$89,5,0)</f>
        <v>103.78367999999999</v>
      </c>
      <c r="FG36" s="14">
        <f t="shared" si="47"/>
        <v>27.861449539780477</v>
      </c>
      <c r="FH36" s="22">
        <f t="shared" si="22"/>
        <v>229.28193394845096</v>
      </c>
      <c r="FI36" s="60">
        <f t="shared" si="23"/>
        <v>471.16277978299172</v>
      </c>
      <c r="FJ36" s="60">
        <f ca="1">AVERAGE(OFFSET($FI$3,0,0,'Données projet'!$E$16+1,1))-AVERAGE(OFFSET($H$3,0,0,'Données projet'!$E$16+1,1))</f>
        <v>296.01124173332352</v>
      </c>
      <c r="FK36" s="60">
        <f t="shared" si="48"/>
        <v>315.50730924873733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6.2</v>
      </c>
      <c r="FZ36" s="13">
        <f>IF('Données projet'!$A$244&gt;35,FZ35+FY36-GH35,IF(A36&lt;'Données projet'!$A$244,$FW$205^A36,IF(A36='Données projet'!$A$244,'Données projet'!$B$244,FZ35+FY36-GH35)))</f>
        <v>88.6</v>
      </c>
      <c r="GA36" s="18">
        <f>FZ36*VLOOKUP('Données projet'!$B$17,Paramètres!$A$1:$I$89,3,0)*VLOOKUP('Données projet'!$B$17,Paramètres!$A$1:$I$89,5,0)</f>
        <v>85.693919999999991</v>
      </c>
      <c r="GB36" s="14">
        <f t="shared" si="49"/>
        <v>23.523757486236178</v>
      </c>
      <c r="GC36" s="22">
        <f t="shared" si="25"/>
        <v>190.22078828852798</v>
      </c>
      <c r="GD36" s="60">
        <f t="shared" si="26"/>
        <v>432.10163412306872</v>
      </c>
      <c r="GE36" s="60">
        <f ca="1">AVERAGE(OFFSET($GD$3,0,0,'Données projet'!$E$17+1,1))-AVERAGE(OFFSET($H$3,0,0,'Données projet'!$E$17+1,1))</f>
        <v>391.18744390931187</v>
      </c>
      <c r="GF36" s="60">
        <f t="shared" si="50"/>
        <v>261.46982358454386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1.2553217950964914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1.2553217950964914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0">
        <f t="shared" si="0"/>
        <v>499.89180875398978</v>
      </c>
      <c r="S37" s="60">
        <f ca="1">AVERAGE(OFFSET($R$3,0,0,'Données projet'!$E$9+1,1))-AVERAGE(OFFSET($H$3,0,0,'Données projet'!$E$9+1,1))</f>
        <v>469.15492079216403</v>
      </c>
      <c r="T37" s="60">
        <f t="shared" si="34"/>
        <v>250.47702091764884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108.66960000000002</v>
      </c>
      <c r="AK37" s="14">
        <f t="shared" si="35"/>
        <v>29.017310316271104</v>
      </c>
      <c r="AL37" s="22">
        <f t="shared" si="4"/>
        <v>239.8047021341722</v>
      </c>
      <c r="AM37" s="60">
        <f t="shared" si="5"/>
        <v>482.57813359628778</v>
      </c>
      <c r="AN37" s="60">
        <f ca="1">AVERAGE(OFFSET($AM$3,0,0,'Données projet'!$E$10+1,1))-AVERAGE(OFFSET($H$3,0,0,'Données projet'!$E$10+1,1))</f>
        <v>442.49274132121275</v>
      </c>
      <c r="AO37" s="60">
        <f t="shared" si="36"/>
        <v>237.37463556402756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7.2</v>
      </c>
      <c r="BD37" s="13">
        <f>IF('Données projet'!$A$88&gt;35,BD36+BC37-BL36,IF(A37&lt;'Données projet'!$A$88,$BA$205^A37,IF(A37='Données projet'!$A$88,'Données projet'!$B$88,BD36+BC37-BL36)))</f>
        <v>145.80000000000001</v>
      </c>
      <c r="BE37" s="14">
        <f>BD37*VLOOKUP('Données projet'!$B$11,Paramètres!$A$1:$I$89,3,0)*VLOOKUP('Données projet'!$B$11,Paramètres!$A$1:$I$89,5,0)</f>
        <v>95.528160000000014</v>
      </c>
      <c r="BF37" s="14">
        <f t="shared" si="37"/>
        <v>25.893823366813674</v>
      </c>
      <c r="BG37" s="22">
        <f t="shared" si="7"/>
        <v>211.47662103053383</v>
      </c>
      <c r="BH37" s="60">
        <f t="shared" si="8"/>
        <v>454.25005249264939</v>
      </c>
      <c r="BI37" s="60">
        <f ca="1">AVERAGE(OFFSET($BH$3,0,0,'Données projet'!$E$11+1,1))-AVERAGE(OFFSET($H$3,0,0,'Données projet'!$E$11+1,1))</f>
        <v>267.90768140488603</v>
      </c>
      <c r="BJ37" s="60">
        <f t="shared" si="38"/>
        <v>280.25465074992258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115.19999999999997</v>
      </c>
      <c r="BZ37" s="14">
        <f>BY37*VLOOKUP('Données projet'!$B$12,Paramètres!$A$1:$I$89,3,0)*VLOOKUP('Données projet'!$B$12,Paramètres!$A$1:$I$89,5,0)</f>
        <v>93.45023999999998</v>
      </c>
      <c r="CA37" s="14">
        <f t="shared" si="39"/>
        <v>25.395509184428445</v>
      </c>
      <c r="CB37" s="22">
        <f t="shared" si="10"/>
        <v>206.98967982954616</v>
      </c>
      <c r="CC37" s="60">
        <f t="shared" si="11"/>
        <v>449.76311129166174</v>
      </c>
      <c r="CD37" s="60">
        <f ca="1">AVERAGE(OFFSET($CC$3,0,0,'Données projet'!$E$12+1,1))-AVERAGE(OFFSET($H$3,0,0,'Données projet'!$E$12+1,1))</f>
        <v>308.6594206517259</v>
      </c>
      <c r="CE37" s="60">
        <f t="shared" si="40"/>
        <v>258.90832875500325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6.4102564102564088</v>
      </c>
      <c r="CT37" s="13">
        <f>IF('Données projet'!$A$140&gt;35,CT36+CS37-DB36,IF(A37&lt;'Données projet'!$A$140,$CQ$205^A37,IF(A37='Données projet'!$A$140,'Données projet'!$B$140,CT36+CS37-DB36)))</f>
        <v>116.66666666666664</v>
      </c>
      <c r="CU37" s="18">
        <f>CT37*VLOOKUP('Données projet'!$B$13,Paramètres!$A$1:$I$89,3,0)*VLOOKUP('Données projet'!$B$13,Paramètres!$A$1:$I$89,5,0)</f>
        <v>111.02</v>
      </c>
      <c r="CV37" s="14">
        <f t="shared" si="41"/>
        <v>29.571175279490561</v>
      </c>
      <c r="CW37" s="22">
        <f t="shared" si="13"/>
        <v>244.86296361177938</v>
      </c>
      <c r="CX37" s="60">
        <f t="shared" si="14"/>
        <v>487.63639507389496</v>
      </c>
      <c r="CY37" s="60">
        <f ca="1">AVERAGE(OFFSET($CX$3,0,0,'Données projet'!$E$13+1,1))-AVERAGE(OFFSET($H$3,0,0,'Données projet'!$E$13+1,1))</f>
        <v>397.63792993520934</v>
      </c>
      <c r="CZ37" s="60">
        <f t="shared" si="42"/>
        <v>300.63705521148802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7.6923076923076881</v>
      </c>
      <c r="DO37" s="13">
        <f>IF('Données projet'!$A$166&gt;35,DO36+DN37-DW36,IF(A37&lt;'Données projet'!$A$166,$DL$205^A37,IF(A37='Données projet'!$A$166,'Données projet'!$B$166,DO36+DN37-DW36)))</f>
        <v>147.4358974358974</v>
      </c>
      <c r="DP37" s="18">
        <f>DO37*VLOOKUP('Données projet'!$B$14,Paramètres!$A$1:$I$89,3,0)*VLOOKUP('Données projet'!$B$14,Paramètres!$A$1:$I$89,5,0)</f>
        <v>98.899999999999977</v>
      </c>
      <c r="DQ37" s="14">
        <f t="shared" si="43"/>
        <v>26.699769255487553</v>
      </c>
      <c r="DR37" s="22">
        <f t="shared" si="16"/>
        <v>218.75293145330741</v>
      </c>
      <c r="DS37" s="60">
        <f t="shared" si="17"/>
        <v>461.52636291542296</v>
      </c>
      <c r="DT37" s="60">
        <f ca="1">AVERAGE(OFFSET($DS$3,0,0,'Données projet'!$E$14+1,1))-AVERAGE(OFFSET($H$3,0,0,'Données projet'!$E$14+1,1))</f>
        <v>343.94240546037798</v>
      </c>
      <c r="DU37" s="60">
        <f t="shared" si="44"/>
        <v>277.30931495079346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1.1454693004439493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1.1454693004439493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13</v>
      </c>
      <c r="EJ37" s="13">
        <f>IF('Données projet'!$A$192&gt;35,EJ36+EI37-ER36,IF(A37&lt;'Données projet'!$A$192,$EG$205^A37,IF(A37='Données projet'!$A$192,'Données projet'!$B$192,EJ36+EI37-ER36)))</f>
        <v>160</v>
      </c>
      <c r="EK37" s="18">
        <f>EJ37*VLOOKUP('Données projet'!$B$15,Paramètres!$A$1:$I$89,3,0)*VLOOKUP('Données projet'!$B$15,Paramètres!$A$1:$I$89,5,0)</f>
        <v>124.80000000000001</v>
      </c>
      <c r="EL37" s="14">
        <f t="shared" si="45"/>
        <v>32.791952217579265</v>
      </c>
      <c r="EM37" s="22">
        <f t="shared" si="19"/>
        <v>274.47265011228387</v>
      </c>
      <c r="EN37" s="60">
        <f t="shared" si="20"/>
        <v>517.24608157439945</v>
      </c>
      <c r="EO37" s="60">
        <f ca="1">AVERAGE(OFFSET($EN$3,0,0,'Données projet'!$E$15+1,1))-AVERAGE(OFFSET($H$3,0,0,'Données projet'!$E$15+1,1))</f>
        <v>308.76306523144956</v>
      </c>
      <c r="EP37" s="60">
        <f t="shared" si="46"/>
        <v>283.28099819802776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8.6</v>
      </c>
      <c r="FE37" s="13">
        <f>IF('Données projet'!$A$218&gt;35,FE36+FD37-FM36,IF(A37&lt;'Données projet'!$A$218,$FB$205^A37,IF(A37='Données projet'!$A$218,'Données projet'!$B$218,FE36+FD37-FM36)))</f>
        <v>127.39999999999998</v>
      </c>
      <c r="FF37" s="18">
        <f>FE37*VLOOKUP('Données projet'!$B$16,Paramètres!$A$1:$I$89,3,0)*VLOOKUP('Données projet'!$B$16,Paramètres!$A$1:$I$89,5,0)</f>
        <v>111.29664</v>
      </c>
      <c r="FG37" s="14">
        <f t="shared" si="47"/>
        <v>29.636274399319777</v>
      </c>
      <c r="FH37" s="22">
        <f t="shared" si="22"/>
        <v>245.45815924548194</v>
      </c>
      <c r="FI37" s="60">
        <f t="shared" si="23"/>
        <v>488.23159070759755</v>
      </c>
      <c r="FJ37" s="60">
        <f ca="1">AVERAGE(OFFSET($FI$3,0,0,'Données projet'!$E$16+1,1))-AVERAGE(OFFSET($H$3,0,0,'Données projet'!$E$16+1,1))</f>
        <v>296.01124173332352</v>
      </c>
      <c r="FK37" s="60">
        <f t="shared" si="48"/>
        <v>315.50730924873733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6.2</v>
      </c>
      <c r="FZ37" s="13">
        <f>IF('Données projet'!$A$244&gt;35,FZ36+FY37-GH36,IF(A37&lt;'Données projet'!$A$244,$FW$205^A37,IF(A37='Données projet'!$A$244,'Données projet'!$B$244,FZ36+FY37-GH36)))</f>
        <v>94.8</v>
      </c>
      <c r="GA37" s="18">
        <f>FZ37*VLOOKUP('Données projet'!$B$17,Paramètres!$A$1:$I$89,3,0)*VLOOKUP('Données projet'!$B$17,Paramètres!$A$1:$I$89,5,0)</f>
        <v>91.690559999999991</v>
      </c>
      <c r="GB37" s="14">
        <f t="shared" si="49"/>
        <v>24.972504708620484</v>
      </c>
      <c r="GC37" s="22">
        <f t="shared" si="25"/>
        <v>203.18817103418067</v>
      </c>
      <c r="GD37" s="60">
        <f t="shared" si="26"/>
        <v>445.96160249629622</v>
      </c>
      <c r="GE37" s="60">
        <f ca="1">AVERAGE(OFFSET($GD$3,0,0,'Données projet'!$E$17+1,1))-AVERAGE(OFFSET($H$3,0,0,'Données projet'!$E$17+1,1))</f>
        <v>391.18744390931187</v>
      </c>
      <c r="GF37" s="60">
        <f t="shared" si="50"/>
        <v>261.46982358454386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1.2209949545950738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1.2209949545950738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0">
        <f t="shared" si="0"/>
        <v>516.31523170121034</v>
      </c>
      <c r="S38" s="60">
        <f ca="1">AVERAGE(OFFSET($R$3,0,0,'Données projet'!$E$9+1,1))-AVERAGE(OFFSET($H$3,0,0,'Données projet'!$E$9+1,1))</f>
        <v>469.15492079216403</v>
      </c>
      <c r="T38" s="60">
        <f t="shared" si="34"/>
        <v>250.47702091764884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115.40880000000001</v>
      </c>
      <c r="AK38" s="14">
        <f t="shared" si="35"/>
        <v>30.60175820334798</v>
      </c>
      <c r="AL38" s="22">
        <f t="shared" si="4"/>
        <v>254.30172220416441</v>
      </c>
      <c r="AM38" s="60">
        <f t="shared" si="5"/>
        <v>497.95225492873891</v>
      </c>
      <c r="AN38" s="60">
        <f ca="1">AVERAGE(OFFSET($AM$3,0,0,'Données projet'!$E$10+1,1))-AVERAGE(OFFSET($H$3,0,0,'Données projet'!$E$10+1,1))</f>
        <v>442.49274132121275</v>
      </c>
      <c r="AO38" s="60">
        <f t="shared" si="36"/>
        <v>237.37463556402756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153</v>
      </c>
      <c r="BB38" s="13">
        <f>VLOOKUP(A38,'Données projet'!$A$87:$I$107,9,0)</f>
        <v>7.2</v>
      </c>
      <c r="BC38" s="13">
        <f t="array" ref="BC38">INDEX(BB:BB,MIN(IF(ISNUMBER(BB38:BB234),ROW(BB38:BB234),"")))</f>
        <v>7.2</v>
      </c>
      <c r="BD38" s="13">
        <f>IF('Données projet'!$A$88&gt;35,BD37+BC38-BL37,IF(A38&lt;'Données projet'!$A$88,$BA$205^A38,IF(A38='Données projet'!$A$88,'Données projet'!$B$88,BD37+BC38-BL37)))</f>
        <v>153</v>
      </c>
      <c r="BE38" s="14">
        <f>BD38*VLOOKUP('Données projet'!$B$11,Paramètres!$A$1:$I$89,3,0)*VLOOKUP('Données projet'!$B$11,Paramètres!$A$1:$I$89,5,0)</f>
        <v>100.2456</v>
      </c>
      <c r="BF38" s="14">
        <f t="shared" si="37"/>
        <v>27.020500005754936</v>
      </c>
      <c r="BG38" s="22">
        <f t="shared" si="7"/>
        <v>221.65512417668984</v>
      </c>
      <c r="BH38" s="60">
        <f t="shared" si="8"/>
        <v>465.30565690126434</v>
      </c>
      <c r="BI38" s="60">
        <f ca="1">AVERAGE(OFFSET($BH$3,0,0,'Données projet'!$E$11+1,1))-AVERAGE(OFFSET($H$3,0,0,'Données projet'!$E$11+1,1))</f>
        <v>267.90768140488603</v>
      </c>
      <c r="BJ38" s="60">
        <f t="shared" si="38"/>
        <v>280.25465074992258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121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120.99999999999997</v>
      </c>
      <c r="BZ38" s="14">
        <f>BY38*VLOOKUP('Données projet'!$B$12,Paramètres!$A$1:$I$89,3,0)*VLOOKUP('Données projet'!$B$12,Paramètres!$A$1:$I$89,5,0)</f>
        <v>98.155199999999979</v>
      </c>
      <c r="CA38" s="14">
        <f t="shared" si="39"/>
        <v>26.522024238465775</v>
      </c>
      <c r="CB38" s="22">
        <f t="shared" si="10"/>
        <v>217.14616554866117</v>
      </c>
      <c r="CC38" s="60">
        <f t="shared" si="11"/>
        <v>460.79669827323568</v>
      </c>
      <c r="CD38" s="60">
        <f ca="1">AVERAGE(OFFSET($CC$3,0,0,'Données projet'!$E$12+1,1))-AVERAGE(OFFSET($H$3,0,0,'Données projet'!$E$12+1,1))</f>
        <v>308.6594206517259</v>
      </c>
      <c r="CE38" s="60">
        <f t="shared" si="40"/>
        <v>258.90832875500325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123.07692307692307</v>
      </c>
      <c r="CR38" s="13">
        <f>VLOOKUP(A38,'Données projet'!$A$139:$I$159,9,0)</f>
        <v>6.4102564102564088</v>
      </c>
      <c r="CS38" s="13">
        <f t="array" ref="CS38">INDEX(CR:CR,MIN(IF(ISNUMBER(CR38:CR234),ROW(CR38:CR234),"")))</f>
        <v>6.4102564102564088</v>
      </c>
      <c r="CT38" s="13">
        <f>IF('Données projet'!$A$140&gt;35,CT37+CS38-DB37,IF(A38&lt;'Données projet'!$A$140,$CQ$205^A38,IF(A38='Données projet'!$A$140,'Données projet'!$B$140,CT37+CS38-DB37)))</f>
        <v>123.07692307692305</v>
      </c>
      <c r="CU38" s="18">
        <f>CT38*VLOOKUP('Données projet'!$B$13,Paramètres!$A$1:$I$89,3,0)*VLOOKUP('Données projet'!$B$13,Paramètres!$A$1:$I$89,5,0)</f>
        <v>117.11999999999999</v>
      </c>
      <c r="CV38" s="14">
        <f t="shared" si="41"/>
        <v>31.002339853075508</v>
      </c>
      <c r="CW38" s="22">
        <f t="shared" si="13"/>
        <v>257.97974191077316</v>
      </c>
      <c r="CX38" s="60">
        <f t="shared" si="14"/>
        <v>501.63027463534763</v>
      </c>
      <c r="CY38" s="60">
        <f ca="1">AVERAGE(OFFSET($CX$3,0,0,'Données projet'!$E$13+1,1))-AVERAGE(OFFSET($H$3,0,0,'Données projet'!$E$13+1,1))</f>
        <v>397.63792993520934</v>
      </c>
      <c r="CZ38" s="60">
        <f t="shared" si="42"/>
        <v>300.63705521148802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155.12820512820511</v>
      </c>
      <c r="DM38" s="13">
        <f>VLOOKUP(A38,'Données projet'!$A$165:$I$185,9,0)</f>
        <v>7.6923076923076881</v>
      </c>
      <c r="DN38" s="13">
        <f t="array" ref="DN38">INDEX(DM:DM,MIN(IF(ISNUMBER(DM38:DM234),ROW(DM38:DM234),"")))</f>
        <v>7.6923076923076881</v>
      </c>
      <c r="DO38" s="13">
        <f>IF('Données projet'!$A$166&gt;35,DO37+DN38-DW37,IF(A38&lt;'Données projet'!$A$166,$DL$205^A38,IF(A38='Données projet'!$A$166,'Données projet'!$B$166,DO37+DN38-DW37)))</f>
        <v>155.12820512820508</v>
      </c>
      <c r="DP38" s="18">
        <f>DO38*VLOOKUP('Données projet'!$B$14,Paramètres!$A$1:$I$89,3,0)*VLOOKUP('Données projet'!$B$14,Paramètres!$A$1:$I$89,5,0)</f>
        <v>104.05999999999997</v>
      </c>
      <c r="DQ38" s="14">
        <f t="shared" si="43"/>
        <v>27.926984861261648</v>
      </c>
      <c r="DR38" s="22">
        <f t="shared" si="16"/>
        <v>229.87733196669731</v>
      </c>
      <c r="DS38" s="60">
        <f t="shared" si="17"/>
        <v>473.52786469127182</v>
      </c>
      <c r="DT38" s="60">
        <f ca="1">AVERAGE(OFFSET($DS$3,0,0,'Données projet'!$E$14+1,1))-AVERAGE(OFFSET($H$3,0,0,'Données projet'!$E$14+1,1))</f>
        <v>343.94240546037798</v>
      </c>
      <c r="DU38" s="60">
        <f t="shared" si="44"/>
        <v>277.30931495079346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1.1141463821856969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1.1141463821856969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173</v>
      </c>
      <c r="EH38" s="13">
        <f>VLOOKUP(A38,'Données projet'!$A$191:$I$211,9,0)</f>
        <v>13</v>
      </c>
      <c r="EI38" s="13">
        <f t="array" ref="EI38">INDEX(EH:EH,MIN(IF(ISNUMBER(EH38:EH234),ROW(EH38:EH234),"")))</f>
        <v>13</v>
      </c>
      <c r="EJ38" s="13">
        <f>IF('Données projet'!$A$192&gt;35,EJ37+EI38-ER37,IF(A38&lt;'Données projet'!$A$192,$EG$205^A38,IF(A38='Données projet'!$A$192,'Données projet'!$B$192,EJ37+EI38-ER37)))</f>
        <v>173</v>
      </c>
      <c r="EK38" s="18">
        <f>EJ38*VLOOKUP('Données projet'!$B$15,Paramètres!$A$1:$I$89,3,0)*VLOOKUP('Données projet'!$B$15,Paramètres!$A$1:$I$89,5,0)</f>
        <v>134.94</v>
      </c>
      <c r="EL38" s="14">
        <f t="shared" si="45"/>
        <v>35.135358771568036</v>
      </c>
      <c r="EM38" s="22">
        <f t="shared" si="19"/>
        <v>296.21458319381429</v>
      </c>
      <c r="EN38" s="60">
        <f t="shared" si="20"/>
        <v>539.86511591838882</v>
      </c>
      <c r="EO38" s="60">
        <f ca="1">AVERAGE(OFFSET($EN$3,0,0,'Données projet'!$E$15+1,1))-AVERAGE(OFFSET($H$3,0,0,'Données projet'!$E$15+1,1))</f>
        <v>308.76306523144956</v>
      </c>
      <c r="EP38" s="60">
        <f t="shared" si="46"/>
        <v>283.28099819802776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27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136</v>
      </c>
      <c r="FC38" s="13">
        <f>VLOOKUP(A38,'Données projet'!$A$217:$I$237,9,0)</f>
        <v>8.6</v>
      </c>
      <c r="FD38" s="13">
        <f t="array" ref="FD38">INDEX(FC:FC,MIN(IF(ISNUMBER(FC38:FC234),ROW(FC38:FC234),"")))</f>
        <v>8.6</v>
      </c>
      <c r="FE38" s="13">
        <f>IF('Données projet'!$A$218&gt;35,FE37+FD38-FM37,IF(A38&lt;'Données projet'!$A$218,$FB$205^A38,IF(A38='Données projet'!$A$218,'Données projet'!$B$218,FE37+FD38-FM37)))</f>
        <v>135.99999999999997</v>
      </c>
      <c r="FF38" s="18">
        <f>FE38*VLOOKUP('Données projet'!$B$16,Paramètres!$A$1:$I$89,3,0)*VLOOKUP('Données projet'!$B$16,Paramètres!$A$1:$I$89,5,0)</f>
        <v>118.8096</v>
      </c>
      <c r="FG38" s="14">
        <f t="shared" si="47"/>
        <v>31.39719715333722</v>
      </c>
      <c r="FH38" s="22">
        <f t="shared" si="22"/>
        <v>261.61017170872896</v>
      </c>
      <c r="FI38" s="60">
        <f t="shared" si="23"/>
        <v>505.26070443330343</v>
      </c>
      <c r="FJ38" s="60">
        <f ca="1">AVERAGE(OFFSET($FI$3,0,0,'Données projet'!$E$16+1,1))-AVERAGE(OFFSET($H$3,0,0,'Données projet'!$E$16+1,1))</f>
        <v>296.01124173332352</v>
      </c>
      <c r="FK38" s="60">
        <f t="shared" si="48"/>
        <v>315.50730924873733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101</v>
      </c>
      <c r="FX38" s="13">
        <f>VLOOKUP(A38,'Données projet'!$A$243:$I$263,9,0)</f>
        <v>6.2</v>
      </c>
      <c r="FY38" s="13">
        <f t="array" ref="FY38">INDEX(FX:FX,MIN(IF(ISNUMBER(FX38:FX234),ROW(FX38:FX234),"")))</f>
        <v>6.2</v>
      </c>
      <c r="FZ38" s="13">
        <f>IF('Données projet'!$A$244&gt;35,FZ37+FY38-GH37,IF(A38&lt;'Données projet'!$A$244,$FW$205^A38,IF(A38='Données projet'!$A$244,'Données projet'!$B$244,FZ37+FY38-GH37)))</f>
        <v>101</v>
      </c>
      <c r="GA38" s="18">
        <f>FZ38*VLOOKUP('Données projet'!$B$17,Paramètres!$A$1:$I$89,3,0)*VLOOKUP('Données projet'!$B$17,Paramètres!$A$1:$I$89,5,0)</f>
        <v>97.687200000000004</v>
      </c>
      <c r="GB38" s="14">
        <f t="shared" si="49"/>
        <v>26.410256715038198</v>
      </c>
      <c r="GC38" s="22">
        <f t="shared" si="25"/>
        <v>216.13640377869152</v>
      </c>
      <c r="GD38" s="60">
        <f t="shared" si="26"/>
        <v>459.78693650326602</v>
      </c>
      <c r="GE38" s="60">
        <f ca="1">AVERAGE(OFFSET($GD$3,0,0,'Données projet'!$E$17+1,1))-AVERAGE(OFFSET($H$3,0,0,'Données projet'!$E$17+1,1))</f>
        <v>391.18744390931187</v>
      </c>
      <c r="GF38" s="60">
        <f t="shared" si="50"/>
        <v>261.46982358454386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1.1876067833523374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1.1876067833523374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0">
        <f t="shared" si="0"/>
        <v>451.73121514757554</v>
      </c>
      <c r="S39" s="60">
        <f ca="1">AVERAGE(OFFSET($R$3,0,0,'Données projet'!$E$9+1,1))-AVERAGE(OFFSET($H$3,0,0,'Données projet'!$E$9+1,1))</f>
        <v>469.15492079216403</v>
      </c>
      <c r="T39" s="60">
        <f t="shared" si="34"/>
        <v>250.47702091764884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87.104160000000007</v>
      </c>
      <c r="AK39" s="14">
        <f t="shared" si="35"/>
        <v>23.865494318543401</v>
      </c>
      <c r="AL39" s="22">
        <f t="shared" si="4"/>
        <v>193.27214793812973</v>
      </c>
      <c r="AM39" s="60">
        <f t="shared" si="5"/>
        <v>437.78456617916413</v>
      </c>
      <c r="AN39" s="60">
        <f ca="1">AVERAGE(OFFSET($AM$3,0,0,'Données projet'!$E$10+1,1))-AVERAGE(OFFSET($H$3,0,0,'Données projet'!$E$10+1,1))</f>
        <v>442.49274132121275</v>
      </c>
      <c r="AO39" s="60">
        <f t="shared" si="36"/>
        <v>237.37463556402756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</v>
      </c>
      <c r="BD39" s="13">
        <f>IF('Données projet'!$A$88&gt;35,BD38+BC39-BL38,IF(A39&lt;'Données projet'!$A$88,$BA$205^A39,IF(A39='Données projet'!$A$88,'Données projet'!$B$88,BD38+BC39-BL38)))</f>
        <v>160</v>
      </c>
      <c r="BE39" s="14">
        <f>BD39*VLOOKUP('Données projet'!$B$11,Paramètres!$A$1:$I$89,3,0)*VLOOKUP('Données projet'!$B$11,Paramètres!$A$1:$I$89,5,0)</f>
        <v>104.83200000000001</v>
      </c>
      <c r="BF39" s="14">
        <f t="shared" si="37"/>
        <v>28.109974371137717</v>
      </c>
      <c r="BG39" s="22">
        <f t="shared" si="7"/>
        <v>231.54060536306486</v>
      </c>
      <c r="BH39" s="60">
        <f t="shared" si="8"/>
        <v>476.05302360409928</v>
      </c>
      <c r="BI39" s="60">
        <f ca="1">AVERAGE(OFFSET($BH$3,0,0,'Données projet'!$E$11+1,1))-AVERAGE(OFFSET($H$3,0,0,'Données projet'!$E$11+1,1))</f>
        <v>267.90768140488603</v>
      </c>
      <c r="BJ39" s="60">
        <f t="shared" si="38"/>
        <v>280.25465074992258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</v>
      </c>
      <c r="BY39" s="13">
        <f>IF('Données projet'!$A$114&gt;35,BY38+BX39-CG38,IF(A39&lt;'Données projet'!$A$114,$BV$205^A39,IF(A39='Données projet'!$A$114,'Données projet'!$B$114,BY38+BX39-CG38)))</f>
        <v>126.99999999999997</v>
      </c>
      <c r="BZ39" s="14">
        <f>BY39*VLOOKUP('Données projet'!$B$12,Paramètres!$A$1:$I$89,3,0)*VLOOKUP('Données projet'!$B$12,Paramètres!$A$1:$I$89,5,0)</f>
        <v>103.02239999999999</v>
      </c>
      <c r="CA39" s="14">
        <f t="shared" si="39"/>
        <v>27.680790106744631</v>
      </c>
      <c r="CB39" s="22">
        <f t="shared" si="10"/>
        <v>227.64138943591354</v>
      </c>
      <c r="CC39" s="60">
        <f t="shared" si="11"/>
        <v>472.15380767694796</v>
      </c>
      <c r="CD39" s="60">
        <f ca="1">AVERAGE(OFFSET($CC$3,0,0,'Données projet'!$E$12+1,1))-AVERAGE(OFFSET($H$3,0,0,'Données projet'!$E$12+1,1))</f>
        <v>308.6594206517259</v>
      </c>
      <c r="CE39" s="60">
        <f t="shared" si="40"/>
        <v>258.90832875500325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5.8974358974359005</v>
      </c>
      <c r="CT39" s="13">
        <f>IF('Données projet'!$A$140&gt;35,CT38+CS39-DB38,IF(A39&lt;'Données projet'!$A$140,$CQ$205^A39,IF(A39='Données projet'!$A$140,'Données projet'!$B$140,CT38+CS39-DB38)))</f>
        <v>128.97435897435895</v>
      </c>
      <c r="CU39" s="18">
        <f>CT39*VLOOKUP('Données projet'!$B$13,Paramètres!$A$1:$I$89,3,0)*VLOOKUP('Données projet'!$B$13,Paramètres!$A$1:$I$89,5,0)</f>
        <v>122.73199999999997</v>
      </c>
      <c r="CV39" s="14">
        <f t="shared" si="41"/>
        <v>32.311356202721527</v>
      </c>
      <c r="CW39" s="22">
        <f t="shared" si="13"/>
        <v>270.0338453864066</v>
      </c>
      <c r="CX39" s="60">
        <f t="shared" si="14"/>
        <v>514.54626362744102</v>
      </c>
      <c r="CY39" s="60">
        <f ca="1">AVERAGE(OFFSET($CX$3,0,0,'Données projet'!$E$13+1,1))-AVERAGE(OFFSET($H$3,0,0,'Données projet'!$E$13+1,1))</f>
        <v>397.63792993520934</v>
      </c>
      <c r="CZ39" s="60">
        <f t="shared" si="42"/>
        <v>300.63705521148802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7.1794871794871824</v>
      </c>
      <c r="DO39" s="13">
        <f>IF('Données projet'!$A$166&gt;35,DO38+DN39-DW38,IF(A39&lt;'Données projet'!$A$166,$DL$205^A39,IF(A39='Données projet'!$A$166,'Données projet'!$B$166,DO38+DN39-DW38)))</f>
        <v>162.30769230769226</v>
      </c>
      <c r="DP39" s="18">
        <f>DO39*VLOOKUP('Données projet'!$B$14,Paramètres!$A$1:$I$89,3,0)*VLOOKUP('Données projet'!$B$14,Paramètres!$A$1:$I$89,5,0)</f>
        <v>108.87599999999998</v>
      </c>
      <c r="DQ39" s="14">
        <f t="shared" si="43"/>
        <v>29.066003313709214</v>
      </c>
      <c r="DR39" s="22">
        <f t="shared" si="16"/>
        <v>240.24898910471018</v>
      </c>
      <c r="DS39" s="60">
        <f t="shared" si="17"/>
        <v>484.7614073457446</v>
      </c>
      <c r="DT39" s="60">
        <f ca="1">AVERAGE(OFFSET($DS$3,0,0,'Données projet'!$E$14+1,1))-AVERAGE(OFFSET($H$3,0,0,'Données projet'!$E$14+1,1))</f>
        <v>343.94240546037798</v>
      </c>
      <c r="DU39" s="60">
        <f t="shared" si="44"/>
        <v>277.30931495079346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1.0836799907744172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1.0836799907744172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12.4</v>
      </c>
      <c r="EJ39" s="13">
        <f>IF('Données projet'!$A$192&gt;35,EJ38+EI39-ER38,IF(A39&lt;'Données projet'!$A$192,$EG$205^A39,IF(A39='Données projet'!$A$192,'Données projet'!$B$192,EJ38+EI39-ER38)))</f>
        <v>158.4</v>
      </c>
      <c r="EK39" s="18">
        <f>EJ39*VLOOKUP('Données projet'!$B$15,Paramètres!$A$1:$I$89,3,0)*VLOOKUP('Données projet'!$B$15,Paramètres!$A$1:$I$89,5,0)</f>
        <v>123.55200000000001</v>
      </c>
      <c r="EL39" s="14">
        <f t="shared" si="45"/>
        <v>32.502033262579566</v>
      </c>
      <c r="EM39" s="22">
        <f t="shared" si="19"/>
        <v>271.79410793232609</v>
      </c>
      <c r="EN39" s="60">
        <f t="shared" si="20"/>
        <v>516.30652617336045</v>
      </c>
      <c r="EO39" s="60">
        <f ca="1">AVERAGE(OFFSET($EN$3,0,0,'Données projet'!$E$15+1,1))-AVERAGE(OFFSET($H$3,0,0,'Données projet'!$E$15+1,1))</f>
        <v>308.76306523144956</v>
      </c>
      <c r="EP39" s="60">
        <f t="shared" si="46"/>
        <v>283.28099819802776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7.6</v>
      </c>
      <c r="FE39" s="13">
        <f>IF('Données projet'!$A$218&gt;35,FE38+FD39-FM38,IF(A39&lt;'Données projet'!$A$218,$FB$205^A39,IF(A39='Données projet'!$A$218,'Données projet'!$B$218,FE38+FD39-FM38)))</f>
        <v>143.59999999999997</v>
      </c>
      <c r="FF39" s="18">
        <f>FE39*VLOOKUP('Données projet'!$B$16,Paramètres!$A$1:$I$89,3,0)*VLOOKUP('Données projet'!$B$16,Paramètres!$A$1:$I$89,5,0)</f>
        <v>125.44895999999997</v>
      </c>
      <c r="FG39" s="14">
        <f t="shared" si="47"/>
        <v>32.942576545548221</v>
      </c>
      <c r="FH39" s="22">
        <f t="shared" si="22"/>
        <v>275.86525948349646</v>
      </c>
      <c r="FI39" s="60">
        <f t="shared" si="23"/>
        <v>520.37767772453094</v>
      </c>
      <c r="FJ39" s="60">
        <f ca="1">AVERAGE(OFFSET($FI$3,0,0,'Données projet'!$E$16+1,1))-AVERAGE(OFFSET($H$3,0,0,'Données projet'!$E$16+1,1))</f>
        <v>296.01124173332352</v>
      </c>
      <c r="FK39" s="60">
        <f t="shared" si="48"/>
        <v>315.50730924873733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6.2</v>
      </c>
      <c r="FZ39" s="13">
        <f>IF('Données projet'!$A$244&gt;35,FZ38+FY39-GH38,IF(A39&lt;'Données projet'!$A$244,$FW$205^A39,IF(A39='Données projet'!$A$244,'Données projet'!$B$244,FZ38+FY39-GH38)))</f>
        <v>107.2</v>
      </c>
      <c r="GA39" s="18">
        <f>FZ39*VLOOKUP('Données projet'!$B$17,Paramètres!$A$1:$I$89,3,0)*VLOOKUP('Données projet'!$B$17,Paramètres!$A$1:$I$89,5,0)</f>
        <v>103.68384</v>
      </c>
      <c r="GB39" s="14">
        <f t="shared" si="49"/>
        <v>27.837765311159082</v>
      </c>
      <c r="GC39" s="22">
        <f t="shared" si="25"/>
        <v>229.06679591693538</v>
      </c>
      <c r="GD39" s="60">
        <f t="shared" si="26"/>
        <v>473.57921415796977</v>
      </c>
      <c r="GE39" s="60">
        <f ca="1">AVERAGE(OFFSET($GD$3,0,0,'Données projet'!$E$17+1,1))-AVERAGE(OFFSET($H$3,0,0,'Données projet'!$E$17+1,1))</f>
        <v>391.18744390931187</v>
      </c>
      <c r="GF39" s="60">
        <f t="shared" si="50"/>
        <v>261.46982358454386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1.1551316134080414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1.1551316134080414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0">
        <f t="shared" si="0"/>
        <v>468.97891308142749</v>
      </c>
      <c r="S40" s="60">
        <f ca="1">AVERAGE(OFFSET($R$3,0,0,'Données projet'!$E$9+1,1))-AVERAGE(OFFSET($H$3,0,0,'Données projet'!$E$9+1,1))</f>
        <v>469.15492079216403</v>
      </c>
      <c r="T40" s="60">
        <f t="shared" si="34"/>
        <v>250.47702091764884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94.180320000000009</v>
      </c>
      <c r="AK40" s="14">
        <f t="shared" si="35"/>
        <v>25.570738079029208</v>
      </c>
      <c r="AL40" s="22">
        <f t="shared" si="4"/>
        <v>208.5664261543092</v>
      </c>
      <c r="AM40" s="60">
        <f t="shared" si="5"/>
        <v>453.9257781249803</v>
      </c>
      <c r="AN40" s="60">
        <f ca="1">AVERAGE(OFFSET($AM$3,0,0,'Données projet'!$E$10+1,1))-AVERAGE(OFFSET($H$3,0,0,'Données projet'!$E$10+1,1))</f>
        <v>442.49274132121275</v>
      </c>
      <c r="AO40" s="60">
        <f t="shared" si="36"/>
        <v>237.37463556402756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167</v>
      </c>
      <c r="BE40" s="14">
        <f>BD40*VLOOKUP('Données projet'!$B$11,Paramètres!$A$1:$I$89,3,0)*VLOOKUP('Données projet'!$B$11,Paramètres!$A$1:$I$89,5,0)</f>
        <v>109.41840000000001</v>
      </c>
      <c r="BF40" s="14">
        <f t="shared" si="37"/>
        <v>29.193912826430967</v>
      </c>
      <c r="BG40" s="22">
        <f t="shared" si="7"/>
        <v>241.41644483936727</v>
      </c>
      <c r="BH40" s="60">
        <f t="shared" si="8"/>
        <v>486.7757968100384</v>
      </c>
      <c r="BI40" s="60">
        <f ca="1">AVERAGE(OFFSET($BH$3,0,0,'Données projet'!$E$11+1,1))-AVERAGE(OFFSET($H$3,0,0,'Données projet'!$E$11+1,1))</f>
        <v>267.90768140488603</v>
      </c>
      <c r="BJ40" s="60">
        <f t="shared" si="38"/>
        <v>280.25465074992258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</v>
      </c>
      <c r="BY40" s="13">
        <f>IF('Données projet'!$A$114&gt;35,BY39+BX40-CG39,IF(A40&lt;'Données projet'!$A$114,$BV$205^A40,IF(A40='Données projet'!$A$114,'Données projet'!$B$114,BY39+BX40-CG39)))</f>
        <v>132.99999999999997</v>
      </c>
      <c r="BZ40" s="14">
        <f>BY40*VLOOKUP('Données projet'!$B$12,Paramètres!$A$1:$I$89,3,0)*VLOOKUP('Données projet'!$B$12,Paramètres!$A$1:$I$89,5,0)</f>
        <v>107.88959999999997</v>
      </c>
      <c r="CA40" s="14">
        <f t="shared" si="39"/>
        <v>28.833198667365593</v>
      </c>
      <c r="CB40" s="22">
        <f t="shared" si="10"/>
        <v>238.12554101232834</v>
      </c>
      <c r="CC40" s="60">
        <f t="shared" si="11"/>
        <v>483.48489298299944</v>
      </c>
      <c r="CD40" s="60">
        <f ca="1">AVERAGE(OFFSET($CC$3,0,0,'Données projet'!$E$12+1,1))-AVERAGE(OFFSET($H$3,0,0,'Données projet'!$E$12+1,1))</f>
        <v>308.6594206517259</v>
      </c>
      <c r="CE40" s="60">
        <f t="shared" si="40"/>
        <v>258.90832875500325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5.8974358974359005</v>
      </c>
      <c r="CT40" s="13">
        <f>IF('Données projet'!$A$140&gt;35,CT39+CS40-DB39,IF(A40&lt;'Données projet'!$A$140,$CQ$205^A40,IF(A40='Données projet'!$A$140,'Données projet'!$B$140,CT39+CS40-DB39)))</f>
        <v>134.87179487179486</v>
      </c>
      <c r="CU40" s="18">
        <f>CT40*VLOOKUP('Données projet'!$B$13,Paramètres!$A$1:$I$89,3,0)*VLOOKUP('Données projet'!$B$13,Paramètres!$A$1:$I$89,5,0)</f>
        <v>128.34399999999999</v>
      </c>
      <c r="CV40" s="14">
        <f t="shared" si="41"/>
        <v>33.613421309084202</v>
      </c>
      <c r="CW40" s="22">
        <f t="shared" si="13"/>
        <v>282.07584211332158</v>
      </c>
      <c r="CX40" s="60">
        <f t="shared" si="14"/>
        <v>527.43519408399266</v>
      </c>
      <c r="CY40" s="60">
        <f ca="1">AVERAGE(OFFSET($CX$3,0,0,'Données projet'!$E$13+1,1))-AVERAGE(OFFSET($H$3,0,0,'Données projet'!$E$13+1,1))</f>
        <v>397.63792993520934</v>
      </c>
      <c r="CZ40" s="60">
        <f t="shared" si="42"/>
        <v>300.63705521148802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7.1794871794871824</v>
      </c>
      <c r="DO40" s="13">
        <f>IF('Données projet'!$A$166&gt;35,DO39+DN40-DW39,IF(A40&lt;'Données projet'!$A$166,$DL$205^A40,IF(A40='Données projet'!$A$166,'Données projet'!$B$166,DO39+DN40-DW39)))</f>
        <v>169.48717948717945</v>
      </c>
      <c r="DP40" s="18">
        <f>DO40*VLOOKUP('Données projet'!$B$14,Paramètres!$A$1:$I$89,3,0)*VLOOKUP('Données projet'!$B$14,Paramètres!$A$1:$I$89,5,0)</f>
        <v>113.69199999999996</v>
      </c>
      <c r="DQ40" s="14">
        <f t="shared" si="43"/>
        <v>30.199170227619049</v>
      </c>
      <c r="DR40" s="22">
        <f t="shared" si="16"/>
        <v>250.61045481310308</v>
      </c>
      <c r="DS40" s="60">
        <f t="shared" si="17"/>
        <v>495.96980678377417</v>
      </c>
      <c r="DT40" s="60">
        <f ca="1">AVERAGE(OFFSET($DS$3,0,0,'Données projet'!$E$14+1,1))-AVERAGE(OFFSET($H$3,0,0,'Données projet'!$E$14+1,1))</f>
        <v>343.94240546037798</v>
      </c>
      <c r="DU40" s="60">
        <f t="shared" si="44"/>
        <v>277.30931495079346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1.054046704438437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1.054046704438437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12.4</v>
      </c>
      <c r="EJ40" s="13">
        <f>IF('Données projet'!$A$192&gt;35,EJ39+EI40-ER39,IF(A40&lt;'Données projet'!$A$192,$EG$205^A40,IF(A40='Données projet'!$A$192,'Données projet'!$B$192,EJ39+EI40-ER39)))</f>
        <v>170.8</v>
      </c>
      <c r="EK40" s="18">
        <f>EJ40*VLOOKUP('Données projet'!$B$15,Paramètres!$A$1:$I$89,3,0)*VLOOKUP('Données projet'!$B$15,Paramètres!$A$1:$I$89,5,0)</f>
        <v>133.22400000000002</v>
      </c>
      <c r="EL40" s="14">
        <f t="shared" si="45"/>
        <v>34.740265606230608</v>
      </c>
      <c r="EM40" s="22">
        <f t="shared" si="19"/>
        <v>292.53776259751834</v>
      </c>
      <c r="EN40" s="60">
        <f t="shared" si="20"/>
        <v>537.89711456818941</v>
      </c>
      <c r="EO40" s="60">
        <f ca="1">AVERAGE(OFFSET($EN$3,0,0,'Données projet'!$E$15+1,1))-AVERAGE(OFFSET($H$3,0,0,'Données projet'!$E$15+1,1))</f>
        <v>308.76306523144956</v>
      </c>
      <c r="EP40" s="60">
        <f t="shared" si="46"/>
        <v>283.28099819802776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7.6</v>
      </c>
      <c r="FE40" s="13">
        <f>IF('Données projet'!$A$218&gt;35,FE39+FD40-FM39,IF(A40&lt;'Données projet'!$A$218,$FB$205^A40,IF(A40='Données projet'!$A$218,'Données projet'!$B$218,FE39+FD40-FM39)))</f>
        <v>151.19999999999996</v>
      </c>
      <c r="FF40" s="18">
        <f>FE40*VLOOKUP('Données projet'!$B$16,Paramètres!$A$1:$I$89,3,0)*VLOOKUP('Données projet'!$B$16,Paramètres!$A$1:$I$89,5,0)</f>
        <v>132.08831999999998</v>
      </c>
      <c r="FG40" s="14">
        <f t="shared" si="47"/>
        <v>34.47846029657056</v>
      </c>
      <c r="FH40" s="22">
        <f t="shared" si="22"/>
        <v>290.10380901652701</v>
      </c>
      <c r="FI40" s="60">
        <f t="shared" si="23"/>
        <v>535.46316098719808</v>
      </c>
      <c r="FJ40" s="60">
        <f ca="1">AVERAGE(OFFSET($FI$3,0,0,'Données projet'!$E$16+1,1))-AVERAGE(OFFSET($H$3,0,0,'Données projet'!$E$16+1,1))</f>
        <v>296.01124173332352</v>
      </c>
      <c r="FK40" s="60">
        <f t="shared" si="48"/>
        <v>315.50730924873733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6.2</v>
      </c>
      <c r="FZ40" s="13">
        <f>IF('Données projet'!$A$244&gt;35,FZ39+FY40-GH39,IF(A40&lt;'Données projet'!$A$244,$FW$205^A40,IF(A40='Données projet'!$A$244,'Données projet'!$B$244,FZ39+FY40-GH39)))</f>
        <v>113.4</v>
      </c>
      <c r="GA40" s="18">
        <f>FZ40*VLOOKUP('Données projet'!$B$17,Paramètres!$A$1:$I$89,3,0)*VLOOKUP('Données projet'!$B$17,Paramètres!$A$1:$I$89,5,0)</f>
        <v>109.68048000000002</v>
      </c>
      <c r="GB40" s="14">
        <f t="shared" si="49"/>
        <v>29.255690427909659</v>
      </c>
      <c r="GC40" s="22">
        <f t="shared" si="25"/>
        <v>241.98049682860935</v>
      </c>
      <c r="GD40" s="60">
        <f t="shared" si="26"/>
        <v>487.33984879928045</v>
      </c>
      <c r="GE40" s="60">
        <f ca="1">AVERAGE(OFFSET($GD$3,0,0,'Données projet'!$E$17+1,1))-AVERAGE(OFFSET($H$3,0,0,'Données projet'!$E$17+1,1))</f>
        <v>391.18744390931187</v>
      </c>
      <c r="GF40" s="60">
        <f t="shared" si="50"/>
        <v>261.46982358454386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1.123544478693667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1.123544478693667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0">
        <f t="shared" si="0"/>
        <v>486.18434475748268</v>
      </c>
      <c r="S41" s="60">
        <f ca="1">AVERAGE(OFFSET($R$3,0,0,'Données projet'!$E$9+1,1))-AVERAGE(OFFSET($H$3,0,0,'Données projet'!$E$9+1,1))</f>
        <v>469.15492079216403</v>
      </c>
      <c r="T41" s="60">
        <f t="shared" si="34"/>
        <v>250.47702091764884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101.25648000000002</v>
      </c>
      <c r="AK41" s="14">
        <f t="shared" si="35"/>
        <v>27.261118700621143</v>
      </c>
      <c r="AL41" s="22">
        <f t="shared" si="4"/>
        <v>223.83481773691517</v>
      </c>
      <c r="AM41" s="60">
        <f t="shared" si="5"/>
        <v>470.02641103047392</v>
      </c>
      <c r="AN41" s="60">
        <f ca="1">AVERAGE(OFFSET($AM$3,0,0,'Données projet'!$E$10+1,1))-AVERAGE(OFFSET($H$3,0,0,'Données projet'!$E$10+1,1))</f>
        <v>442.49274132121275</v>
      </c>
      <c r="AO41" s="60">
        <f t="shared" si="36"/>
        <v>237.37463556402756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174</v>
      </c>
      <c r="BE41" s="14">
        <f>BD41*VLOOKUP('Données projet'!$B$11,Paramètres!$A$1:$I$89,3,0)*VLOOKUP('Données projet'!$B$11,Paramètres!$A$1:$I$89,5,0)</f>
        <v>114.0048</v>
      </c>
      <c r="BF41" s="14">
        <f t="shared" si="37"/>
        <v>30.272573949217303</v>
      </c>
      <c r="BG41" s="22">
        <f t="shared" si="7"/>
        <v>251.28309296155342</v>
      </c>
      <c r="BH41" s="60">
        <f t="shared" si="8"/>
        <v>497.47468625511215</v>
      </c>
      <c r="BI41" s="60">
        <f ca="1">AVERAGE(OFFSET($BH$3,0,0,'Données projet'!$E$11+1,1))-AVERAGE(OFFSET($H$3,0,0,'Données projet'!$E$11+1,1))</f>
        <v>267.90768140488603</v>
      </c>
      <c r="BJ41" s="60">
        <f t="shared" si="38"/>
        <v>280.25465074992258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</v>
      </c>
      <c r="BY41" s="13">
        <f>IF('Données projet'!$A$114&gt;35,BY40+BX41-CG40,IF(A41&lt;'Données projet'!$A$114,$BV$205^A41,IF(A41='Données projet'!$A$114,'Données projet'!$B$114,BY40+BX41-CG40)))</f>
        <v>138.99999999999997</v>
      </c>
      <c r="BZ41" s="14">
        <f>BY41*VLOOKUP('Données projet'!$B$12,Paramètres!$A$1:$I$89,3,0)*VLOOKUP('Données projet'!$B$12,Paramètres!$A$1:$I$89,5,0)</f>
        <v>112.75679999999998</v>
      </c>
      <c r="CA41" s="14">
        <f t="shared" si="39"/>
        <v>29.979569481474449</v>
      </c>
      <c r="CB41" s="22">
        <f t="shared" si="10"/>
        <v>248.59917684690132</v>
      </c>
      <c r="CC41" s="60">
        <f t="shared" si="11"/>
        <v>494.79077014046004</v>
      </c>
      <c r="CD41" s="60">
        <f ca="1">AVERAGE(OFFSET($CC$3,0,0,'Données projet'!$E$12+1,1))-AVERAGE(OFFSET($H$3,0,0,'Données projet'!$E$12+1,1))</f>
        <v>308.6594206517259</v>
      </c>
      <c r="CE41" s="60">
        <f t="shared" si="40"/>
        <v>258.90832875500325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5.8974358974359005</v>
      </c>
      <c r="CT41" s="13">
        <f>IF('Données projet'!$A$140&gt;35,CT40+CS41-DB40,IF(A41&lt;'Données projet'!$A$140,$CQ$205^A41,IF(A41='Données projet'!$A$140,'Données projet'!$B$140,CT40+CS41-DB40)))</f>
        <v>140.76923076923077</v>
      </c>
      <c r="CU41" s="18">
        <f>CT41*VLOOKUP('Données projet'!$B$13,Paramètres!$A$1:$I$89,3,0)*VLOOKUP('Données projet'!$B$13,Paramètres!$A$1:$I$89,5,0)</f>
        <v>133.95599999999999</v>
      </c>
      <c r="CV41" s="14">
        <f t="shared" si="41"/>
        <v>34.908873862106219</v>
      </c>
      <c r="CW41" s="22">
        <f t="shared" si="13"/>
        <v>294.10632197650165</v>
      </c>
      <c r="CX41" s="60">
        <f t="shared" si="14"/>
        <v>540.29791527006034</v>
      </c>
      <c r="CY41" s="60">
        <f ca="1">AVERAGE(OFFSET($CX$3,0,0,'Données projet'!$E$13+1,1))-AVERAGE(OFFSET($H$3,0,0,'Données projet'!$E$13+1,1))</f>
        <v>397.63792993520934</v>
      </c>
      <c r="CZ41" s="60">
        <f t="shared" si="42"/>
        <v>300.63705521148802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7.1794871794871824</v>
      </c>
      <c r="DO41" s="13">
        <f>IF('Données projet'!$A$166&gt;35,DO40+DN41-DW40,IF(A41&lt;'Données projet'!$A$166,$DL$205^A41,IF(A41='Données projet'!$A$166,'Données projet'!$B$166,DO40+DN41-DW40)))</f>
        <v>176.66666666666663</v>
      </c>
      <c r="DP41" s="18">
        <f>DO41*VLOOKUP('Données projet'!$B$14,Paramètres!$A$1:$I$89,3,0)*VLOOKUP('Données projet'!$B$14,Paramètres!$A$1:$I$89,5,0)</f>
        <v>118.50799999999998</v>
      </c>
      <c r="DQ41" s="14">
        <f t="shared" si="43"/>
        <v>31.326761814194999</v>
      </c>
      <c r="DR41" s="22">
        <f t="shared" si="16"/>
        <v>260.96221015972293</v>
      </c>
      <c r="DS41" s="60">
        <f t="shared" si="17"/>
        <v>507.15380345328163</v>
      </c>
      <c r="DT41" s="60">
        <f ca="1">AVERAGE(OFFSET($DS$3,0,0,'Données projet'!$E$14+1,1))-AVERAGE(OFFSET($H$3,0,0,'Données projet'!$E$14+1,1))</f>
        <v>343.94240546037798</v>
      </c>
      <c r="DU41" s="60">
        <f t="shared" si="44"/>
        <v>277.30931495079346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1.0252237418756607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1.0252237418756607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12.4</v>
      </c>
      <c r="EJ41" s="13">
        <f>IF('Données projet'!$A$192&gt;35,EJ40+EI41-ER40,IF(A41&lt;'Données projet'!$A$192,$EG$205^A41,IF(A41='Données projet'!$A$192,'Données projet'!$B$192,EJ40+EI41-ER40)))</f>
        <v>183.20000000000002</v>
      </c>
      <c r="EK41" s="18">
        <f>EJ41*VLOOKUP('Données projet'!$B$15,Paramètres!$A$1:$I$89,3,0)*VLOOKUP('Données projet'!$B$15,Paramètres!$A$1:$I$89,5,0)</f>
        <v>142.89600000000002</v>
      </c>
      <c r="EL41" s="14">
        <f t="shared" si="45"/>
        <v>36.959645797372403</v>
      </c>
      <c r="EM41" s="22">
        <f t="shared" si="19"/>
        <v>313.24858309709026</v>
      </c>
      <c r="EN41" s="60">
        <f t="shared" si="20"/>
        <v>559.44017639064896</v>
      </c>
      <c r="EO41" s="60">
        <f ca="1">AVERAGE(OFFSET($EN$3,0,0,'Données projet'!$E$15+1,1))-AVERAGE(OFFSET($H$3,0,0,'Données projet'!$E$15+1,1))</f>
        <v>308.76306523144956</v>
      </c>
      <c r="EP41" s="60">
        <f t="shared" si="46"/>
        <v>283.28099819802776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7.6</v>
      </c>
      <c r="FE41" s="13">
        <f>IF('Données projet'!$A$218&gt;35,FE40+FD41-FM40,IF(A41&lt;'Données projet'!$A$218,$FB$205^A41,IF(A41='Données projet'!$A$218,'Données projet'!$B$218,FE40+FD41-FM40)))</f>
        <v>158.79999999999995</v>
      </c>
      <c r="FF41" s="18">
        <f>FE41*VLOOKUP('Données projet'!$B$16,Paramètres!$A$1:$I$89,3,0)*VLOOKUP('Données projet'!$B$16,Paramètres!$A$1:$I$89,5,0)</f>
        <v>138.72767999999999</v>
      </c>
      <c r="FG41" s="14">
        <f t="shared" si="47"/>
        <v>36.005380160492741</v>
      </c>
      <c r="FH41" s="22">
        <f t="shared" si="22"/>
        <v>304.32674644619152</v>
      </c>
      <c r="FI41" s="60">
        <f t="shared" si="23"/>
        <v>550.51833973975022</v>
      </c>
      <c r="FJ41" s="60">
        <f ca="1">AVERAGE(OFFSET($FI$3,0,0,'Données projet'!$E$16+1,1))-AVERAGE(OFFSET($H$3,0,0,'Données projet'!$E$16+1,1))</f>
        <v>296.01124173332352</v>
      </c>
      <c r="FK41" s="60">
        <f t="shared" si="48"/>
        <v>315.50730924873733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6.2</v>
      </c>
      <c r="FZ41" s="13">
        <f>IF('Données projet'!$A$244&gt;35,FZ40+FY41-GH40,IF(A41&lt;'Données projet'!$A$244,$FW$205^A41,IF(A41='Données projet'!$A$244,'Données projet'!$B$244,FZ40+FY41-GH40)))</f>
        <v>119.60000000000001</v>
      </c>
      <c r="GA41" s="18">
        <f>FZ41*VLOOKUP('Données projet'!$B$17,Paramètres!$A$1:$I$89,3,0)*VLOOKUP('Données projet'!$B$17,Paramètres!$A$1:$I$89,5,0)</f>
        <v>115.67712</v>
      </c>
      <c r="GB41" s="14">
        <f t="shared" si="49"/>
        <v>30.664615758900723</v>
      </c>
      <c r="GC41" s="22">
        <f t="shared" si="25"/>
        <v>254.87852311341874</v>
      </c>
      <c r="GD41" s="60">
        <f t="shared" si="26"/>
        <v>501.07011640697749</v>
      </c>
      <c r="GE41" s="60">
        <f ca="1">AVERAGE(OFFSET($GD$3,0,0,'Données projet'!$E$17+1,1))-AVERAGE(OFFSET($H$3,0,0,'Données projet'!$E$17+1,1))</f>
        <v>391.18744390931187</v>
      </c>
      <c r="GF41" s="60">
        <f t="shared" si="50"/>
        <v>261.46982358454386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1.0928210958391524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1.0928210958391524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0">
        <f t="shared" si="0"/>
        <v>503.34991120189488</v>
      </c>
      <c r="S42" s="60">
        <f ca="1">AVERAGE(OFFSET($R$3,0,0,'Données projet'!$E$9+1,1))-AVERAGE(OFFSET($H$3,0,0,'Données projet'!$E$9+1,1))</f>
        <v>469.15492079216403</v>
      </c>
      <c r="T42" s="60">
        <f t="shared" si="34"/>
        <v>250.47702091764884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108.33264000000003</v>
      </c>
      <c r="AK42" s="14">
        <f t="shared" si="35"/>
        <v>28.937793020723745</v>
      </c>
      <c r="AL42" s="22">
        <f t="shared" si="4"/>
        <v>239.07933751109388</v>
      </c>
      <c r="AM42" s="60">
        <f t="shared" si="5"/>
        <v>486.088734601201</v>
      </c>
      <c r="AN42" s="60">
        <f ca="1">AVERAGE(OFFSET($AM$3,0,0,'Données projet'!$E$10+1,1))-AVERAGE(OFFSET($H$3,0,0,'Données projet'!$E$10+1,1))</f>
        <v>442.49274132121275</v>
      </c>
      <c r="AO42" s="60">
        <f t="shared" si="36"/>
        <v>237.37463556402756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181</v>
      </c>
      <c r="BE42" s="14">
        <f>BD42*VLOOKUP('Données projet'!$B$11,Paramètres!$A$1:$I$89,3,0)*VLOOKUP('Données projet'!$B$11,Paramètres!$A$1:$I$89,5,0)</f>
        <v>118.5912</v>
      </c>
      <c r="BF42" s="14">
        <f t="shared" si="37"/>
        <v>31.346194334434067</v>
      </c>
      <c r="BG42" s="22">
        <f t="shared" si="7"/>
        <v>261.14096179913935</v>
      </c>
      <c r="BH42" s="60">
        <f t="shared" si="8"/>
        <v>508.15035888924649</v>
      </c>
      <c r="BI42" s="60">
        <f ca="1">AVERAGE(OFFSET($BH$3,0,0,'Données projet'!$E$11+1,1))-AVERAGE(OFFSET($H$3,0,0,'Données projet'!$E$11+1,1))</f>
        <v>267.90768140488603</v>
      </c>
      <c r="BJ42" s="60">
        <f t="shared" si="38"/>
        <v>280.25465074992258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</v>
      </c>
      <c r="BY42" s="13">
        <f>IF('Données projet'!$A$114&gt;35,BY41+BX42-CG41,IF(A42&lt;'Données projet'!$A$114,$BV$205^A42,IF(A42='Données projet'!$A$114,'Données projet'!$B$114,BY41+BX42-CG41)))</f>
        <v>144.99999999999997</v>
      </c>
      <c r="BZ42" s="14">
        <f>BY42*VLOOKUP('Données projet'!$B$12,Paramètres!$A$1:$I$89,3,0)*VLOOKUP('Données projet'!$B$12,Paramètres!$A$1:$I$89,5,0)</f>
        <v>117.624</v>
      </c>
      <c r="CA42" s="14">
        <f t="shared" si="39"/>
        <v>31.120192961985413</v>
      </c>
      <c r="CB42" s="22">
        <f t="shared" si="10"/>
        <v>259.06280274212457</v>
      </c>
      <c r="CC42" s="60">
        <f t="shared" si="11"/>
        <v>506.07219983223172</v>
      </c>
      <c r="CD42" s="60">
        <f ca="1">AVERAGE(OFFSET($CC$3,0,0,'Données projet'!$E$12+1,1))-AVERAGE(OFFSET($H$3,0,0,'Données projet'!$E$12+1,1))</f>
        <v>308.6594206517259</v>
      </c>
      <c r="CE42" s="60">
        <f t="shared" si="40"/>
        <v>258.90832875500325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5.8974358974359005</v>
      </c>
      <c r="CT42" s="13">
        <f>IF('Données projet'!$A$140&gt;35,CT41+CS42-DB41,IF(A42&lt;'Données projet'!$A$140,$CQ$205^A42,IF(A42='Données projet'!$A$140,'Données projet'!$B$140,CT41+CS42-DB41)))</f>
        <v>146.66666666666669</v>
      </c>
      <c r="CU42" s="18">
        <f>CT42*VLOOKUP('Données projet'!$B$13,Paramètres!$A$1:$I$89,3,0)*VLOOKUP('Données projet'!$B$13,Paramètres!$A$1:$I$89,5,0)</f>
        <v>139.56800000000004</v>
      </c>
      <c r="CV42" s="14">
        <f t="shared" si="41"/>
        <v>36.198022567902328</v>
      </c>
      <c r="CW42" s="22">
        <f t="shared" si="13"/>
        <v>306.12582263909667</v>
      </c>
      <c r="CX42" s="60">
        <f t="shared" si="14"/>
        <v>553.13521972920375</v>
      </c>
      <c r="CY42" s="60">
        <f ca="1">AVERAGE(OFFSET($CX$3,0,0,'Données projet'!$E$13+1,1))-AVERAGE(OFFSET($H$3,0,0,'Données projet'!$E$13+1,1))</f>
        <v>397.63792993520934</v>
      </c>
      <c r="CZ42" s="60">
        <f t="shared" si="42"/>
        <v>300.63705521148802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7.1794871794871824</v>
      </c>
      <c r="DO42" s="13">
        <f>IF('Données projet'!$A$166&gt;35,DO41+DN42-DW41,IF(A42&lt;'Données projet'!$A$166,$DL$205^A42,IF(A42='Données projet'!$A$166,'Données projet'!$B$166,DO41+DN42-DW41)))</f>
        <v>183.84615384615381</v>
      </c>
      <c r="DP42" s="18">
        <f>DO42*VLOOKUP('Données projet'!$B$14,Paramètres!$A$1:$I$89,3,0)*VLOOKUP('Données projet'!$B$14,Paramètres!$A$1:$I$89,5,0)</f>
        <v>123.32399999999998</v>
      </c>
      <c r="DQ42" s="14">
        <f t="shared" si="43"/>
        <v>32.449030564483699</v>
      </c>
      <c r="DR42" s="22">
        <f t="shared" si="16"/>
        <v>271.30469489980908</v>
      </c>
      <c r="DS42" s="60">
        <f t="shared" si="17"/>
        <v>518.31409198991616</v>
      </c>
      <c r="DT42" s="60">
        <f ca="1">AVERAGE(OFFSET($DS$3,0,0,'Données projet'!$E$14+1,1))-AVERAGE(OFFSET($H$3,0,0,'Données projet'!$E$14+1,1))</f>
        <v>343.94240546037798</v>
      </c>
      <c r="DU42" s="60">
        <f t="shared" si="44"/>
        <v>277.30931495079346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0.99718894473989728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0.99718894473989728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12.4</v>
      </c>
      <c r="EJ42" s="13">
        <f>IF('Données projet'!$A$192&gt;35,EJ41+EI42-ER41,IF(A42&lt;'Données projet'!$A$192,$EG$205^A42,IF(A42='Données projet'!$A$192,'Données projet'!$B$192,EJ41+EI42-ER41)))</f>
        <v>195.60000000000002</v>
      </c>
      <c r="EK42" s="18">
        <f>EJ42*VLOOKUP('Données projet'!$B$15,Paramètres!$A$1:$I$89,3,0)*VLOOKUP('Données projet'!$B$15,Paramètres!$A$1:$I$89,5,0)</f>
        <v>152.56800000000001</v>
      </c>
      <c r="EL42" s="14">
        <f t="shared" si="45"/>
        <v>39.161595030150863</v>
      </c>
      <c r="EM42" s="22">
        <f t="shared" si="19"/>
        <v>333.92904467751276</v>
      </c>
      <c r="EN42" s="60">
        <f t="shared" si="20"/>
        <v>580.93844176761991</v>
      </c>
      <c r="EO42" s="60">
        <f ca="1">AVERAGE(OFFSET($EN$3,0,0,'Données projet'!$E$15+1,1))-AVERAGE(OFFSET($H$3,0,0,'Données projet'!$E$15+1,1))</f>
        <v>308.76306523144956</v>
      </c>
      <c r="EP42" s="60">
        <f t="shared" si="46"/>
        <v>283.28099819802776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7.6</v>
      </c>
      <c r="FE42" s="13">
        <f>IF('Données projet'!$A$218&gt;35,FE41+FD42-FM41,IF(A42&lt;'Données projet'!$A$218,$FB$205^A42,IF(A42='Données projet'!$A$218,'Données projet'!$B$218,FE41+FD42-FM41)))</f>
        <v>166.39999999999995</v>
      </c>
      <c r="FF42" s="18">
        <f>FE42*VLOOKUP('Données projet'!$B$16,Paramètres!$A$1:$I$89,3,0)*VLOOKUP('Données projet'!$B$16,Paramètres!$A$1:$I$89,5,0)</f>
        <v>145.36703999999997</v>
      </c>
      <c r="FG42" s="14">
        <f t="shared" si="47"/>
        <v>37.523814117080803</v>
      </c>
      <c r="FH42" s="22">
        <f t="shared" si="22"/>
        <v>318.53490425391573</v>
      </c>
      <c r="FI42" s="60">
        <f t="shared" si="23"/>
        <v>565.54430134402287</v>
      </c>
      <c r="FJ42" s="60">
        <f ca="1">AVERAGE(OFFSET($FI$3,0,0,'Données projet'!$E$16+1,1))-AVERAGE(OFFSET($H$3,0,0,'Données projet'!$E$16+1,1))</f>
        <v>296.01124173332352</v>
      </c>
      <c r="FK42" s="60">
        <f t="shared" si="48"/>
        <v>315.50730924873733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6.2</v>
      </c>
      <c r="FZ42" s="13">
        <f>IF('Données projet'!$A$244&gt;35,FZ41+FY42-GH41,IF(A42&lt;'Données projet'!$A$244,$FW$205^A42,IF(A42='Données projet'!$A$244,'Données projet'!$B$244,FZ41+FY42-GH41)))</f>
        <v>125.80000000000001</v>
      </c>
      <c r="GA42" s="18">
        <f>FZ42*VLOOKUP('Données projet'!$B$17,Paramètres!$A$1:$I$89,3,0)*VLOOKUP('Données projet'!$B$17,Paramètres!$A$1:$I$89,5,0)</f>
        <v>121.67376000000002</v>
      </c>
      <c r="GB42" s="14">
        <f t="shared" si="49"/>
        <v>32.065061062921984</v>
      </c>
      <c r="GC42" s="22">
        <f t="shared" si="25"/>
        <v>267.76178001792249</v>
      </c>
      <c r="GD42" s="60">
        <f t="shared" si="26"/>
        <v>514.77117710802963</v>
      </c>
      <c r="GE42" s="60">
        <f ca="1">AVERAGE(OFFSET($GD$3,0,0,'Données projet'!$E$17+1,1))-AVERAGE(OFFSET($H$3,0,0,'Données projet'!$E$17+1,1))</f>
        <v>391.18744390931187</v>
      </c>
      <c r="GF42" s="60">
        <f t="shared" si="50"/>
        <v>261.46982358454386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1.0629378455044671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1.0629378455044671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0">
        <f t="shared" si="0"/>
        <v>520.47771279575659</v>
      </c>
      <c r="S43" s="60">
        <f ca="1">AVERAGE(OFFSET($R$3,0,0,'Données projet'!$E$9+1,1))-AVERAGE(OFFSET($H$3,0,0,'Données projet'!$E$9+1,1))</f>
        <v>469.15492079216403</v>
      </c>
      <c r="T43" s="60">
        <f t="shared" si="34"/>
        <v>250.47702091764884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115.40880000000003</v>
      </c>
      <c r="AK43" s="14">
        <f t="shared" si="35"/>
        <v>30.60175820334798</v>
      </c>
      <c r="AL43" s="22">
        <f t="shared" si="4"/>
        <v>254.30172220416443</v>
      </c>
      <c r="AM43" s="60">
        <f t="shared" si="5"/>
        <v>502.11473602328522</v>
      </c>
      <c r="AN43" s="60">
        <f ca="1">AVERAGE(OFFSET($AM$3,0,0,'Données projet'!$E$10+1,1))-AVERAGE(OFFSET($H$3,0,0,'Données projet'!$E$10+1,1))</f>
        <v>442.49274132121275</v>
      </c>
      <c r="AO43" s="60">
        <f t="shared" si="36"/>
        <v>237.37463556402756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188</v>
      </c>
      <c r="BB43" s="13">
        <f>VLOOKUP(A43,'Données projet'!$A$87:$I$107,9,0)</f>
        <v>7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188</v>
      </c>
      <c r="BE43" s="14">
        <f>BD43*VLOOKUP('Données projet'!$B$11,Paramètres!$A$1:$I$89,3,0)*VLOOKUP('Données projet'!$B$11,Paramètres!$A$1:$I$89,5,0)</f>
        <v>123.1776</v>
      </c>
      <c r="BF43" s="14">
        <f t="shared" si="37"/>
        <v>32.414991240570416</v>
      </c>
      <c r="BG43" s="22">
        <f t="shared" si="7"/>
        <v>270.99042974399345</v>
      </c>
      <c r="BH43" s="60">
        <f t="shared" si="8"/>
        <v>518.80344356311423</v>
      </c>
      <c r="BI43" s="60">
        <f ca="1">AVERAGE(OFFSET($BH$3,0,0,'Données projet'!$E$11+1,1))-AVERAGE(OFFSET($H$3,0,0,'Données projet'!$E$11+1,1))</f>
        <v>267.90768140488603</v>
      </c>
      <c r="BJ43" s="60">
        <f t="shared" si="38"/>
        <v>280.25465074992258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151</v>
      </c>
      <c r="BW43" s="13">
        <f>VLOOKUP(A43,'Données projet'!$A$113:$I$133,9,0)</f>
        <v>6</v>
      </c>
      <c r="BX43" s="13">
        <f t="array" ref="BX43">INDEX(BW:BW,MIN(IF(ISNUMBER(BW43:BW239),ROW(BW43:BW239),"")))</f>
        <v>6</v>
      </c>
      <c r="BY43" s="13">
        <f>IF('Données projet'!$A$114&gt;35,BY42+BX43-CG42,IF(A43&lt;'Données projet'!$A$114,$BV$205^A43,IF(A43='Données projet'!$A$114,'Données projet'!$B$114,BY42+BX43-CG42)))</f>
        <v>150.99999999999997</v>
      </c>
      <c r="BZ43" s="14">
        <f>BY43*VLOOKUP('Données projet'!$B$12,Paramètres!$A$1:$I$89,3,0)*VLOOKUP('Données projet'!$B$12,Paramètres!$A$1:$I$89,5,0)</f>
        <v>122.49119999999998</v>
      </c>
      <c r="CA43" s="14">
        <f t="shared" si="39"/>
        <v>32.255334127777445</v>
      </c>
      <c r="CB43" s="22">
        <f t="shared" si="10"/>
        <v>269.51688027254562</v>
      </c>
      <c r="CC43" s="60">
        <f t="shared" si="11"/>
        <v>517.32989409166646</v>
      </c>
      <c r="CD43" s="60">
        <f ca="1">AVERAGE(OFFSET($CC$3,0,0,'Données projet'!$E$12+1,1))-AVERAGE(OFFSET($H$3,0,0,'Données projet'!$E$12+1,1))</f>
        <v>308.6594206517259</v>
      </c>
      <c r="CE43" s="60">
        <f t="shared" si="40"/>
        <v>258.90832875500325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25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152.56410256410257</v>
      </c>
      <c r="CR43" s="13">
        <f>VLOOKUP(A43,'Données projet'!$A$139:$I$159,9,0)</f>
        <v>5.8974358974359005</v>
      </c>
      <c r="CS43" s="13">
        <f t="array" ref="CS43">INDEX(CR:CR,MIN(IF(ISNUMBER(CR43:CR239),ROW(CR43:CR239),"")))</f>
        <v>5.8974358974359005</v>
      </c>
      <c r="CT43" s="13">
        <f>IF('Données projet'!$A$140&gt;35,CT42+CS43-DB42,IF(A43&lt;'Données projet'!$A$140,$CQ$205^A43,IF(A43='Données projet'!$A$140,'Données projet'!$B$140,CT42+CS43-DB42)))</f>
        <v>152.5641025641026</v>
      </c>
      <c r="CU43" s="18">
        <f>CT43*VLOOKUP('Données projet'!$B$13,Paramètres!$A$1:$I$89,3,0)*VLOOKUP('Données projet'!$B$13,Paramètres!$A$1:$I$89,5,0)</f>
        <v>145.18000000000004</v>
      </c>
      <c r="CV43" s="14">
        <f t="shared" si="41"/>
        <v>37.481149901429028</v>
      </c>
      <c r="CW43" s="22">
        <f t="shared" si="13"/>
        <v>318.13483607832228</v>
      </c>
      <c r="CX43" s="60">
        <f t="shared" si="14"/>
        <v>565.94784989744312</v>
      </c>
      <c r="CY43" s="60">
        <f ca="1">AVERAGE(OFFSET($CX$3,0,0,'Données projet'!$E$13+1,1))-AVERAGE(OFFSET($H$3,0,0,'Données projet'!$E$13+1,1))</f>
        <v>397.63792993520934</v>
      </c>
      <c r="CZ43" s="60">
        <f t="shared" si="42"/>
        <v>300.63705521148802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28.846153846153847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191.02564102564102</v>
      </c>
      <c r="DM43" s="13">
        <f>VLOOKUP(A43,'Données projet'!$A$165:$I$185,9,0)</f>
        <v>7.1794871794871824</v>
      </c>
      <c r="DN43" s="13">
        <f t="array" ref="DN43">INDEX(DM:DM,MIN(IF(ISNUMBER(DM43:DM239),ROW(DM43:DM239),"")))</f>
        <v>7.1794871794871824</v>
      </c>
      <c r="DO43" s="13">
        <f>IF('Données projet'!$A$166&gt;35,DO42+DN43-DW42,IF(A43&lt;'Données projet'!$A$166,$DL$205^A43,IF(A43='Données projet'!$A$166,'Données projet'!$B$166,DO42+DN43-DW42)))</f>
        <v>191.02564102564099</v>
      </c>
      <c r="DP43" s="18">
        <f>DO43*VLOOKUP('Données projet'!$B$14,Paramètres!$A$1:$I$89,3,0)*VLOOKUP('Données projet'!$B$14,Paramètres!$A$1:$I$89,5,0)</f>
        <v>128.13999999999999</v>
      </c>
      <c r="DQ43" s="14">
        <f t="shared" si="43"/>
        <v>33.566208132601098</v>
      </c>
      <c r="DR43" s="22">
        <f t="shared" si="16"/>
        <v>281.63831249761353</v>
      </c>
      <c r="DS43" s="60">
        <f t="shared" si="17"/>
        <v>529.45132631673437</v>
      </c>
      <c r="DT43" s="60">
        <f ca="1">AVERAGE(OFFSET($DS$3,0,0,'Données projet'!$E$14+1,1))-AVERAGE(OFFSET($H$3,0,0,'Données projet'!$E$14+1,1))</f>
        <v>343.94240546037798</v>
      </c>
      <c r="DU43" s="60">
        <f t="shared" si="44"/>
        <v>277.30931495079346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34.615384615384613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0.96992076060609733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0.96992076060609733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208</v>
      </c>
      <c r="EH43" s="13">
        <f>VLOOKUP(A43,'Données projet'!$A$191:$I$211,9,0)</f>
        <v>12.4</v>
      </c>
      <c r="EI43" s="13">
        <f t="array" ref="EI43">INDEX(EH:EH,MIN(IF(ISNUMBER(EH43:EH239),ROW(EH43:EH239),"")))</f>
        <v>12.4</v>
      </c>
      <c r="EJ43" s="13">
        <f>IF('Données projet'!$A$192&gt;35,EJ42+EI43-ER42,IF(A43&lt;'Données projet'!$A$192,$EG$205^A43,IF(A43='Données projet'!$A$192,'Données projet'!$B$192,EJ42+EI43-ER42)))</f>
        <v>208.00000000000003</v>
      </c>
      <c r="EK43" s="18">
        <f>EJ43*VLOOKUP('Données projet'!$B$15,Paramètres!$A$1:$I$89,3,0)*VLOOKUP('Données projet'!$B$15,Paramètres!$A$1:$I$89,5,0)</f>
        <v>162.24000000000004</v>
      </c>
      <c r="EL43" s="14">
        <f t="shared" si="45"/>
        <v>41.347344120141088</v>
      </c>
      <c r="EM43" s="22">
        <f t="shared" si="19"/>
        <v>354.58129100924572</v>
      </c>
      <c r="EN43" s="60">
        <f t="shared" si="20"/>
        <v>602.39430482836656</v>
      </c>
      <c r="EO43" s="60">
        <f ca="1">AVERAGE(OFFSET($EN$3,0,0,'Données projet'!$E$15+1,1))-AVERAGE(OFFSET($H$3,0,0,'Données projet'!$E$15+1,1))</f>
        <v>308.76306523144956</v>
      </c>
      <c r="EP43" s="60">
        <f t="shared" si="46"/>
        <v>283.28099819802776</v>
      </c>
      <c r="EQ43" s="16">
        <f>IF(ISNA(VLOOKUP(A43,'Données projet'!$A$191:$I$211,3,0)),0,VLOOKUP(A43,'Données projet'!$A$191:$I$211,3,0))</f>
        <v>4</v>
      </c>
      <c r="ER43" s="16">
        <f>IF(ISNA(VLOOKUP(A43,'Données projet'!$A$191:$I$211,4,0)),0,VLOOKUP(A43,'Données projet'!$A$191:$I$211,4,0))</f>
        <v>32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174</v>
      </c>
      <c r="FC43" s="13">
        <f>VLOOKUP(A43,'Données projet'!$A$217:$I$237,9,0)</f>
        <v>7.6</v>
      </c>
      <c r="FD43" s="13">
        <f t="array" ref="FD43">INDEX(FC:FC,MIN(IF(ISNUMBER(FC43:FC239),ROW(FC43:FC239),"")))</f>
        <v>7.6</v>
      </c>
      <c r="FE43" s="13">
        <f>IF('Données projet'!$A$218&gt;35,FE42+FD43-FM42,IF(A43&lt;'Données projet'!$A$218,$FB$205^A43,IF(A43='Données projet'!$A$218,'Données projet'!$B$218,FE42+FD43-FM42)))</f>
        <v>173.99999999999994</v>
      </c>
      <c r="FF43" s="18">
        <f>FE43*VLOOKUP('Données projet'!$B$16,Paramètres!$A$1:$I$89,3,0)*VLOOKUP('Données projet'!$B$16,Paramètres!$A$1:$I$89,5,0)</f>
        <v>152.00639999999999</v>
      </c>
      <c r="FG43" s="14">
        <f t="shared" si="47"/>
        <v>39.03419401656145</v>
      </c>
      <c r="FH43" s="22">
        <f t="shared" si="22"/>
        <v>332.72903457884451</v>
      </c>
      <c r="FI43" s="60">
        <f t="shared" si="23"/>
        <v>580.54204839796535</v>
      </c>
      <c r="FJ43" s="60">
        <f ca="1">AVERAGE(OFFSET($FI$3,0,0,'Données projet'!$E$16+1,1))-AVERAGE(OFFSET($H$3,0,0,'Données projet'!$E$16+1,1))</f>
        <v>296.01124173332352</v>
      </c>
      <c r="FK43" s="60">
        <f t="shared" si="48"/>
        <v>315.50730924873733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132</v>
      </c>
      <c r="FX43" s="13">
        <f>VLOOKUP(A43,'Données projet'!$A$243:$I$263,9,0)</f>
        <v>6.2</v>
      </c>
      <c r="FY43" s="13">
        <f t="array" ref="FY43">INDEX(FX:FX,MIN(IF(ISNUMBER(FX43:FX239),ROW(FX43:FX239),"")))</f>
        <v>6.2</v>
      </c>
      <c r="FZ43" s="13">
        <f>IF('Données projet'!$A$244&gt;35,FZ42+FY43-GH42,IF(A43&lt;'Données projet'!$A$244,$FW$205^A43,IF(A43='Données projet'!$A$244,'Données projet'!$B$244,FZ42+FY43-GH42)))</f>
        <v>132</v>
      </c>
      <c r="GA43" s="18">
        <f>FZ43*VLOOKUP('Données projet'!$B$17,Paramètres!$A$1:$I$89,3,0)*VLOOKUP('Données projet'!$B$17,Paramètres!$A$1:$I$89,5,0)</f>
        <v>127.67040000000001</v>
      </c>
      <c r="GB43" s="14">
        <f t="shared" si="49"/>
        <v>33.457491972285482</v>
      </c>
      <c r="GC43" s="22">
        <f t="shared" si="25"/>
        <v>280.63107851839726</v>
      </c>
      <c r="GD43" s="60">
        <f t="shared" si="26"/>
        <v>528.4440923375181</v>
      </c>
      <c r="GE43" s="60">
        <f ca="1">AVERAGE(OFFSET($GD$3,0,0,'Données projet'!$E$17+1,1))-AVERAGE(OFFSET($H$3,0,0,'Données projet'!$E$17+1,1))</f>
        <v>391.18744390931187</v>
      </c>
      <c r="GF43" s="60">
        <f t="shared" si="50"/>
        <v>261.46982358454386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31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1.0338717542216755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1.0338717542216755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0">
        <f t="shared" si="0"/>
        <v>537.56960590435619</v>
      </c>
      <c r="S44" s="60">
        <f ca="1">AVERAGE(OFFSET($R$3,0,0,'Données projet'!$E$9+1,1))-AVERAGE(OFFSET($H$3,0,0,'Données projet'!$E$9+1,1))</f>
        <v>469.15492079216403</v>
      </c>
      <c r="T44" s="60">
        <f t="shared" si="34"/>
        <v>250.47702091764884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122.48496000000003</v>
      </c>
      <c r="AK44" s="14">
        <f t="shared" si="35"/>
        <v>32.25388222264565</v>
      </c>
      <c r="AL44" s="22">
        <f t="shared" si="4"/>
        <v>269.50348353777451</v>
      </c>
      <c r="AM44" s="60">
        <f t="shared" si="5"/>
        <v>518.10617313227851</v>
      </c>
      <c r="AN44" s="60">
        <f ca="1">AVERAGE(OFFSET($AM$3,0,0,'Données projet'!$E$10+1,1))-AVERAGE(OFFSET($H$3,0,0,'Données projet'!$E$10+1,1))</f>
        <v>442.49274132121275</v>
      </c>
      <c r="AO44" s="60">
        <f t="shared" si="36"/>
        <v>237.37463556402756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6.4</v>
      </c>
      <c r="BD44" s="13">
        <f>IF('Données projet'!$A$88&gt;35,BD43+BC44-BL43,IF(A44&lt;'Données projet'!$A$88,$BA$205^A44,IF(A44='Données projet'!$A$88,'Données projet'!$B$88,BD43+BC44-BL43)))</f>
        <v>151.4</v>
      </c>
      <c r="BE44" s="14">
        <f>BD44*VLOOKUP('Données projet'!$B$11,Paramètres!$A$1:$I$89,3,0)*VLOOKUP('Données projet'!$B$11,Paramètres!$A$1:$I$89,5,0)</f>
        <v>99.197280000000006</v>
      </c>
      <c r="BF44" s="14">
        <f t="shared" si="37"/>
        <v>26.770670966897111</v>
      </c>
      <c r="BG44" s="22">
        <f t="shared" si="7"/>
        <v>219.39418126734577</v>
      </c>
      <c r="BH44" s="60">
        <f t="shared" si="8"/>
        <v>467.99687086184974</v>
      </c>
      <c r="BI44" s="60">
        <f ca="1">AVERAGE(OFFSET($BH$3,0,0,'Données projet'!$E$11+1,1))-AVERAGE(OFFSET($H$3,0,0,'Données projet'!$E$11+1,1))</f>
        <v>267.90768140488603</v>
      </c>
      <c r="BJ44" s="60">
        <f t="shared" si="38"/>
        <v>280.25465074992258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</v>
      </c>
      <c r="BY44" s="13">
        <f>IF('Données projet'!$A$114&gt;35,BY43+BX44-CG43,IF(A44&lt;'Données projet'!$A$114,$BV$205^A44,IF(A44='Données projet'!$A$114,'Données projet'!$B$114,BY43+BX44-CG43)))</f>
        <v>131.99999999999997</v>
      </c>
      <c r="BZ44" s="14">
        <f>BY44*VLOOKUP('Données projet'!$B$12,Paramètres!$A$1:$I$89,3,0)*VLOOKUP('Données projet'!$B$12,Paramètres!$A$1:$I$89,5,0)</f>
        <v>107.07839999999999</v>
      </c>
      <c r="CA44" s="14">
        <f t="shared" si="39"/>
        <v>28.64155810910178</v>
      </c>
      <c r="CB44" s="22">
        <f t="shared" si="10"/>
        <v>236.37892704001885</v>
      </c>
      <c r="CC44" s="60">
        <f t="shared" si="11"/>
        <v>484.98161663452282</v>
      </c>
      <c r="CD44" s="60">
        <f ca="1">AVERAGE(OFFSET($CC$3,0,0,'Données projet'!$E$12+1,1))-AVERAGE(OFFSET($H$3,0,0,'Données projet'!$E$12+1,1))</f>
        <v>308.6594206517259</v>
      </c>
      <c r="CE44" s="60">
        <f t="shared" si="40"/>
        <v>258.90832875500325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5.7692307692307683</v>
      </c>
      <c r="CT44" s="13">
        <f>IF('Données projet'!$A$140&gt;35,CT43+CS44-DB43,IF(A44&lt;'Données projet'!$A$140,$CQ$205^A44,IF(A44='Données projet'!$A$140,'Données projet'!$B$140,CT43+CS44-DB43)))</f>
        <v>129.48717948717953</v>
      </c>
      <c r="CU44" s="18">
        <f>CT44*VLOOKUP('Données projet'!$B$13,Paramètres!$A$1:$I$89,3,0)*VLOOKUP('Données projet'!$B$13,Paramètres!$A$1:$I$89,5,0)</f>
        <v>123.22000000000006</v>
      </c>
      <c r="CV44" s="14">
        <f t="shared" si="41"/>
        <v>32.42485010818541</v>
      </c>
      <c r="CW44" s="22">
        <f t="shared" si="13"/>
        <v>271.08144727175636</v>
      </c>
      <c r="CX44" s="60">
        <f t="shared" si="14"/>
        <v>519.68413686626036</v>
      </c>
      <c r="CY44" s="60">
        <f ca="1">AVERAGE(OFFSET($CX$3,0,0,'Données projet'!$E$13+1,1))-AVERAGE(OFFSET($H$3,0,0,'Données projet'!$E$13+1,1))</f>
        <v>397.63792993520934</v>
      </c>
      <c r="CZ44" s="60">
        <f t="shared" si="42"/>
        <v>300.63705521148802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6.7948717948717956</v>
      </c>
      <c r="DO44" s="13">
        <f>IF('Données projet'!$A$166&gt;35,DO43+DN44-DW43,IF(A44&lt;'Données projet'!$A$166,$DL$205^A44,IF(A44='Données projet'!$A$166,'Données projet'!$B$166,DO43+DN44-DW43)))</f>
        <v>163.20512820512818</v>
      </c>
      <c r="DP44" s="18">
        <f>DO44*VLOOKUP('Données projet'!$B$14,Paramètres!$A$1:$I$89,3,0)*VLOOKUP('Données projet'!$B$14,Paramètres!$A$1:$I$89,5,0)</f>
        <v>109.47799999999999</v>
      </c>
      <c r="DQ44" s="14">
        <f t="shared" si="43"/>
        <v>29.207963273678622</v>
      </c>
      <c r="DR44" s="22">
        <f t="shared" si="16"/>
        <v>241.5447193683236</v>
      </c>
      <c r="DS44" s="60">
        <f t="shared" si="17"/>
        <v>490.14740896282757</v>
      </c>
      <c r="DT44" s="60">
        <f ca="1">AVERAGE(OFFSET($DS$3,0,0,'Données projet'!$E$14+1,1))-AVERAGE(OFFSET($H$3,0,0,'Données projet'!$E$14+1,1))</f>
        <v>343.94240546037798</v>
      </c>
      <c r="DU44" s="60">
        <f t="shared" si="44"/>
        <v>277.30931495079346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0.94339822640140758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0.94339822640140758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187.40000000000003</v>
      </c>
      <c r="EK44" s="18">
        <f>EJ44*VLOOKUP('Données projet'!$B$15,Paramètres!$A$1:$I$89,3,0)*VLOOKUP('Données projet'!$B$15,Paramètres!$A$1:$I$89,5,0)</f>
        <v>146.17200000000003</v>
      </c>
      <c r="EL44" s="14">
        <f t="shared" si="45"/>
        <v>37.707354374771185</v>
      </c>
      <c r="EM44" s="22">
        <f t="shared" si="19"/>
        <v>320.25654220272645</v>
      </c>
      <c r="EN44" s="60">
        <f t="shared" si="20"/>
        <v>568.85923179723045</v>
      </c>
      <c r="EO44" s="60">
        <f ca="1">AVERAGE(OFFSET($EN$3,0,0,'Données projet'!$E$15+1,1))-AVERAGE(OFFSET($H$3,0,0,'Données projet'!$E$15+1,1))</f>
        <v>308.76306523144956</v>
      </c>
      <c r="EP44" s="60">
        <f t="shared" si="46"/>
        <v>283.28099819802776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6.6</v>
      </c>
      <c r="FE44" s="13">
        <f>IF('Données projet'!$A$218&gt;35,FE43+FD44-FM43,IF(A44&lt;'Données projet'!$A$218,$FB$205^A44,IF(A44='Données projet'!$A$218,'Données projet'!$B$218,FE43+FD44-FM43)))</f>
        <v>138.59999999999994</v>
      </c>
      <c r="FF44" s="18">
        <f>FE44*VLOOKUP('Données projet'!$B$16,Paramètres!$A$1:$I$89,3,0)*VLOOKUP('Données projet'!$B$16,Paramètres!$A$1:$I$89,5,0)</f>
        <v>121.08095999999996</v>
      </c>
      <c r="FG44" s="14">
        <f t="shared" si="47"/>
        <v>31.926983727887041</v>
      </c>
      <c r="FH44" s="22">
        <f t="shared" si="22"/>
        <v>266.48883532606988</v>
      </c>
      <c r="FI44" s="60">
        <f t="shared" si="23"/>
        <v>515.09152492057387</v>
      </c>
      <c r="FJ44" s="60">
        <f ca="1">AVERAGE(OFFSET($FI$3,0,0,'Données projet'!$E$16+1,1))-AVERAGE(OFFSET($H$3,0,0,'Données projet'!$E$16+1,1))</f>
        <v>296.01124173332352</v>
      </c>
      <c r="FK44" s="60">
        <f t="shared" si="48"/>
        <v>315.50730924873733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6.4</v>
      </c>
      <c r="FZ44" s="13">
        <f>IF('Données projet'!$A$244&gt;35,FZ43+FY44-GH43,IF(A44&lt;'Données projet'!$A$244,$FW$205^A44,IF(A44='Données projet'!$A$244,'Données projet'!$B$244,FZ43+FY44-GH43)))</f>
        <v>107.4</v>
      </c>
      <c r="GA44" s="18">
        <f>FZ44*VLOOKUP('Données projet'!$B$17,Paramètres!$A$1:$I$89,3,0)*VLOOKUP('Données projet'!$B$17,Paramètres!$A$1:$I$89,5,0)</f>
        <v>103.87728000000001</v>
      </c>
      <c r="GB44" s="14">
        <f t="shared" si="49"/>
        <v>27.883651095560161</v>
      </c>
      <c r="GC44" s="22">
        <f t="shared" si="25"/>
        <v>229.48362165810065</v>
      </c>
      <c r="GD44" s="60">
        <f t="shared" si="26"/>
        <v>478.08631125260462</v>
      </c>
      <c r="GE44" s="60">
        <f ca="1">AVERAGE(OFFSET($GD$3,0,0,'Données projet'!$E$17+1,1))-AVERAGE(OFFSET($H$3,0,0,'Données projet'!$E$17+1,1))</f>
        <v>391.18744390931187</v>
      </c>
      <c r="GF44" s="60">
        <f t="shared" si="50"/>
        <v>261.46982358454386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1.0056004767335311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1.0056004767335311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0">
        <f t="shared" si="0"/>
        <v>554.62724606031429</v>
      </c>
      <c r="S45" s="60">
        <f ca="1">AVERAGE(OFFSET($R$3,0,0,'Données projet'!$E$9+1,1))-AVERAGE(OFFSET($H$3,0,0,'Données projet'!$E$9+1,1))</f>
        <v>469.15492079216403</v>
      </c>
      <c r="T45" s="60">
        <f t="shared" si="34"/>
        <v>250.47702091764884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129.56112000000005</v>
      </c>
      <c r="AK45" s="14">
        <f t="shared" si="35"/>
        <v>33.894927099295955</v>
      </c>
      <c r="AL45" s="22">
        <f t="shared" si="4"/>
        <v>284.68594869794055</v>
      </c>
      <c r="AM45" s="60">
        <f t="shared" si="5"/>
        <v>534.06461495857525</v>
      </c>
      <c r="AN45" s="60">
        <f ca="1">AVERAGE(OFFSET($AM$3,0,0,'Données projet'!$E$10+1,1))-AVERAGE(OFFSET($H$3,0,0,'Données projet'!$E$10+1,1))</f>
        <v>442.49274132121275</v>
      </c>
      <c r="AO45" s="60">
        <f t="shared" si="36"/>
        <v>237.37463556402756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6.4</v>
      </c>
      <c r="BD45" s="13">
        <f>IF('Données projet'!$A$88&gt;35,BD44+BC45-BL44,IF(A45&lt;'Données projet'!$A$88,$BA$205^A45,IF(A45='Données projet'!$A$88,'Données projet'!$B$88,BD44+BC45-BL44)))</f>
        <v>157.80000000000001</v>
      </c>
      <c r="BE45" s="14">
        <f>BD45*VLOOKUP('Données projet'!$B$11,Paramètres!$A$1:$I$89,3,0)*VLOOKUP('Données projet'!$B$11,Paramètres!$A$1:$I$89,5,0)</f>
        <v>103.39055999999999</v>
      </c>
      <c r="BF45" s="14">
        <f t="shared" si="37"/>
        <v>27.768177525719913</v>
      </c>
      <c r="BG45" s="22">
        <f t="shared" si="7"/>
        <v>228.43480119062883</v>
      </c>
      <c r="BH45" s="60">
        <f t="shared" si="8"/>
        <v>477.81346745126359</v>
      </c>
      <c r="BI45" s="60">
        <f ca="1">AVERAGE(OFFSET($BH$3,0,0,'Données projet'!$E$11+1,1))-AVERAGE(OFFSET($H$3,0,0,'Données projet'!$E$11+1,1))</f>
        <v>267.90768140488603</v>
      </c>
      <c r="BJ45" s="60">
        <f t="shared" si="38"/>
        <v>280.25465074992258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</v>
      </c>
      <c r="BY45" s="13">
        <f>IF('Données projet'!$A$114&gt;35,BY44+BX45-CG44,IF(A45&lt;'Données projet'!$A$114,$BV$205^A45,IF(A45='Données projet'!$A$114,'Données projet'!$B$114,BY44+BX45-CG44)))</f>
        <v>137.99999999999997</v>
      </c>
      <c r="BZ45" s="14">
        <f>BY45*VLOOKUP('Données projet'!$B$12,Paramètres!$A$1:$I$89,3,0)*VLOOKUP('Données projet'!$B$12,Paramètres!$A$1:$I$89,5,0)</f>
        <v>111.94559999999998</v>
      </c>
      <c r="CA45" s="14">
        <f t="shared" si="39"/>
        <v>29.788914309703763</v>
      </c>
      <c r="CB45" s="22">
        <f t="shared" si="10"/>
        <v>246.85427908940071</v>
      </c>
      <c r="CC45" s="60">
        <f t="shared" si="11"/>
        <v>496.23294535003544</v>
      </c>
      <c r="CD45" s="60">
        <f ca="1">AVERAGE(OFFSET($CC$3,0,0,'Données projet'!$E$12+1,1))-AVERAGE(OFFSET($H$3,0,0,'Données projet'!$E$12+1,1))</f>
        <v>308.6594206517259</v>
      </c>
      <c r="CE45" s="60">
        <f t="shared" si="40"/>
        <v>258.90832875500325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5.7692307692307683</v>
      </c>
      <c r="CT45" s="13">
        <f>IF('Données projet'!$A$140&gt;35,CT44+CS45-DB44,IF(A45&lt;'Données projet'!$A$140,$CQ$205^A45,IF(A45='Données projet'!$A$140,'Données projet'!$B$140,CT44+CS45-DB44)))</f>
        <v>135.25641025641031</v>
      </c>
      <c r="CU45" s="18">
        <f>CT45*VLOOKUP('Données projet'!$B$13,Paramètres!$A$1:$I$89,3,0)*VLOOKUP('Données projet'!$B$13,Paramètres!$A$1:$I$89,5,0)</f>
        <v>128.71000000000006</v>
      </c>
      <c r="CV45" s="14">
        <f t="shared" si="41"/>
        <v>33.698105419900322</v>
      </c>
      <c r="CW45" s="22">
        <f t="shared" si="13"/>
        <v>282.86078360632649</v>
      </c>
      <c r="CX45" s="60">
        <f t="shared" si="14"/>
        <v>532.23944986696119</v>
      </c>
      <c r="CY45" s="60">
        <f ca="1">AVERAGE(OFFSET($CX$3,0,0,'Données projet'!$E$13+1,1))-AVERAGE(OFFSET($H$3,0,0,'Données projet'!$E$13+1,1))</f>
        <v>397.63792993520934</v>
      </c>
      <c r="CZ45" s="60">
        <f t="shared" si="42"/>
        <v>300.63705521148802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6.7948717948717956</v>
      </c>
      <c r="DO45" s="13">
        <f>IF('Données projet'!$A$166&gt;35,DO44+DN45-DW44,IF(A45&lt;'Données projet'!$A$166,$DL$205^A45,IF(A45='Données projet'!$A$166,'Données projet'!$B$166,DO44+DN45-DW44)))</f>
        <v>169.99999999999997</v>
      </c>
      <c r="DP45" s="18">
        <f>DO45*VLOOKUP('Données projet'!$B$14,Paramètres!$A$1:$I$89,3,0)*VLOOKUP('Données projet'!$B$14,Paramètres!$A$1:$I$89,5,0)</f>
        <v>114.03599999999997</v>
      </c>
      <c r="DQ45" s="14">
        <f t="shared" si="43"/>
        <v>30.279894261296121</v>
      </c>
      <c r="DR45" s="22">
        <f t="shared" si="16"/>
        <v>251.35018250509066</v>
      </c>
      <c r="DS45" s="60">
        <f t="shared" si="17"/>
        <v>500.72884876572539</v>
      </c>
      <c r="DT45" s="60">
        <f ca="1">AVERAGE(OFFSET($DS$3,0,0,'Données projet'!$E$14+1,1))-AVERAGE(OFFSET($H$3,0,0,'Données projet'!$E$14+1,1))</f>
        <v>343.94240546037798</v>
      </c>
      <c r="DU45" s="60">
        <f t="shared" si="44"/>
        <v>277.30931495079346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0.91760095228930449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0.91760095228930449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198.80000000000004</v>
      </c>
      <c r="EK45" s="18">
        <f>EJ45*VLOOKUP('Données projet'!$B$15,Paramètres!$A$1:$I$89,3,0)*VLOOKUP('Données projet'!$B$15,Paramètres!$A$1:$I$89,5,0)</f>
        <v>155.06400000000005</v>
      </c>
      <c r="EL45" s="14">
        <f t="shared" si="45"/>
        <v>39.727164550120094</v>
      </c>
      <c r="EM45" s="22">
        <f t="shared" si="19"/>
        <v>339.26127825812586</v>
      </c>
      <c r="EN45" s="60">
        <f t="shared" si="20"/>
        <v>588.63994451876056</v>
      </c>
      <c r="EO45" s="60">
        <f ca="1">AVERAGE(OFFSET($EN$3,0,0,'Données projet'!$E$15+1,1))-AVERAGE(OFFSET($H$3,0,0,'Données projet'!$E$15+1,1))</f>
        <v>308.76306523144956</v>
      </c>
      <c r="EP45" s="60">
        <f t="shared" si="46"/>
        <v>283.28099819802776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6.6</v>
      </c>
      <c r="FE45" s="13">
        <f>IF('Données projet'!$A$218&gt;35,FE44+FD45-FM44,IF(A45&lt;'Données projet'!$A$218,$FB$205^A45,IF(A45='Données projet'!$A$218,'Données projet'!$B$218,FE44+FD45-FM44)))</f>
        <v>145.19999999999993</v>
      </c>
      <c r="FF45" s="18">
        <f>FE45*VLOOKUP('Données projet'!$B$16,Paramètres!$A$1:$I$89,3,0)*VLOOKUP('Données projet'!$B$16,Paramètres!$A$1:$I$89,5,0)</f>
        <v>126.84671999999996</v>
      </c>
      <c r="FG45" s="14">
        <f t="shared" si="47"/>
        <v>33.266690894263995</v>
      </c>
      <c r="FH45" s="22">
        <f t="shared" si="22"/>
        <v>278.86419064084299</v>
      </c>
      <c r="FI45" s="60">
        <f t="shared" si="23"/>
        <v>528.24285690147769</v>
      </c>
      <c r="FJ45" s="60">
        <f ca="1">AVERAGE(OFFSET($FI$3,0,0,'Données projet'!$E$16+1,1))-AVERAGE(OFFSET($H$3,0,0,'Données projet'!$E$16+1,1))</f>
        <v>296.01124173332352</v>
      </c>
      <c r="FK45" s="60">
        <f t="shared" si="48"/>
        <v>315.50730924873733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6.4</v>
      </c>
      <c r="FZ45" s="13">
        <f>IF('Données projet'!$A$244&gt;35,FZ44+FY45-GH44,IF(A45&lt;'Données projet'!$A$244,$FW$205^A45,IF(A45='Données projet'!$A$244,'Données projet'!$B$244,FZ44+FY45-GH44)))</f>
        <v>113.80000000000001</v>
      </c>
      <c r="GA45" s="18">
        <f>FZ45*VLOOKUP('Données projet'!$B$17,Paramètres!$A$1:$I$89,3,0)*VLOOKUP('Données projet'!$B$17,Paramètres!$A$1:$I$89,5,0)</f>
        <v>110.06736000000002</v>
      </c>
      <c r="GB45" s="14">
        <f t="shared" si="49"/>
        <v>29.346854548457305</v>
      </c>
      <c r="GC45" s="22">
        <f t="shared" si="25"/>
        <v>242.81309033856317</v>
      </c>
      <c r="GD45" s="60">
        <f t="shared" si="26"/>
        <v>492.1917565991979</v>
      </c>
      <c r="GE45" s="60">
        <f ca="1">AVERAGE(OFFSET($GD$3,0,0,'Données projet'!$E$17+1,1))-AVERAGE(OFFSET($H$3,0,0,'Données projet'!$E$17+1,1))</f>
        <v>391.18744390931187</v>
      </c>
      <c r="GF45" s="60">
        <f t="shared" si="50"/>
        <v>261.46982358454386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0.97810227881502199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0.97810227881502199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0">
        <f t="shared" si="0"/>
        <v>571.65212145831015</v>
      </c>
      <c r="S46" s="60">
        <f ca="1">AVERAGE(OFFSET($R$3,0,0,'Données projet'!$E$9+1,1))-AVERAGE(OFFSET($H$3,0,0,'Données projet'!$E$9+1,1))</f>
        <v>469.15492079216403</v>
      </c>
      <c r="T46" s="60">
        <f t="shared" si="34"/>
        <v>250.47702091764884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136.63728000000006</v>
      </c>
      <c r="AK46" s="14">
        <f t="shared" si="35"/>
        <v>35.525566915250494</v>
      </c>
      <c r="AL46" s="22">
        <f t="shared" si="4"/>
        <v>299.85029171072807</v>
      </c>
      <c r="AM46" s="60">
        <f t="shared" si="5"/>
        <v>549.99147317716006</v>
      </c>
      <c r="AN46" s="60">
        <f ca="1">AVERAGE(OFFSET($AM$3,0,0,'Données projet'!$E$10+1,1))-AVERAGE(OFFSET($H$3,0,0,'Données projet'!$E$10+1,1))</f>
        <v>442.49274132121275</v>
      </c>
      <c r="AO46" s="60">
        <f t="shared" si="36"/>
        <v>237.37463556402756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6.4</v>
      </c>
      <c r="BD46" s="13">
        <f>IF('Données projet'!$A$88&gt;35,BD45+BC46-BL45,IF(A46&lt;'Données projet'!$A$88,$BA$205^A46,IF(A46='Données projet'!$A$88,'Données projet'!$B$88,BD45+BC46-BL45)))</f>
        <v>164.20000000000002</v>
      </c>
      <c r="BE46" s="14">
        <f>BD46*VLOOKUP('Données projet'!$B$11,Paramètres!$A$1:$I$89,3,0)*VLOOKUP('Données projet'!$B$11,Paramètres!$A$1:$I$89,5,0)</f>
        <v>107.58384</v>
      </c>
      <c r="BF46" s="14">
        <f t="shared" si="37"/>
        <v>28.760984680893039</v>
      </c>
      <c r="BG46" s="22">
        <f t="shared" si="7"/>
        <v>237.46723631922202</v>
      </c>
      <c r="BH46" s="60">
        <f t="shared" si="8"/>
        <v>487.60841778565407</v>
      </c>
      <c r="BI46" s="60">
        <f ca="1">AVERAGE(OFFSET($BH$3,0,0,'Données projet'!$E$11+1,1))-AVERAGE(OFFSET($H$3,0,0,'Données projet'!$E$11+1,1))</f>
        <v>267.90768140488603</v>
      </c>
      <c r="BJ46" s="60">
        <f t="shared" si="38"/>
        <v>280.25465074992258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</v>
      </c>
      <c r="BY46" s="13">
        <f>IF('Données projet'!$A$114&gt;35,BY45+BX46-CG45,IF(A46&lt;'Données projet'!$A$114,$BV$205^A46,IF(A46='Données projet'!$A$114,'Données projet'!$B$114,BY45+BX46-CG45)))</f>
        <v>143.99999999999997</v>
      </c>
      <c r="BZ46" s="14">
        <f>BY46*VLOOKUP('Données projet'!$B$12,Paramètres!$A$1:$I$89,3,0)*VLOOKUP('Données projet'!$B$12,Paramètres!$A$1:$I$89,5,0)</f>
        <v>116.81279999999998</v>
      </c>
      <c r="CA46" s="14">
        <f t="shared" si="39"/>
        <v>30.930476631089483</v>
      </c>
      <c r="CB46" s="22">
        <f t="shared" si="10"/>
        <v>257.31954013248077</v>
      </c>
      <c r="CC46" s="60">
        <f t="shared" si="11"/>
        <v>507.46072159891281</v>
      </c>
      <c r="CD46" s="60">
        <f ca="1">AVERAGE(OFFSET($CC$3,0,0,'Données projet'!$E$12+1,1))-AVERAGE(OFFSET($H$3,0,0,'Données projet'!$E$12+1,1))</f>
        <v>308.6594206517259</v>
      </c>
      <c r="CE46" s="60">
        <f t="shared" si="40"/>
        <v>258.90832875500325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5.7692307692307683</v>
      </c>
      <c r="CT46" s="13">
        <f>IF('Données projet'!$A$140&gt;35,CT45+CS46-DB45,IF(A46&lt;'Données projet'!$A$140,$CQ$205^A46,IF(A46='Données projet'!$A$140,'Données projet'!$B$140,CT45+CS46-DB45)))</f>
        <v>141.02564102564108</v>
      </c>
      <c r="CU46" s="18">
        <f>CT46*VLOOKUP('Données projet'!$B$13,Paramètres!$A$1:$I$89,3,0)*VLOOKUP('Données projet'!$B$13,Paramètres!$A$1:$I$89,5,0)</f>
        <v>134.20000000000005</v>
      </c>
      <c r="CV46" s="14">
        <f t="shared" si="41"/>
        <v>34.965052756825415</v>
      </c>
      <c r="CW46" s="22">
        <f t="shared" si="13"/>
        <v>294.629133551471</v>
      </c>
      <c r="CX46" s="60">
        <f t="shared" si="14"/>
        <v>544.77031501790304</v>
      </c>
      <c r="CY46" s="60">
        <f ca="1">AVERAGE(OFFSET($CX$3,0,0,'Données projet'!$E$13+1,1))-AVERAGE(OFFSET($H$3,0,0,'Données projet'!$E$13+1,1))</f>
        <v>397.63792993520934</v>
      </c>
      <c r="CZ46" s="60">
        <f t="shared" si="42"/>
        <v>300.63705521148802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6.7948717948717956</v>
      </c>
      <c r="DO46" s="13">
        <f>IF('Données projet'!$A$166&gt;35,DO45+DN46-DW45,IF(A46&lt;'Données projet'!$A$166,$DL$205^A46,IF(A46='Données projet'!$A$166,'Données projet'!$B$166,DO45+DN46-DW45)))</f>
        <v>176.79487179487177</v>
      </c>
      <c r="DP46" s="18">
        <f>DO46*VLOOKUP('Données projet'!$B$14,Paramètres!$A$1:$I$89,3,0)*VLOOKUP('Données projet'!$B$14,Paramètres!$A$1:$I$89,5,0)</f>
        <v>118.59399999999998</v>
      </c>
      <c r="DQ46" s="14">
        <f t="shared" si="43"/>
        <v>31.346848285873225</v>
      </c>
      <c r="DR46" s="22">
        <f t="shared" si="16"/>
        <v>261.14697743122917</v>
      </c>
      <c r="DS46" s="60">
        <f t="shared" si="17"/>
        <v>511.28815889766122</v>
      </c>
      <c r="DT46" s="60">
        <f ca="1">AVERAGE(OFFSET($DS$3,0,0,'Données projet'!$E$14+1,1))-AVERAGE(OFFSET($H$3,0,0,'Données projet'!$E$14+1,1))</f>
        <v>343.94240546037798</v>
      </c>
      <c r="DU46" s="60">
        <f t="shared" si="44"/>
        <v>277.30931495079346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0.89250910599441657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0.89250910599441657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210.20000000000005</v>
      </c>
      <c r="EK46" s="18">
        <f>EJ46*VLOOKUP('Données projet'!$B$15,Paramètres!$A$1:$I$89,3,0)*VLOOKUP('Données projet'!$B$15,Paramètres!$A$1:$I$89,5,0)</f>
        <v>163.95600000000005</v>
      </c>
      <c r="EL46" s="14">
        <f t="shared" si="45"/>
        <v>41.733529914742604</v>
      </c>
      <c r="EM46" s="22">
        <f t="shared" si="19"/>
        <v>358.24259793484339</v>
      </c>
      <c r="EN46" s="60">
        <f t="shared" si="20"/>
        <v>608.38377940127543</v>
      </c>
      <c r="EO46" s="60">
        <f ca="1">AVERAGE(OFFSET($EN$3,0,0,'Données projet'!$E$15+1,1))-AVERAGE(OFFSET($H$3,0,0,'Données projet'!$E$15+1,1))</f>
        <v>308.76306523144956</v>
      </c>
      <c r="EP46" s="60">
        <f t="shared" si="46"/>
        <v>283.28099819802776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6.6</v>
      </c>
      <c r="FE46" s="13">
        <f>IF('Données projet'!$A$218&gt;35,FE45+FD46-FM45,IF(A46&lt;'Données projet'!$A$218,$FB$205^A46,IF(A46='Données projet'!$A$218,'Données projet'!$B$218,FE45+FD46-FM45)))</f>
        <v>151.79999999999993</v>
      </c>
      <c r="FF46" s="18">
        <f>FE46*VLOOKUP('Données projet'!$B$16,Paramètres!$A$1:$I$89,3,0)*VLOOKUP('Données projet'!$B$16,Paramètres!$A$1:$I$89,5,0)</f>
        <v>132.61247999999995</v>
      </c>
      <c r="FG46" s="14">
        <f t="shared" si="47"/>
        <v>34.599325938965464</v>
      </c>
      <c r="FH46" s="22">
        <f t="shared" si="22"/>
        <v>291.22722867703141</v>
      </c>
      <c r="FI46" s="60">
        <f t="shared" si="23"/>
        <v>541.36841014346351</v>
      </c>
      <c r="FJ46" s="60">
        <f ca="1">AVERAGE(OFFSET($FI$3,0,0,'Données projet'!$E$16+1,1))-AVERAGE(OFFSET($H$3,0,0,'Données projet'!$E$16+1,1))</f>
        <v>296.01124173332352</v>
      </c>
      <c r="FK46" s="60">
        <f t="shared" si="48"/>
        <v>315.50730924873733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6.4</v>
      </c>
      <c r="FZ46" s="13">
        <f>IF('Données projet'!$A$244&gt;35,FZ45+FY46-GH45,IF(A46&lt;'Données projet'!$A$244,$FW$205^A46,IF(A46='Données projet'!$A$244,'Données projet'!$B$244,FZ45+FY46-GH45)))</f>
        <v>120.20000000000002</v>
      </c>
      <c r="GA46" s="18">
        <f>FZ46*VLOOKUP('Données projet'!$B$17,Paramètres!$A$1:$I$89,3,0)*VLOOKUP('Données projet'!$B$17,Paramètres!$A$1:$I$89,5,0)</f>
        <v>116.25744000000003</v>
      </c>
      <c r="GB46" s="14">
        <f t="shared" si="49"/>
        <v>30.800505515381992</v>
      </c>
      <c r="GC46" s="22">
        <f t="shared" si="25"/>
        <v>256.12592177262371</v>
      </c>
      <c r="GD46" s="60">
        <f t="shared" si="26"/>
        <v>506.26710323905576</v>
      </c>
      <c r="GE46" s="60">
        <f ca="1">AVERAGE(OFFSET($GD$3,0,0,'Données projet'!$E$17+1,1))-AVERAGE(OFFSET($H$3,0,0,'Données projet'!$E$17+1,1))</f>
        <v>391.18744390931187</v>
      </c>
      <c r="GF46" s="60">
        <f t="shared" si="50"/>
        <v>261.46982358454386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0.95135602056466184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0.95135602056466184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0">
        <f t="shared" si="0"/>
        <v>588.64557932813034</v>
      </c>
      <c r="S47" s="60">
        <f ca="1">AVERAGE(OFFSET($R$3,0,0,'Données projet'!$E$9+1,1))-AVERAGE(OFFSET($H$3,0,0,'Données projet'!$E$9+1,1))</f>
        <v>469.15492079216403</v>
      </c>
      <c r="T47" s="60">
        <f t="shared" si="34"/>
        <v>250.47702091764884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143.71344000000008</v>
      </c>
      <c r="AK47" s="14">
        <f t="shared" si="35"/>
        <v>37.146401990372148</v>
      </c>
      <c r="AL47" s="22">
        <f t="shared" si="4"/>
        <v>314.99755813323162</v>
      </c>
      <c r="AM47" s="60">
        <f t="shared" si="5"/>
        <v>565.88802687136899</v>
      </c>
      <c r="AN47" s="60">
        <f ca="1">AVERAGE(OFFSET($AM$3,0,0,'Données projet'!$E$10+1,1))-AVERAGE(OFFSET($H$3,0,0,'Données projet'!$E$10+1,1))</f>
        <v>442.49274132121275</v>
      </c>
      <c r="AO47" s="60">
        <f t="shared" si="36"/>
        <v>237.37463556402756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6.4</v>
      </c>
      <c r="BD47" s="13">
        <f>IF('Données projet'!$A$88&gt;35,BD46+BC47-BL46,IF(A47&lt;'Données projet'!$A$88,$BA$205^A47,IF(A47='Données projet'!$A$88,'Données projet'!$B$88,BD46+BC47-BL46)))</f>
        <v>170.60000000000002</v>
      </c>
      <c r="BE47" s="14">
        <f>BD47*VLOOKUP('Données projet'!$B$11,Paramètres!$A$1:$I$89,3,0)*VLOOKUP('Données projet'!$B$11,Paramètres!$A$1:$I$89,5,0)</f>
        <v>111.77712000000001</v>
      </c>
      <c r="BF47" s="14">
        <f t="shared" si="37"/>
        <v>29.749296563258223</v>
      </c>
      <c r="BG47" s="22">
        <f t="shared" si="7"/>
        <v>246.49184218100808</v>
      </c>
      <c r="BH47" s="60">
        <f t="shared" si="8"/>
        <v>497.38231091914554</v>
      </c>
      <c r="BI47" s="60">
        <f ca="1">AVERAGE(OFFSET($BH$3,0,0,'Données projet'!$E$11+1,1))-AVERAGE(OFFSET($H$3,0,0,'Données projet'!$E$11+1,1))</f>
        <v>267.90768140488603</v>
      </c>
      <c r="BJ47" s="60">
        <f t="shared" si="38"/>
        <v>280.25465074992258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</v>
      </c>
      <c r="BY47" s="13">
        <f>IF('Données projet'!$A$114&gt;35,BY46+BX47-CG46,IF(A47&lt;'Données projet'!$A$114,$BV$205^A47,IF(A47='Données projet'!$A$114,'Données projet'!$B$114,BY46+BX47-CG46)))</f>
        <v>149.99999999999997</v>
      </c>
      <c r="BZ47" s="14">
        <f>BY47*VLOOKUP('Données projet'!$B$12,Paramètres!$A$1:$I$89,3,0)*VLOOKUP('Données projet'!$B$12,Paramètres!$A$1:$I$89,5,0)</f>
        <v>121.67999999999998</v>
      </c>
      <c r="CA47" s="14">
        <f t="shared" si="39"/>
        <v>32.066514091456256</v>
      </c>
      <c r="CB47" s="22">
        <f t="shared" si="10"/>
        <v>267.77517870928619</v>
      </c>
      <c r="CC47" s="60">
        <f t="shared" si="11"/>
        <v>518.66564744742368</v>
      </c>
      <c r="CD47" s="60">
        <f ca="1">AVERAGE(OFFSET($CC$3,0,0,'Données projet'!$E$12+1,1))-AVERAGE(OFFSET($H$3,0,0,'Données projet'!$E$12+1,1))</f>
        <v>308.6594206517259</v>
      </c>
      <c r="CE47" s="60">
        <f t="shared" si="40"/>
        <v>258.90832875500325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5.7692307692307683</v>
      </c>
      <c r="CT47" s="13">
        <f>IF('Données projet'!$A$140&gt;35,CT46+CS47-DB46,IF(A47&lt;'Données projet'!$A$140,$CQ$205^A47,IF(A47='Données projet'!$A$140,'Données projet'!$B$140,CT46+CS47-DB46)))</f>
        <v>146.79487179487185</v>
      </c>
      <c r="CU47" s="18">
        <f>CT47*VLOOKUP('Données projet'!$B$13,Paramètres!$A$1:$I$89,3,0)*VLOOKUP('Données projet'!$B$13,Paramètres!$A$1:$I$89,5,0)</f>
        <v>139.69000000000005</v>
      </c>
      <c r="CV47" s="14">
        <f t="shared" si="41"/>
        <v>36.225979688604134</v>
      </c>
      <c r="CW47" s="22">
        <f t="shared" si="13"/>
        <v>306.38699795765228</v>
      </c>
      <c r="CX47" s="60">
        <f t="shared" si="14"/>
        <v>557.27746669578971</v>
      </c>
      <c r="CY47" s="60">
        <f ca="1">AVERAGE(OFFSET($CX$3,0,0,'Données projet'!$E$13+1,1))-AVERAGE(OFFSET($H$3,0,0,'Données projet'!$E$13+1,1))</f>
        <v>397.63792993520934</v>
      </c>
      <c r="CZ47" s="60">
        <f t="shared" si="42"/>
        <v>300.63705521148802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6.7948717948717956</v>
      </c>
      <c r="DO47" s="13">
        <f>IF('Données projet'!$A$166&gt;35,DO46+DN47-DW46,IF(A47&lt;'Données projet'!$A$166,$DL$205^A47,IF(A47='Données projet'!$A$166,'Données projet'!$B$166,DO46+DN47-DW46)))</f>
        <v>183.58974358974356</v>
      </c>
      <c r="DP47" s="18">
        <f>DO47*VLOOKUP('Données projet'!$B$14,Paramètres!$A$1:$I$89,3,0)*VLOOKUP('Données projet'!$B$14,Paramètres!$A$1:$I$89,5,0)</f>
        <v>123.15199999999997</v>
      </c>
      <c r="DQ47" s="14">
        <f t="shared" si="43"/>
        <v>32.409038525483382</v>
      </c>
      <c r="DR47" s="22">
        <f t="shared" si="16"/>
        <v>270.9354754318835</v>
      </c>
      <c r="DS47" s="60">
        <f t="shared" si="17"/>
        <v>521.82594417002088</v>
      </c>
      <c r="DT47" s="60">
        <f ca="1">AVERAGE(OFFSET($DS$3,0,0,'Données projet'!$E$14+1,1))-AVERAGE(OFFSET($H$3,0,0,'Données projet'!$E$14+1,1))</f>
        <v>343.94240546037798</v>
      </c>
      <c r="DU47" s="60">
        <f t="shared" si="44"/>
        <v>277.30931495079346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0.8681033975559852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0.8681033975559852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221.60000000000005</v>
      </c>
      <c r="EK47" s="18">
        <f>EJ47*VLOOKUP('Données projet'!$B$15,Paramètres!$A$1:$I$89,3,0)*VLOOKUP('Données projet'!$B$15,Paramètres!$A$1:$I$89,5,0)</f>
        <v>172.84800000000004</v>
      </c>
      <c r="EL47" s="14">
        <f t="shared" si="45"/>
        <v>43.727262763680358</v>
      </c>
      <c r="EM47" s="22">
        <f t="shared" si="19"/>
        <v>377.20191598007665</v>
      </c>
      <c r="EN47" s="60">
        <f t="shared" si="20"/>
        <v>628.09238471821413</v>
      </c>
      <c r="EO47" s="60">
        <f ca="1">AVERAGE(OFFSET($EN$3,0,0,'Données projet'!$E$15+1,1))-AVERAGE(OFFSET($H$3,0,0,'Données projet'!$E$15+1,1))</f>
        <v>308.76306523144956</v>
      </c>
      <c r="EP47" s="60">
        <f t="shared" si="46"/>
        <v>283.28099819802776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6.6</v>
      </c>
      <c r="FE47" s="13">
        <f>IF('Données projet'!$A$218&gt;35,FE46+FD47-FM46,IF(A47&lt;'Données projet'!$A$218,$FB$205^A47,IF(A47='Données projet'!$A$218,'Données projet'!$B$218,FE46+FD47-FM46)))</f>
        <v>158.39999999999992</v>
      </c>
      <c r="FF47" s="18">
        <f>FE47*VLOOKUP('Données projet'!$B$16,Paramètres!$A$1:$I$89,3,0)*VLOOKUP('Données projet'!$B$16,Paramètres!$A$1:$I$89,5,0)</f>
        <v>138.37823999999995</v>
      </c>
      <c r="FG47" s="14">
        <f t="shared" si="47"/>
        <v>35.925231489823368</v>
      </c>
      <c r="FH47" s="22">
        <f t="shared" si="22"/>
        <v>303.57854617810898</v>
      </c>
      <c r="FI47" s="60">
        <f t="shared" si="23"/>
        <v>554.46901491624635</v>
      </c>
      <c r="FJ47" s="60">
        <f ca="1">AVERAGE(OFFSET($FI$3,0,0,'Données projet'!$E$16+1,1))-AVERAGE(OFFSET($H$3,0,0,'Données projet'!$E$16+1,1))</f>
        <v>296.01124173332352</v>
      </c>
      <c r="FK47" s="60">
        <f t="shared" si="48"/>
        <v>315.50730924873733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6.4</v>
      </c>
      <c r="FZ47" s="13">
        <f>IF('Données projet'!$A$244&gt;35,FZ46+FY47-GH46,IF(A47&lt;'Données projet'!$A$244,$FW$205^A47,IF(A47='Données projet'!$A$244,'Données projet'!$B$244,FZ46+FY47-GH46)))</f>
        <v>126.60000000000002</v>
      </c>
      <c r="GA47" s="18">
        <f>FZ47*VLOOKUP('Données projet'!$B$17,Paramètres!$A$1:$I$89,3,0)*VLOOKUP('Données projet'!$B$17,Paramètres!$A$1:$I$89,5,0)</f>
        <v>122.44752000000004</v>
      </c>
      <c r="GB47" s="14">
        <f t="shared" si="49"/>
        <v>32.245170611031284</v>
      </c>
      <c r="GC47" s="22">
        <f t="shared" si="25"/>
        <v>269.42310281421288</v>
      </c>
      <c r="GD47" s="60">
        <f t="shared" si="26"/>
        <v>520.31357155235037</v>
      </c>
      <c r="GE47" s="60">
        <f ca="1">AVERAGE(OFFSET($GD$3,0,0,'Données projet'!$E$17+1,1))-AVERAGE(OFFSET($H$3,0,0,'Données projet'!$E$17+1,1))</f>
        <v>391.18744390931187</v>
      </c>
      <c r="GF47" s="60">
        <f t="shared" si="50"/>
        <v>261.46982358454386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0.92534114015268243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0.92534114015268243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0">
        <f t="shared" si="0"/>
        <v>605.60884697951155</v>
      </c>
      <c r="S48" s="60">
        <f ca="1">AVERAGE(OFFSET($R$3,0,0,'Données projet'!$E$9+1,1))-AVERAGE(OFFSET($H$3,0,0,'Données projet'!$E$9+1,1))</f>
        <v>469.15492079216403</v>
      </c>
      <c r="T48" s="60">
        <f t="shared" si="34"/>
        <v>250.47702091764884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150.78960000000006</v>
      </c>
      <c r="AK48" s="14">
        <f t="shared" si="35"/>
        <v>38.757970187689722</v>
      </c>
      <c r="AL48" s="22">
        <f t="shared" si="4"/>
        <v>330.12868474355969</v>
      </c>
      <c r="AM48" s="60">
        <f t="shared" si="5"/>
        <v>581.75544229439379</v>
      </c>
      <c r="AN48" s="60">
        <f ca="1">AVERAGE(OFFSET($AM$3,0,0,'Données projet'!$E$10+1,1))-AVERAGE(OFFSET($H$3,0,0,'Données projet'!$E$10+1,1))</f>
        <v>442.49274132121275</v>
      </c>
      <c r="AO48" s="60">
        <f t="shared" si="36"/>
        <v>237.37463556402756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177</v>
      </c>
      <c r="BB48" s="13">
        <f>VLOOKUP(A48,'Données projet'!$A$87:$I$107,9,0)</f>
        <v>6.4</v>
      </c>
      <c r="BC48" s="13">
        <f t="array" ref="BC48">INDEX(BB:BB,MIN(IF(ISNUMBER(BB48:BB244),ROW(BB48:BB244),"")))</f>
        <v>6.4</v>
      </c>
      <c r="BD48" s="13">
        <f>IF('Données projet'!$A$88&gt;35,BD47+BC48-BL47,IF(A48&lt;'Données projet'!$A$88,$BA$205^A48,IF(A48='Données projet'!$A$88,'Données projet'!$B$88,BD47+BC48-BL47)))</f>
        <v>177.00000000000003</v>
      </c>
      <c r="BE48" s="14">
        <f>BD48*VLOOKUP('Données projet'!$B$11,Paramètres!$A$1:$I$89,3,0)*VLOOKUP('Données projet'!$B$11,Paramètres!$A$1:$I$89,5,0)</f>
        <v>115.97040000000001</v>
      </c>
      <c r="BF48" s="14">
        <f t="shared" si="37"/>
        <v>30.733301120222794</v>
      </c>
      <c r="BG48" s="22">
        <f t="shared" si="7"/>
        <v>255.50894611772139</v>
      </c>
      <c r="BH48" s="60">
        <f t="shared" si="8"/>
        <v>507.13570366855549</v>
      </c>
      <c r="BI48" s="60">
        <f ca="1">AVERAGE(OFFSET($BH$3,0,0,'Données projet'!$E$11+1,1))-AVERAGE(OFFSET($H$3,0,0,'Données projet'!$E$11+1,1))</f>
        <v>267.90768140488603</v>
      </c>
      <c r="BJ48" s="60">
        <f t="shared" si="38"/>
        <v>280.25465074992258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156</v>
      </c>
      <c r="BW48" s="13">
        <f>VLOOKUP(A48,'Données projet'!$A$113:$I$133,9,0)</f>
        <v>6</v>
      </c>
      <c r="BX48" s="13">
        <f t="array" ref="BX48">INDEX(BW:BW,MIN(IF(ISNUMBER(BW48:BW244),ROW(BW48:BW244),"")))</f>
        <v>6</v>
      </c>
      <c r="BY48" s="13">
        <f>IF('Données projet'!$A$114&gt;35,BY47+BX48-CG47,IF(A48&lt;'Données projet'!$A$114,$BV$205^A48,IF(A48='Données projet'!$A$114,'Données projet'!$B$114,BY47+BX48-CG47)))</f>
        <v>155.99999999999997</v>
      </c>
      <c r="BZ48" s="14">
        <f>BY48*VLOOKUP('Données projet'!$B$12,Paramètres!$A$1:$I$89,3,0)*VLOOKUP('Données projet'!$B$12,Paramètres!$A$1:$I$89,5,0)</f>
        <v>126.54719999999999</v>
      </c>
      <c r="CA48" s="14">
        <f t="shared" si="39"/>
        <v>33.19727296936243</v>
      </c>
      <c r="CB48" s="22">
        <f t="shared" si="10"/>
        <v>278.22162375497288</v>
      </c>
      <c r="CC48" s="60">
        <f t="shared" si="11"/>
        <v>529.84838130580704</v>
      </c>
      <c r="CD48" s="60">
        <f ca="1">AVERAGE(OFFSET($CC$3,0,0,'Données projet'!$E$12+1,1))-AVERAGE(OFFSET($H$3,0,0,'Données projet'!$E$12+1,1))</f>
        <v>308.6594206517259</v>
      </c>
      <c r="CE48" s="60">
        <f t="shared" si="40"/>
        <v>258.90832875500325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152.56410256410257</v>
      </c>
      <c r="CR48" s="13">
        <f>VLOOKUP(A48,'Données projet'!$A$139:$I$159,9,0)</f>
        <v>5.7692307692307683</v>
      </c>
      <c r="CS48" s="13">
        <f t="array" ref="CS48">INDEX(CR:CR,MIN(IF(ISNUMBER(CR48:CR244),ROW(CR48:CR244),"")))</f>
        <v>5.7692307692307683</v>
      </c>
      <c r="CT48" s="13">
        <f>IF('Données projet'!$A$140&gt;35,CT47+CS48-DB47,IF(A48&lt;'Données projet'!$A$140,$CQ$205^A48,IF(A48='Données projet'!$A$140,'Données projet'!$B$140,CT47+CS48-DB47)))</f>
        <v>152.56410256410263</v>
      </c>
      <c r="CU48" s="18">
        <f>CT48*VLOOKUP('Données projet'!$B$13,Paramètres!$A$1:$I$89,3,0)*VLOOKUP('Données projet'!$B$13,Paramètres!$A$1:$I$89,5,0)</f>
        <v>145.18000000000006</v>
      </c>
      <c r="CV48" s="14">
        <f t="shared" si="41"/>
        <v>37.481149901429063</v>
      </c>
      <c r="CW48" s="22">
        <f t="shared" si="13"/>
        <v>318.13483607832239</v>
      </c>
      <c r="CX48" s="60">
        <f t="shared" si="14"/>
        <v>569.76159362915655</v>
      </c>
      <c r="CY48" s="60">
        <f ca="1">AVERAGE(OFFSET($CX$3,0,0,'Données projet'!$E$13+1,1))-AVERAGE(OFFSET($H$3,0,0,'Données projet'!$E$13+1,1))</f>
        <v>397.63792993520934</v>
      </c>
      <c r="CZ48" s="60">
        <f t="shared" si="42"/>
        <v>300.63705521148802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190.38461538461539</v>
      </c>
      <c r="DM48" s="13">
        <f>VLOOKUP(A48,'Données projet'!$A$165:$I$185,9,0)</f>
        <v>6.7948717948717956</v>
      </c>
      <c r="DN48" s="13">
        <f t="array" ref="DN48">INDEX(DM:DM,MIN(IF(ISNUMBER(DM48:DM244),ROW(DM48:DM244),"")))</f>
        <v>6.7948717948717956</v>
      </c>
      <c r="DO48" s="13">
        <f>IF('Données projet'!$A$166&gt;35,DO47+DN48-DW47,IF(A48&lt;'Données projet'!$A$166,$DL$205^A48,IF(A48='Données projet'!$A$166,'Données projet'!$B$166,DO47+DN48-DW47)))</f>
        <v>190.38461538461536</v>
      </c>
      <c r="DP48" s="18">
        <f>DO48*VLOOKUP('Données projet'!$B$14,Paramètres!$A$1:$I$89,3,0)*VLOOKUP('Données projet'!$B$14,Paramètres!$A$1:$I$89,5,0)</f>
        <v>127.70999999999998</v>
      </c>
      <c r="DQ48" s="14">
        <f t="shared" si="43"/>
        <v>33.466661484162984</v>
      </c>
      <c r="DR48" s="22">
        <f t="shared" si="16"/>
        <v>280.71601875158382</v>
      </c>
      <c r="DS48" s="60">
        <f t="shared" si="17"/>
        <v>532.34277630241797</v>
      </c>
      <c r="DT48" s="60">
        <f ca="1">AVERAGE(OFFSET($DS$3,0,0,'Données projet'!$E$14+1,1))-AVERAGE(OFFSET($H$3,0,0,'Données projet'!$E$14+1,1))</f>
        <v>343.94240546037798</v>
      </c>
      <c r="DU48" s="60">
        <f t="shared" si="44"/>
        <v>277.30931495079346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0.84436506449824322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0.84436506449824322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233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233.00000000000006</v>
      </c>
      <c r="EK48" s="18">
        <f>EJ48*VLOOKUP('Données projet'!$B$15,Paramètres!$A$1:$I$89,3,0)*VLOOKUP('Données projet'!$B$15,Paramètres!$A$1:$I$89,5,0)</f>
        <v>181.74000000000004</v>
      </c>
      <c r="EL48" s="14">
        <f t="shared" si="45"/>
        <v>45.709087095891377</v>
      </c>
      <c r="EM48" s="22">
        <f t="shared" si="19"/>
        <v>396.14049335867753</v>
      </c>
      <c r="EN48" s="60">
        <f t="shared" si="20"/>
        <v>647.76725090951163</v>
      </c>
      <c r="EO48" s="60">
        <f ca="1">AVERAGE(OFFSET($EN$3,0,0,'Données projet'!$E$15+1,1))-AVERAGE(OFFSET($H$3,0,0,'Données projet'!$E$15+1,1))</f>
        <v>308.76306523144956</v>
      </c>
      <c r="EP48" s="60">
        <f t="shared" si="46"/>
        <v>283.28099819802776</v>
      </c>
      <c r="EQ48" s="16">
        <f>IF(ISNA(VLOOKUP(A48,'Données projet'!$A$191:$I$211,3,0)),0,VLOOKUP(A48,'Données projet'!$A$191:$I$211,3,0))</f>
        <v>5</v>
      </c>
      <c r="ER48" s="16">
        <f>IF(ISNA(VLOOKUP(A48,'Données projet'!$A$191:$I$211,4,0)),0,VLOOKUP(A48,'Données projet'!$A$191:$I$211,4,0))</f>
        <v>31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165</v>
      </c>
      <c r="FC48" s="13">
        <f>VLOOKUP(A48,'Données projet'!$A$217:$I$237,9,0)</f>
        <v>6.6</v>
      </c>
      <c r="FD48" s="13">
        <f t="array" ref="FD48">INDEX(FC:FC,MIN(IF(ISNUMBER(FC48:FC244),ROW(FC48:FC244),"")))</f>
        <v>6.6</v>
      </c>
      <c r="FE48" s="13">
        <f>IF('Données projet'!$A$218&gt;35,FE47+FD48-FM47,IF(A48&lt;'Données projet'!$A$218,$FB$205^A48,IF(A48='Données projet'!$A$218,'Données projet'!$B$218,FE47+FD48-FM47)))</f>
        <v>164.99999999999991</v>
      </c>
      <c r="FF48" s="18">
        <f>FE48*VLOOKUP('Données projet'!$B$16,Paramètres!$A$1:$I$89,3,0)*VLOOKUP('Données projet'!$B$16,Paramètres!$A$1:$I$89,5,0)</f>
        <v>144.14399999999995</v>
      </c>
      <c r="FG48" s="14">
        <f t="shared" si="47"/>
        <v>37.244720006976216</v>
      </c>
      <c r="FH48" s="22">
        <f t="shared" si="22"/>
        <v>315.91868734548348</v>
      </c>
      <c r="FI48" s="60">
        <f t="shared" si="23"/>
        <v>567.54544489631758</v>
      </c>
      <c r="FJ48" s="60">
        <f ca="1">AVERAGE(OFFSET($FI$3,0,0,'Données projet'!$E$16+1,1))-AVERAGE(OFFSET($H$3,0,0,'Données projet'!$E$16+1,1))</f>
        <v>296.01124173332352</v>
      </c>
      <c r="FK48" s="60">
        <f t="shared" si="48"/>
        <v>315.50730924873733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133</v>
      </c>
      <c r="FX48" s="13">
        <f>VLOOKUP(A48,'Données projet'!$A$243:$I$263,9,0)</f>
        <v>6.4</v>
      </c>
      <c r="FY48" s="13">
        <f t="array" ref="FY48">INDEX(FX:FX,MIN(IF(ISNUMBER(FX48:FX244),ROW(FX48:FX244),"")))</f>
        <v>6.4</v>
      </c>
      <c r="FZ48" s="13">
        <f>IF('Données projet'!$A$244&gt;35,FZ47+FY48-GH47,IF(A48&lt;'Données projet'!$A$244,$FW$205^A48,IF(A48='Données projet'!$A$244,'Données projet'!$B$244,FZ47+FY48-GH47)))</f>
        <v>133.00000000000003</v>
      </c>
      <c r="GA48" s="18">
        <f>FZ48*VLOOKUP('Données projet'!$B$17,Paramètres!$A$1:$I$89,3,0)*VLOOKUP('Données projet'!$B$17,Paramètres!$A$1:$I$89,5,0)</f>
        <v>128.63760000000005</v>
      </c>
      <c r="GB48" s="14">
        <f t="shared" si="49"/>
        <v>33.681355926028921</v>
      </c>
      <c r="GC48" s="22">
        <f t="shared" si="25"/>
        <v>282.70551490450038</v>
      </c>
      <c r="GD48" s="60">
        <f t="shared" si="26"/>
        <v>534.33227245533453</v>
      </c>
      <c r="GE48" s="60">
        <f ca="1">AVERAGE(OFFSET($GD$3,0,0,'Données projet'!$E$17+1,1))-AVERAGE(OFFSET($H$3,0,0,'Données projet'!$E$17+1,1))</f>
        <v>391.18744390931187</v>
      </c>
      <c r="GF48" s="60">
        <f t="shared" si="50"/>
        <v>261.46982358454386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0.90003763801363168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0.90003763801363168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0">
        <f t="shared" si="0"/>
        <v>540.92928580321473</v>
      </c>
      <c r="S49" s="60">
        <f ca="1">AVERAGE(OFFSET($R$3,0,0,'Données projet'!$E$9+1,1))-AVERAGE(OFFSET($H$3,0,0,'Données projet'!$E$9+1,1))</f>
        <v>469.15492079216403</v>
      </c>
      <c r="T49" s="60">
        <f t="shared" si="34"/>
        <v>250.47702091764884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122.31648000000006</v>
      </c>
      <c r="AK49" s="14">
        <f t="shared" si="35"/>
        <v>32.214677527967339</v>
      </c>
      <c r="AL49" s="22">
        <f t="shared" si="4"/>
        <v>269.14176602787654</v>
      </c>
      <c r="AM49" s="60">
        <f t="shared" si="5"/>
        <v>521.49203942660222</v>
      </c>
      <c r="AN49" s="60">
        <f ca="1">AVERAGE(OFFSET($AM$3,0,0,'Données projet'!$E$10+1,1))-AVERAGE(OFFSET($H$3,0,0,'Données projet'!$E$10+1,1))</f>
        <v>442.49274132121275</v>
      </c>
      <c r="AO49" s="60">
        <f t="shared" si="36"/>
        <v>237.37463556402756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5.8</v>
      </c>
      <c r="BD49" s="13">
        <f>IF('Données projet'!$A$88&gt;35,BD48+BC49-BL48,IF(A49&lt;'Données projet'!$A$88,$BA$205^A49,IF(A49='Données projet'!$A$88,'Données projet'!$B$88,BD48+BC49-BL48)))</f>
        <v>182.80000000000004</v>
      </c>
      <c r="BE49" s="14">
        <f>BD49*VLOOKUP('Données projet'!$B$11,Paramètres!$A$1:$I$89,3,0)*VLOOKUP('Données projet'!$B$11,Paramètres!$A$1:$I$89,5,0)</f>
        <v>119.77056000000002</v>
      </c>
      <c r="BF49" s="14">
        <f t="shared" si="37"/>
        <v>31.6214802228608</v>
      </c>
      <c r="BG49" s="22">
        <f t="shared" si="7"/>
        <v>263.67447005481591</v>
      </c>
      <c r="BH49" s="60">
        <f t="shared" si="8"/>
        <v>516.02474345354153</v>
      </c>
      <c r="BI49" s="60">
        <f ca="1">AVERAGE(OFFSET($BH$3,0,0,'Données projet'!$E$11+1,1))-AVERAGE(OFFSET($H$3,0,0,'Données projet'!$E$11+1,1))</f>
        <v>267.90768140488603</v>
      </c>
      <c r="BJ49" s="60">
        <f t="shared" si="38"/>
        <v>280.25465074992258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5.8</v>
      </c>
      <c r="BY49" s="13">
        <f>IF('Données projet'!$A$114&gt;35,BY48+BX49-CG48,IF(A49&lt;'Données projet'!$A$114,$BV$205^A49,IF(A49='Données projet'!$A$114,'Données projet'!$B$114,BY48+BX49-CG48)))</f>
        <v>161.79999999999998</v>
      </c>
      <c r="BZ49" s="14">
        <f>BY49*VLOOKUP('Données projet'!$B$12,Paramètres!$A$1:$I$89,3,0)*VLOOKUP('Données projet'!$B$12,Paramètres!$A$1:$I$89,5,0)</f>
        <v>131.25216</v>
      </c>
      <c r="CA49" s="14">
        <f t="shared" si="39"/>
        <v>34.285535125000187</v>
      </c>
      <c r="CB49" s="22">
        <f t="shared" si="10"/>
        <v>288.31148567604197</v>
      </c>
      <c r="CC49" s="60">
        <f t="shared" si="11"/>
        <v>540.66175907476759</v>
      </c>
      <c r="CD49" s="60">
        <f ca="1">AVERAGE(OFFSET($CC$3,0,0,'Données projet'!$E$12+1,1))-AVERAGE(OFFSET($H$3,0,0,'Données projet'!$E$12+1,1))</f>
        <v>308.6594206517259</v>
      </c>
      <c r="CE49" s="60">
        <f t="shared" si="40"/>
        <v>258.90832875500325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5.5128205128205083</v>
      </c>
      <c r="CT49" s="13">
        <f>IF('Données projet'!$A$140&gt;35,CT48+CS49-DB48,IF(A49&lt;'Données projet'!$A$140,$CQ$205^A49,IF(A49='Données projet'!$A$140,'Données projet'!$B$140,CT48+CS49-DB48)))</f>
        <v>158.07692307692312</v>
      </c>
      <c r="CU49" s="18">
        <f>CT49*VLOOKUP('Données projet'!$B$13,Paramètres!$A$1:$I$89,3,0)*VLOOKUP('Données projet'!$B$13,Paramètres!$A$1:$I$89,5,0)</f>
        <v>150.42600000000004</v>
      </c>
      <c r="CV49" s="14">
        <f t="shared" si="41"/>
        <v>38.67537966484668</v>
      </c>
      <c r="CW49" s="22">
        <f t="shared" si="13"/>
        <v>329.35156958294135</v>
      </c>
      <c r="CX49" s="60">
        <f t="shared" si="14"/>
        <v>581.70184298166703</v>
      </c>
      <c r="CY49" s="60">
        <f ca="1">AVERAGE(OFFSET($CX$3,0,0,'Données projet'!$E$13+1,1))-AVERAGE(OFFSET($H$3,0,0,'Données projet'!$E$13+1,1))</f>
        <v>397.63792993520934</v>
      </c>
      <c r="CZ49" s="60">
        <f t="shared" si="42"/>
        <v>300.63705521148802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6.2820512820512819</v>
      </c>
      <c r="DO49" s="13">
        <f>IF('Données projet'!$A$166&gt;35,DO48+DN49-DW48,IF(A49&lt;'Données projet'!$A$166,$DL$205^A49,IF(A49='Données projet'!$A$166,'Données projet'!$B$166,DO48+DN49-DW48)))</f>
        <v>196.66666666666663</v>
      </c>
      <c r="DP49" s="18">
        <f>DO49*VLOOKUP('Données projet'!$B$14,Paramètres!$A$1:$I$89,3,0)*VLOOKUP('Données projet'!$B$14,Paramètres!$A$1:$I$89,5,0)</f>
        <v>131.92399999999998</v>
      </c>
      <c r="DQ49" s="14">
        <f t="shared" si="43"/>
        <v>34.440558391692079</v>
      </c>
      <c r="DR49" s="22">
        <f t="shared" si="16"/>
        <v>289.75160586553034</v>
      </c>
      <c r="DS49" s="60">
        <f t="shared" si="17"/>
        <v>542.10187926425601</v>
      </c>
      <c r="DT49" s="60">
        <f ca="1">AVERAGE(OFFSET($DS$3,0,0,'Données projet'!$E$14+1,1))-AVERAGE(OFFSET($H$3,0,0,'Données projet'!$E$14+1,1))</f>
        <v>343.94240546037798</v>
      </c>
      <c r="DU49" s="60">
        <f t="shared" si="44"/>
        <v>277.30931495079346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0.82127585740630982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0.82127585740630982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10.199999999999999</v>
      </c>
      <c r="EJ49" s="13">
        <f>IF('Données projet'!$A$192&gt;35,EJ48+EI49-ER48,IF(A49&lt;'Données projet'!$A$192,$EG$205^A49,IF(A49='Données projet'!$A$192,'Données projet'!$B$192,EJ48+EI49-ER48)))</f>
        <v>212.20000000000005</v>
      </c>
      <c r="EK49" s="18">
        <f>EJ49*VLOOKUP('Données projet'!$B$15,Paramètres!$A$1:$I$89,3,0)*VLOOKUP('Données projet'!$B$15,Paramètres!$A$1:$I$89,5,0)</f>
        <v>165.51600000000005</v>
      </c>
      <c r="EL49" s="14">
        <f t="shared" si="45"/>
        <v>42.084199740832013</v>
      </c>
      <c r="EM49" s="22">
        <f t="shared" si="19"/>
        <v>361.57034788194915</v>
      </c>
      <c r="EN49" s="60">
        <f t="shared" si="20"/>
        <v>613.92062128067482</v>
      </c>
      <c r="EO49" s="60">
        <f ca="1">AVERAGE(OFFSET($EN$3,0,0,'Données projet'!$E$15+1,1))-AVERAGE(OFFSET($H$3,0,0,'Données projet'!$E$15+1,1))</f>
        <v>308.76306523144956</v>
      </c>
      <c r="EP49" s="60">
        <f t="shared" si="46"/>
        <v>283.28099819802776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5.4</v>
      </c>
      <c r="FE49" s="13">
        <f>IF('Données projet'!$A$218&gt;35,FE48+FD49-FM48,IF(A49&lt;'Données projet'!$A$218,$FB$205^A49,IF(A49='Données projet'!$A$218,'Données projet'!$B$218,FE48+FD49-FM48)))</f>
        <v>170.39999999999992</v>
      </c>
      <c r="FF49" s="18">
        <f>FE49*VLOOKUP('Données projet'!$B$16,Paramètres!$A$1:$I$89,3,0)*VLOOKUP('Données projet'!$B$16,Paramètres!$A$1:$I$89,5,0)</f>
        <v>148.86143999999996</v>
      </c>
      <c r="FG49" s="14">
        <f t="shared" si="47"/>
        <v>38.319729148991918</v>
      </c>
      <c r="FH49" s="22">
        <f t="shared" si="22"/>
        <v>326.00720293449416</v>
      </c>
      <c r="FI49" s="60">
        <f t="shared" si="23"/>
        <v>578.35747633321978</v>
      </c>
      <c r="FJ49" s="60">
        <f ca="1">AVERAGE(OFFSET($FI$3,0,0,'Données projet'!$E$16+1,1))-AVERAGE(OFFSET($H$3,0,0,'Données projet'!$E$16+1,1))</f>
        <v>296.01124173332352</v>
      </c>
      <c r="FK49" s="60">
        <f t="shared" si="48"/>
        <v>315.50730924873733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6.4</v>
      </c>
      <c r="FZ49" s="13">
        <f>IF('Données projet'!$A$244&gt;35,FZ48+FY49-GH48,IF(A49&lt;'Données projet'!$A$244,$FW$205^A49,IF(A49='Données projet'!$A$244,'Données projet'!$B$244,FZ48+FY49-GH48)))</f>
        <v>139.40000000000003</v>
      </c>
      <c r="GA49" s="18">
        <f>FZ49*VLOOKUP('Données projet'!$B$17,Paramètres!$A$1:$I$89,3,0)*VLOOKUP('Données projet'!$B$17,Paramètres!$A$1:$I$89,5,0)</f>
        <v>134.82768000000004</v>
      </c>
      <c r="GB49" s="14">
        <f t="shared" si="49"/>
        <v>35.109516092536481</v>
      </c>
      <c r="GC49" s="22">
        <f t="shared" si="25"/>
        <v>295.97394986116774</v>
      </c>
      <c r="GD49" s="60">
        <f t="shared" si="26"/>
        <v>548.32422325989342</v>
      </c>
      <c r="GE49" s="60">
        <f ca="1">AVERAGE(OFFSET($GD$3,0,0,'Données projet'!$E$17+1,1))-AVERAGE(OFFSET($H$3,0,0,'Données projet'!$E$17+1,1))</f>
        <v>391.18744390931187</v>
      </c>
      <c r="GF49" s="60">
        <f t="shared" si="50"/>
        <v>261.46982358454386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0.87542606147122659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0.87542606147122659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0">
        <f t="shared" si="0"/>
        <v>557.53494740792962</v>
      </c>
      <c r="S50" s="60">
        <f ca="1">AVERAGE(OFFSET($R$3,0,0,'Données projet'!$E$9+1,1))-AVERAGE(OFFSET($H$3,0,0,'Données projet'!$E$9+1,1))</f>
        <v>469.15492079216403</v>
      </c>
      <c r="T50" s="60">
        <f t="shared" si="34"/>
        <v>250.47702091764884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129.22416000000004</v>
      </c>
      <c r="AK50" s="14">
        <f t="shared" si="35"/>
        <v>33.817023080295762</v>
      </c>
      <c r="AL50" s="22">
        <f t="shared" si="4"/>
        <v>283.96339386484851</v>
      </c>
      <c r="AM50" s="60">
        <f t="shared" si="5"/>
        <v>537.0246317290439</v>
      </c>
      <c r="AN50" s="60">
        <f ca="1">AVERAGE(OFFSET($AM$3,0,0,'Données projet'!$E$10+1,1))-AVERAGE(OFFSET($H$3,0,0,'Données projet'!$E$10+1,1))</f>
        <v>442.49274132121275</v>
      </c>
      <c r="AO50" s="60">
        <f t="shared" si="36"/>
        <v>237.37463556402756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5.8</v>
      </c>
      <c r="BD50" s="13">
        <f>IF('Données projet'!$A$88&gt;35,BD49+BC50-BL49,IF(A50&lt;'Données projet'!$A$88,$BA$205^A50,IF(A50='Données projet'!$A$88,'Données projet'!$B$88,BD49+BC50-BL49)))</f>
        <v>188.60000000000005</v>
      </c>
      <c r="BE50" s="14">
        <f>BD50*VLOOKUP('Données projet'!$B$11,Paramètres!$A$1:$I$89,3,0)*VLOOKUP('Données projet'!$B$11,Paramètres!$A$1:$I$89,5,0)</f>
        <v>123.57072000000004</v>
      </c>
      <c r="BF50" s="14">
        <f t="shared" si="37"/>
        <v>32.506384557027701</v>
      </c>
      <c r="BG50" s="22">
        <f t="shared" si="7"/>
        <v>271.83429043682327</v>
      </c>
      <c r="BH50" s="60">
        <f t="shared" si="8"/>
        <v>524.89552830101866</v>
      </c>
      <c r="BI50" s="60">
        <f ca="1">AVERAGE(OFFSET($BH$3,0,0,'Données projet'!$E$11+1,1))-AVERAGE(OFFSET($H$3,0,0,'Données projet'!$E$11+1,1))</f>
        <v>267.90768140488603</v>
      </c>
      <c r="BJ50" s="60">
        <f t="shared" si="38"/>
        <v>280.25465074992258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5.8</v>
      </c>
      <c r="BY50" s="13">
        <f>IF('Données projet'!$A$114&gt;35,BY49+BX50-CG49,IF(A50&lt;'Données projet'!$A$114,$BV$205^A50,IF(A50='Données projet'!$A$114,'Données projet'!$B$114,BY49+BX50-CG49)))</f>
        <v>167.6</v>
      </c>
      <c r="BZ50" s="14">
        <f>BY50*VLOOKUP('Données projet'!$B$12,Paramètres!$A$1:$I$89,3,0)*VLOOKUP('Données projet'!$B$12,Paramètres!$A$1:$I$89,5,0)</f>
        <v>135.95712</v>
      </c>
      <c r="CA50" s="14">
        <f t="shared" si="39"/>
        <v>35.369264877838624</v>
      </c>
      <c r="CB50" s="22">
        <f t="shared" si="10"/>
        <v>298.39345366223557</v>
      </c>
      <c r="CC50" s="60">
        <f t="shared" si="11"/>
        <v>551.45469152643091</v>
      </c>
      <c r="CD50" s="60">
        <f ca="1">AVERAGE(OFFSET($CC$3,0,0,'Données projet'!$E$12+1,1))-AVERAGE(OFFSET($H$3,0,0,'Données projet'!$E$12+1,1))</f>
        <v>308.6594206517259</v>
      </c>
      <c r="CE50" s="60">
        <f t="shared" si="40"/>
        <v>258.90832875500325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5.5128205128205083</v>
      </c>
      <c r="CT50" s="13">
        <f>IF('Données projet'!$A$140&gt;35,CT49+CS50-DB49,IF(A50&lt;'Données projet'!$A$140,$CQ$205^A50,IF(A50='Données projet'!$A$140,'Données projet'!$B$140,CT49+CS50-DB49)))</f>
        <v>163.58974358974362</v>
      </c>
      <c r="CU50" s="18">
        <f>CT50*VLOOKUP('Données projet'!$B$13,Paramètres!$A$1:$I$89,3,0)*VLOOKUP('Données projet'!$B$13,Paramètres!$A$1:$I$89,5,0)</f>
        <v>155.67200000000003</v>
      </c>
      <c r="CV50" s="14">
        <f t="shared" si="41"/>
        <v>39.86477040096252</v>
      </c>
      <c r="CW50" s="22">
        <f t="shared" si="13"/>
        <v>340.55987511500979</v>
      </c>
      <c r="CX50" s="60">
        <f t="shared" si="14"/>
        <v>593.62111297920524</v>
      </c>
      <c r="CY50" s="60">
        <f ca="1">AVERAGE(OFFSET($CX$3,0,0,'Données projet'!$E$13+1,1))-AVERAGE(OFFSET($H$3,0,0,'Données projet'!$E$13+1,1))</f>
        <v>397.63792993520934</v>
      </c>
      <c r="CZ50" s="60">
        <f t="shared" si="42"/>
        <v>300.63705521148802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6.2820512820512819</v>
      </c>
      <c r="DO50" s="13">
        <f>IF('Données projet'!$A$166&gt;35,DO49+DN50-DW49,IF(A50&lt;'Données projet'!$A$166,$DL$205^A50,IF(A50='Données projet'!$A$166,'Données projet'!$B$166,DO49+DN50-DW49)))</f>
        <v>202.9487179487179</v>
      </c>
      <c r="DP50" s="18">
        <f>DO50*VLOOKUP('Données projet'!$B$14,Paramètres!$A$1:$I$89,3,0)*VLOOKUP('Données projet'!$B$14,Paramètres!$A$1:$I$89,5,0)</f>
        <v>136.13799999999998</v>
      </c>
      <c r="DQ50" s="14">
        <f t="shared" si="43"/>
        <v>35.410840305135217</v>
      </c>
      <c r="DR50" s="22">
        <f t="shared" si="16"/>
        <v>298.78089686477716</v>
      </c>
      <c r="DS50" s="60">
        <f t="shared" si="17"/>
        <v>551.8421347289725</v>
      </c>
      <c r="DT50" s="60">
        <f ca="1">AVERAGE(OFFSET($DS$3,0,0,'Données projet'!$E$14+1,1))-AVERAGE(OFFSET($H$3,0,0,'Données projet'!$E$14+1,1))</f>
        <v>343.94240546037798</v>
      </c>
      <c r="DU50" s="60">
        <f t="shared" si="44"/>
        <v>277.30931495079346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0.79881802589651396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0.79881802589651396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10.199999999999999</v>
      </c>
      <c r="EJ50" s="13">
        <f>IF('Données projet'!$A$192&gt;35,EJ49+EI50-ER49,IF(A50&lt;'Données projet'!$A$192,$EG$205^A50,IF(A50='Données projet'!$A$192,'Données projet'!$B$192,EJ49+EI50-ER49)))</f>
        <v>222.40000000000003</v>
      </c>
      <c r="EK50" s="18">
        <f>EJ50*VLOOKUP('Données projet'!$B$15,Paramètres!$A$1:$I$89,3,0)*VLOOKUP('Données projet'!$B$15,Paramètres!$A$1:$I$89,5,0)</f>
        <v>173.47200000000004</v>
      </c>
      <c r="EL50" s="14">
        <f t="shared" si="45"/>
        <v>43.866718728383574</v>
      </c>
      <c r="EM50" s="22">
        <f t="shared" si="19"/>
        <v>378.53160178526809</v>
      </c>
      <c r="EN50" s="60">
        <f t="shared" si="20"/>
        <v>631.59283964946349</v>
      </c>
      <c r="EO50" s="60">
        <f ca="1">AVERAGE(OFFSET($EN$3,0,0,'Données projet'!$E$15+1,1))-AVERAGE(OFFSET($H$3,0,0,'Données projet'!$E$15+1,1))</f>
        <v>308.76306523144956</v>
      </c>
      <c r="EP50" s="60">
        <f t="shared" si="46"/>
        <v>283.28099819802776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5.4</v>
      </c>
      <c r="FE50" s="13">
        <f>IF('Données projet'!$A$218&gt;35,FE49+FD50-FM49,IF(A50&lt;'Données projet'!$A$218,$FB$205^A50,IF(A50='Données projet'!$A$218,'Données projet'!$B$218,FE49+FD50-FM49)))</f>
        <v>175.79999999999993</v>
      </c>
      <c r="FF50" s="18">
        <f>FE50*VLOOKUP('Données projet'!$B$16,Paramètres!$A$1:$I$89,3,0)*VLOOKUP('Données projet'!$B$16,Paramètres!$A$1:$I$89,5,0)</f>
        <v>153.57887999999994</v>
      </c>
      <c r="FG50" s="14">
        <f t="shared" si="47"/>
        <v>39.390779474606113</v>
      </c>
      <c r="FH50" s="22">
        <f t="shared" si="22"/>
        <v>336.08882358493884</v>
      </c>
      <c r="FI50" s="60">
        <f t="shared" si="23"/>
        <v>589.15006144913423</v>
      </c>
      <c r="FJ50" s="60">
        <f ca="1">AVERAGE(OFFSET($FI$3,0,0,'Données projet'!$E$16+1,1))-AVERAGE(OFFSET($H$3,0,0,'Données projet'!$E$16+1,1))</f>
        <v>296.01124173332352</v>
      </c>
      <c r="FK50" s="60">
        <f t="shared" si="48"/>
        <v>315.50730924873733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6.4</v>
      </c>
      <c r="FZ50" s="13">
        <f>IF('Données projet'!$A$244&gt;35,FZ49+FY50-GH49,IF(A50&lt;'Données projet'!$A$244,$FW$205^A50,IF(A50='Données projet'!$A$244,'Données projet'!$B$244,FZ49+FY50-GH49)))</f>
        <v>145.80000000000004</v>
      </c>
      <c r="GA50" s="18">
        <f>FZ50*VLOOKUP('Données projet'!$B$17,Paramètres!$A$1:$I$89,3,0)*VLOOKUP('Données projet'!$B$17,Paramètres!$A$1:$I$89,5,0)</f>
        <v>141.01776000000004</v>
      </c>
      <c r="GB50" s="14">
        <f t="shared" si="49"/>
        <v>36.530061637934431</v>
      </c>
      <c r="GC50" s="22">
        <f t="shared" si="25"/>
        <v>309.22912268606922</v>
      </c>
      <c r="GD50" s="60">
        <f t="shared" si="26"/>
        <v>562.29036055026461</v>
      </c>
      <c r="GE50" s="60">
        <f ca="1">AVERAGE(OFFSET($GD$3,0,0,'Données projet'!$E$17+1,1))-AVERAGE(OFFSET($H$3,0,0,'Données projet'!$E$17+1,1))</f>
        <v>391.18744390931187</v>
      </c>
      <c r="GF50" s="60">
        <f t="shared" si="50"/>
        <v>261.46982358454386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0.85148748978364019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0.85148748978364019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0">
        <f t="shared" si="0"/>
        <v>574.10982723195707</v>
      </c>
      <c r="S51" s="60">
        <f ca="1">AVERAGE(OFFSET($R$3,0,0,'Données projet'!$E$9+1,1))-AVERAGE(OFFSET($H$3,0,0,'Données projet'!$E$9+1,1))</f>
        <v>469.15492079216403</v>
      </c>
      <c r="T51" s="60">
        <f t="shared" si="34"/>
        <v>250.47702091764884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136.13184000000004</v>
      </c>
      <c r="AK51" s="14">
        <f t="shared" si="35"/>
        <v>35.40942452951419</v>
      </c>
      <c r="AL51" s="22">
        <f t="shared" si="4"/>
        <v>298.7677023889039</v>
      </c>
      <c r="AM51" s="60">
        <f t="shared" si="5"/>
        <v>552.5275710745716</v>
      </c>
      <c r="AN51" s="60">
        <f ca="1">AVERAGE(OFFSET($AM$3,0,0,'Données projet'!$E$10+1,1))-AVERAGE(OFFSET($H$3,0,0,'Données projet'!$E$10+1,1))</f>
        <v>442.49274132121275</v>
      </c>
      <c r="AO51" s="60">
        <f t="shared" si="36"/>
        <v>237.37463556402756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5.8</v>
      </c>
      <c r="BD51" s="13">
        <f>IF('Données projet'!$A$88&gt;35,BD50+BC51-BL50,IF(A51&lt;'Données projet'!$A$88,$BA$205^A51,IF(A51='Données projet'!$A$88,'Données projet'!$B$88,BD50+BC51-BL50)))</f>
        <v>194.40000000000006</v>
      </c>
      <c r="BE51" s="14">
        <f>BD51*VLOOKUP('Données projet'!$B$11,Paramètres!$A$1:$I$89,3,0)*VLOOKUP('Données projet'!$B$11,Paramètres!$A$1:$I$89,5,0)</f>
        <v>127.37088000000004</v>
      </c>
      <c r="BF51" s="14">
        <f t="shared" si="37"/>
        <v>33.388126388800522</v>
      </c>
      <c r="BG51" s="22">
        <f t="shared" si="7"/>
        <v>279.98860279382762</v>
      </c>
      <c r="BH51" s="60">
        <f t="shared" si="8"/>
        <v>533.74847147949527</v>
      </c>
      <c r="BI51" s="60">
        <f ca="1">AVERAGE(OFFSET($BH$3,0,0,'Données projet'!$E$11+1,1))-AVERAGE(OFFSET($H$3,0,0,'Données projet'!$E$11+1,1))</f>
        <v>267.90768140488603</v>
      </c>
      <c r="BJ51" s="60">
        <f t="shared" si="38"/>
        <v>280.25465074992258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5.8</v>
      </c>
      <c r="BY51" s="13">
        <f>IF('Données projet'!$A$114&gt;35,BY50+BX51-CG50,IF(A51&lt;'Données projet'!$A$114,$BV$205^A51,IF(A51='Données projet'!$A$114,'Données projet'!$B$114,BY50+BX51-CG50)))</f>
        <v>173.4</v>
      </c>
      <c r="BZ51" s="14">
        <f>BY51*VLOOKUP('Données projet'!$B$12,Paramètres!$A$1:$I$89,3,0)*VLOOKUP('Données projet'!$B$12,Paramètres!$A$1:$I$89,5,0)</f>
        <v>140.66208</v>
      </c>
      <c r="CA51" s="14">
        <f t="shared" si="39"/>
        <v>36.448637053108627</v>
      </c>
      <c r="CB51" s="22">
        <f t="shared" si="10"/>
        <v>308.46783220083086</v>
      </c>
      <c r="CC51" s="60">
        <f t="shared" si="11"/>
        <v>562.2277008864985</v>
      </c>
      <c r="CD51" s="60">
        <f ca="1">AVERAGE(OFFSET($CC$3,0,0,'Données projet'!$E$12+1,1))-AVERAGE(OFFSET($H$3,0,0,'Données projet'!$E$12+1,1))</f>
        <v>308.6594206517259</v>
      </c>
      <c r="CE51" s="60">
        <f t="shared" si="40"/>
        <v>258.90832875500325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5.5128205128205083</v>
      </c>
      <c r="CT51" s="13">
        <f>IF('Données projet'!$A$140&gt;35,CT50+CS51-DB50,IF(A51&lt;'Données projet'!$A$140,$CQ$205^A51,IF(A51='Données projet'!$A$140,'Données projet'!$B$140,CT50+CS51-DB50)))</f>
        <v>169.10256410256412</v>
      </c>
      <c r="CU51" s="18">
        <f>CT51*VLOOKUP('Données projet'!$B$13,Paramètres!$A$1:$I$89,3,0)*VLOOKUP('Données projet'!$B$13,Paramètres!$A$1:$I$89,5,0)</f>
        <v>160.91800000000003</v>
      </c>
      <c r="CV51" s="14">
        <f t="shared" si="41"/>
        <v>41.049503875172206</v>
      </c>
      <c r="CW51" s="22">
        <f t="shared" si="13"/>
        <v>351.76006924925832</v>
      </c>
      <c r="CX51" s="60">
        <f t="shared" si="14"/>
        <v>605.51993793492602</v>
      </c>
      <c r="CY51" s="60">
        <f ca="1">AVERAGE(OFFSET($CX$3,0,0,'Données projet'!$E$13+1,1))-AVERAGE(OFFSET($H$3,0,0,'Données projet'!$E$13+1,1))</f>
        <v>397.63792993520934</v>
      </c>
      <c r="CZ51" s="60">
        <f t="shared" si="42"/>
        <v>300.63705521148802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6.2820512820512819</v>
      </c>
      <c r="DO51" s="13">
        <f>IF('Données projet'!$A$166&gt;35,DO50+DN51-DW50,IF(A51&lt;'Données projet'!$A$166,$DL$205^A51,IF(A51='Données projet'!$A$166,'Données projet'!$B$166,DO50+DN51-DW50)))</f>
        <v>209.23076923076917</v>
      </c>
      <c r="DP51" s="18">
        <f>DO51*VLOOKUP('Données projet'!$B$14,Paramètres!$A$1:$I$89,3,0)*VLOOKUP('Données projet'!$B$14,Paramètres!$A$1:$I$89,5,0)</f>
        <v>140.35199999999998</v>
      </c>
      <c r="DQ51" s="14">
        <f t="shared" si="43"/>
        <v>36.377631963176114</v>
      </c>
      <c r="DR51" s="22">
        <f t="shared" si="16"/>
        <v>307.80410900253167</v>
      </c>
      <c r="DS51" s="60">
        <f t="shared" si="17"/>
        <v>561.56397768819943</v>
      </c>
      <c r="DT51" s="60">
        <f ca="1">AVERAGE(OFFSET($DS$3,0,0,'Données projet'!$E$14+1,1))-AVERAGE(OFFSET($H$3,0,0,'Données projet'!$E$14+1,1))</f>
        <v>343.94240546037798</v>
      </c>
      <c r="DU51" s="60">
        <f t="shared" si="44"/>
        <v>277.30931495079346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0.77697430497035957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0.77697430497035957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10.199999999999999</v>
      </c>
      <c r="EJ51" s="13">
        <f>IF('Données projet'!$A$192&gt;35,EJ50+EI51-ER50,IF(A51&lt;'Données projet'!$A$192,$EG$205^A51,IF(A51='Données projet'!$A$192,'Données projet'!$B$192,EJ50+EI51-ER50)))</f>
        <v>232.60000000000002</v>
      </c>
      <c r="EK51" s="18">
        <f>EJ51*VLOOKUP('Données projet'!$B$15,Paramètres!$A$1:$I$89,3,0)*VLOOKUP('Données projet'!$B$15,Paramètres!$A$1:$I$89,5,0)</f>
        <v>181.42800000000003</v>
      </c>
      <c r="EL51" s="14">
        <f t="shared" si="45"/>
        <v>45.639743598335336</v>
      </c>
      <c r="EM51" s="22">
        <f t="shared" si="19"/>
        <v>395.47632010043407</v>
      </c>
      <c r="EN51" s="60">
        <f t="shared" si="20"/>
        <v>649.23618878610182</v>
      </c>
      <c r="EO51" s="60">
        <f ca="1">AVERAGE(OFFSET($EN$3,0,0,'Données projet'!$E$15+1,1))-AVERAGE(OFFSET($H$3,0,0,'Données projet'!$E$15+1,1))</f>
        <v>308.76306523144956</v>
      </c>
      <c r="EP51" s="60">
        <f t="shared" si="46"/>
        <v>283.28099819802776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5.4</v>
      </c>
      <c r="FE51" s="13">
        <f>IF('Données projet'!$A$218&gt;35,FE50+FD51-FM50,IF(A51&lt;'Données projet'!$A$218,$FB$205^A51,IF(A51='Données projet'!$A$218,'Données projet'!$B$218,FE50+FD51-FM50)))</f>
        <v>181.19999999999993</v>
      </c>
      <c r="FF51" s="18">
        <f>FE51*VLOOKUP('Données projet'!$B$16,Paramètres!$A$1:$I$89,3,0)*VLOOKUP('Données projet'!$B$16,Paramètres!$A$1:$I$89,5,0)</f>
        <v>158.29631999999995</v>
      </c>
      <c r="FG51" s="14">
        <f t="shared" si="47"/>
        <v>40.458006540983739</v>
      </c>
      <c r="FH51" s="22">
        <f t="shared" si="22"/>
        <v>346.16378539221324</v>
      </c>
      <c r="FI51" s="60">
        <f t="shared" si="23"/>
        <v>599.92365407788088</v>
      </c>
      <c r="FJ51" s="60">
        <f ca="1">AVERAGE(OFFSET($FI$3,0,0,'Données projet'!$E$16+1,1))-AVERAGE(OFFSET($H$3,0,0,'Données projet'!$E$16+1,1))</f>
        <v>296.01124173332352</v>
      </c>
      <c r="FK51" s="60">
        <f t="shared" si="48"/>
        <v>315.50730924873733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6.4</v>
      </c>
      <c r="FZ51" s="13">
        <f>IF('Données projet'!$A$244&gt;35,FZ50+FY51-GH50,IF(A51&lt;'Données projet'!$A$244,$FW$205^A51,IF(A51='Données projet'!$A$244,'Données projet'!$B$244,FZ50+FY51-GH50)))</f>
        <v>152.20000000000005</v>
      </c>
      <c r="GA51" s="18">
        <f>FZ51*VLOOKUP('Données projet'!$B$17,Paramètres!$A$1:$I$89,3,0)*VLOOKUP('Données projet'!$B$17,Paramètres!$A$1:$I$89,5,0)</f>
        <v>147.20784000000006</v>
      </c>
      <c r="GB51" s="14">
        <f t="shared" si="49"/>
        <v>37.943365010876356</v>
      </c>
      <c r="GC51" s="22">
        <f t="shared" si="25"/>
        <v>322.47168206060974</v>
      </c>
      <c r="GD51" s="60">
        <f t="shared" si="26"/>
        <v>576.23155074627743</v>
      </c>
      <c r="GE51" s="60">
        <f ca="1">AVERAGE(OFFSET($GD$3,0,0,'Données projet'!$E$17+1,1))-AVERAGE(OFFSET($H$3,0,0,'Données projet'!$E$17+1,1))</f>
        <v>391.18744390931187</v>
      </c>
      <c r="GF51" s="60">
        <f t="shared" si="50"/>
        <v>261.46982358454386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0.82820351959772553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0.82820351959772553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0">
        <f t="shared" si="0"/>
        <v>590.65518214188819</v>
      </c>
      <c r="S52" s="60">
        <f ca="1">AVERAGE(OFFSET($R$3,0,0,'Données projet'!$E$9+1,1))-AVERAGE(OFFSET($H$3,0,0,'Données projet'!$E$9+1,1))</f>
        <v>469.15492079216403</v>
      </c>
      <c r="T52" s="60">
        <f t="shared" si="34"/>
        <v>250.47702091764884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143.03952000000001</v>
      </c>
      <c r="AK52" s="14">
        <f t="shared" si="35"/>
        <v>36.992444033168439</v>
      </c>
      <c r="AL52" s="22">
        <f t="shared" si="4"/>
        <v>313.55567069110168</v>
      </c>
      <c r="AM52" s="60">
        <f t="shared" si="5"/>
        <v>568.00205051539365</v>
      </c>
      <c r="AN52" s="60">
        <f ca="1">AVERAGE(OFFSET($AM$3,0,0,'Données projet'!$E$10+1,1))-AVERAGE(OFFSET($H$3,0,0,'Données projet'!$E$10+1,1))</f>
        <v>442.49274132121275</v>
      </c>
      <c r="AO52" s="60">
        <f t="shared" si="36"/>
        <v>237.37463556402756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5.8</v>
      </c>
      <c r="BD52" s="13">
        <f>IF('Données projet'!$A$88&gt;35,BD51+BC52-BL51,IF(A52&lt;'Données projet'!$A$88,$BA$205^A52,IF(A52='Données projet'!$A$88,'Données projet'!$B$88,BD51+BC52-BL51)))</f>
        <v>200.20000000000007</v>
      </c>
      <c r="BE52" s="14">
        <f>BD52*VLOOKUP('Données projet'!$B$11,Paramètres!$A$1:$I$89,3,0)*VLOOKUP('Données projet'!$B$11,Paramètres!$A$1:$I$89,5,0)</f>
        <v>131.17104000000006</v>
      </c>
      <c r="BF52" s="14">
        <f t="shared" si="37"/>
        <v>34.26681090448254</v>
      </c>
      <c r="BG52" s="22">
        <f t="shared" si="7"/>
        <v>288.1375903253072</v>
      </c>
      <c r="BH52" s="60">
        <f t="shared" si="8"/>
        <v>542.58397014959917</v>
      </c>
      <c r="BI52" s="60">
        <f ca="1">AVERAGE(OFFSET($BH$3,0,0,'Données projet'!$E$11+1,1))-AVERAGE(OFFSET($H$3,0,0,'Données projet'!$E$11+1,1))</f>
        <v>267.90768140488603</v>
      </c>
      <c r="BJ52" s="60">
        <f t="shared" si="38"/>
        <v>280.25465074992258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5.8</v>
      </c>
      <c r="BY52" s="13">
        <f>IF('Données projet'!$A$114&gt;35,BY51+BX52-CG51,IF(A52&lt;'Données projet'!$A$114,$BV$205^A52,IF(A52='Données projet'!$A$114,'Données projet'!$B$114,BY51+BX52-CG51)))</f>
        <v>179.20000000000002</v>
      </c>
      <c r="BZ52" s="14">
        <f>BY52*VLOOKUP('Données projet'!$B$12,Paramètres!$A$1:$I$89,3,0)*VLOOKUP('Données projet'!$B$12,Paramètres!$A$1:$I$89,5,0)</f>
        <v>145.36704000000003</v>
      </c>
      <c r="CA52" s="14">
        <f t="shared" si="39"/>
        <v>37.523814117080832</v>
      </c>
      <c r="CB52" s="22">
        <f t="shared" si="10"/>
        <v>318.53490425391578</v>
      </c>
      <c r="CC52" s="60">
        <f t="shared" si="11"/>
        <v>572.98128407820775</v>
      </c>
      <c r="CD52" s="60">
        <f ca="1">AVERAGE(OFFSET($CC$3,0,0,'Données projet'!$E$12+1,1))-AVERAGE(OFFSET($H$3,0,0,'Données projet'!$E$12+1,1))</f>
        <v>308.6594206517259</v>
      </c>
      <c r="CE52" s="60">
        <f t="shared" si="40"/>
        <v>258.90832875500325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5.5128205128205083</v>
      </c>
      <c r="CT52" s="13">
        <f>IF('Données projet'!$A$140&gt;35,CT51+CS52-DB51,IF(A52&lt;'Données projet'!$A$140,$CQ$205^A52,IF(A52='Données projet'!$A$140,'Données projet'!$B$140,CT51+CS52-DB51)))</f>
        <v>174.61538461538461</v>
      </c>
      <c r="CU52" s="18">
        <f>CT52*VLOOKUP('Données projet'!$B$13,Paramètres!$A$1:$I$89,3,0)*VLOOKUP('Données projet'!$B$13,Paramètres!$A$1:$I$89,5,0)</f>
        <v>166.16399999999999</v>
      </c>
      <c r="CV52" s="14">
        <f t="shared" si="41"/>
        <v>42.229749328882683</v>
      </c>
      <c r="CW52" s="22">
        <f t="shared" si="13"/>
        <v>362.952446747804</v>
      </c>
      <c r="CX52" s="60">
        <f t="shared" si="14"/>
        <v>617.39882657209591</v>
      </c>
      <c r="CY52" s="60">
        <f ca="1">AVERAGE(OFFSET($CX$3,0,0,'Données projet'!$E$13+1,1))-AVERAGE(OFFSET($H$3,0,0,'Données projet'!$E$13+1,1))</f>
        <v>397.63792993520934</v>
      </c>
      <c r="CZ52" s="60">
        <f t="shared" si="42"/>
        <v>300.63705521148802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6.2820512820512819</v>
      </c>
      <c r="DO52" s="13">
        <f>IF('Données projet'!$A$166&gt;35,DO51+DN52-DW51,IF(A52&lt;'Données projet'!$A$166,$DL$205^A52,IF(A52='Données projet'!$A$166,'Données projet'!$B$166,DO51+DN52-DW51)))</f>
        <v>215.51282051282044</v>
      </c>
      <c r="DP52" s="18">
        <f>DO52*VLOOKUP('Données projet'!$B$14,Paramètres!$A$1:$I$89,3,0)*VLOOKUP('Données projet'!$B$14,Paramètres!$A$1:$I$89,5,0)</f>
        <v>144.56599999999995</v>
      </c>
      <c r="DQ52" s="14">
        <f t="shared" si="43"/>
        <v>37.34105018834984</v>
      </c>
      <c r="DR52" s="22">
        <f t="shared" si="16"/>
        <v>316.82144574470919</v>
      </c>
      <c r="DS52" s="60">
        <f t="shared" si="17"/>
        <v>571.26782556900116</v>
      </c>
      <c r="DT52" s="60">
        <f ca="1">AVERAGE(OFFSET($DS$3,0,0,'Données projet'!$E$14+1,1))-AVERAGE(OFFSET($H$3,0,0,'Données projet'!$E$14+1,1))</f>
        <v>343.94240546037798</v>
      </c>
      <c r="DU52" s="60">
        <f t="shared" si="44"/>
        <v>277.30931495079346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0.75572790174164217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0.75572790174164217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10.199999999999999</v>
      </c>
      <c r="EJ52" s="13">
        <f>IF('Données projet'!$A$192&gt;35,EJ51+EI52-ER51,IF(A52&lt;'Données projet'!$A$192,$EG$205^A52,IF(A52='Données projet'!$A$192,'Données projet'!$B$192,EJ51+EI52-ER51)))</f>
        <v>242.8</v>
      </c>
      <c r="EK52" s="18">
        <f>EJ52*VLOOKUP('Données projet'!$B$15,Paramètres!$A$1:$I$89,3,0)*VLOOKUP('Données projet'!$B$15,Paramètres!$A$1:$I$89,5,0)</f>
        <v>189.38400000000001</v>
      </c>
      <c r="EL52" s="14">
        <f t="shared" si="45"/>
        <v>47.403738268724076</v>
      </c>
      <c r="EM52" s="22">
        <f t="shared" si="19"/>
        <v>412.40531081802777</v>
      </c>
      <c r="EN52" s="60">
        <f t="shared" si="20"/>
        <v>666.85169064231968</v>
      </c>
      <c r="EO52" s="60">
        <f ca="1">AVERAGE(OFFSET($EN$3,0,0,'Données projet'!$E$15+1,1))-AVERAGE(OFFSET($H$3,0,0,'Données projet'!$E$15+1,1))</f>
        <v>308.76306523144956</v>
      </c>
      <c r="EP52" s="60">
        <f t="shared" si="46"/>
        <v>283.28099819802776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5.4</v>
      </c>
      <c r="FE52" s="13">
        <f>IF('Données projet'!$A$218&gt;35,FE51+FD52-FM51,IF(A52&lt;'Données projet'!$A$218,$FB$205^A52,IF(A52='Données projet'!$A$218,'Données projet'!$B$218,FE51+FD52-FM51)))</f>
        <v>186.59999999999994</v>
      </c>
      <c r="FF52" s="18">
        <f>FE52*VLOOKUP('Données projet'!$B$16,Paramètres!$A$1:$I$89,3,0)*VLOOKUP('Données projet'!$B$16,Paramètres!$A$1:$I$89,5,0)</f>
        <v>163.01375999999996</v>
      </c>
      <c r="FG52" s="14">
        <f t="shared" si="47"/>
        <v>41.521537366475364</v>
      </c>
      <c r="FH52" s="22">
        <f t="shared" si="22"/>
        <v>356.23230957994451</v>
      </c>
      <c r="FI52" s="60">
        <f t="shared" si="23"/>
        <v>610.67868940423648</v>
      </c>
      <c r="FJ52" s="60">
        <f ca="1">AVERAGE(OFFSET($FI$3,0,0,'Données projet'!$E$16+1,1))-AVERAGE(OFFSET($H$3,0,0,'Données projet'!$E$16+1,1))</f>
        <v>296.01124173332352</v>
      </c>
      <c r="FK52" s="60">
        <f t="shared" si="48"/>
        <v>315.50730924873733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6.4</v>
      </c>
      <c r="FZ52" s="13">
        <f>IF('Données projet'!$A$244&gt;35,FZ51+FY52-GH51,IF(A52&lt;'Données projet'!$A$244,$FW$205^A52,IF(A52='Données projet'!$A$244,'Données projet'!$B$244,FZ51+FY52-GH51)))</f>
        <v>158.60000000000005</v>
      </c>
      <c r="GA52" s="18">
        <f>FZ52*VLOOKUP('Données projet'!$B$17,Paramètres!$A$1:$I$89,3,0)*VLOOKUP('Données projet'!$B$17,Paramètres!$A$1:$I$89,5,0)</f>
        <v>153.39792000000006</v>
      </c>
      <c r="GB52" s="14">
        <f t="shared" si="49"/>
        <v>39.349765565193408</v>
      </c>
      <c r="GC52" s="22">
        <f t="shared" si="25"/>
        <v>335.70221902604527</v>
      </c>
      <c r="GD52" s="60">
        <f t="shared" si="26"/>
        <v>590.14859885033729</v>
      </c>
      <c r="GE52" s="60">
        <f ca="1">AVERAGE(OFFSET($GD$3,0,0,'Données projet'!$E$17+1,1))-AVERAGE(OFFSET($H$3,0,0,'Données projet'!$E$17+1,1))</f>
        <v>391.18744390931187</v>
      </c>
      <c r="GF52" s="60">
        <f t="shared" si="50"/>
        <v>261.46982358454386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0.80555625080099547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0.80555625080099547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0">
        <f t="shared" si="0"/>
        <v>607.17215887318071</v>
      </c>
      <c r="S53" s="60">
        <f ca="1">AVERAGE(OFFSET($R$3,0,0,'Données projet'!$E$9+1,1))-AVERAGE(OFFSET($H$3,0,0,'Données projet'!$E$9+1,1))</f>
        <v>469.15492079216403</v>
      </c>
      <c r="T53" s="60">
        <f t="shared" si="34"/>
        <v>250.47702091764884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149.94720000000001</v>
      </c>
      <c r="AK53" s="14">
        <f t="shared" si="35"/>
        <v>38.566586385539779</v>
      </c>
      <c r="AL53" s="22">
        <f t="shared" si="4"/>
        <v>328.32817795481515</v>
      </c>
      <c r="AM53" s="60">
        <f t="shared" si="5"/>
        <v>583.44915948428525</v>
      </c>
      <c r="AN53" s="60">
        <f ca="1">AVERAGE(OFFSET($AM$3,0,0,'Données projet'!$E$10+1,1))-AVERAGE(OFFSET($H$3,0,0,'Données projet'!$E$10+1,1))</f>
        <v>442.49274132121275</v>
      </c>
      <c r="AO53" s="60">
        <f t="shared" si="36"/>
        <v>237.37463556402756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206</v>
      </c>
      <c r="BB53" s="13">
        <f>VLOOKUP(A53,'Données projet'!$A$87:$I$107,9,0)</f>
        <v>5.8</v>
      </c>
      <c r="BC53" s="13">
        <f t="array" ref="BC53">INDEX(BB:BB,MIN(IF(ISNUMBER(BB53:BB249),ROW(BB53:BB249),"")))</f>
        <v>5.8</v>
      </c>
      <c r="BD53" s="13">
        <f>IF('Données projet'!$A$88&gt;35,BD52+BC53-BL52,IF(A53&lt;'Données projet'!$A$88,$BA$205^A53,IF(A53='Données projet'!$A$88,'Données projet'!$B$88,BD52+BC53-BL52)))</f>
        <v>206.00000000000009</v>
      </c>
      <c r="BE53" s="14">
        <f>BD53*VLOOKUP('Données projet'!$B$11,Paramètres!$A$1:$I$89,3,0)*VLOOKUP('Données projet'!$B$11,Paramètres!$A$1:$I$89,5,0)</f>
        <v>134.97120000000007</v>
      </c>
      <c r="BF53" s="14">
        <f t="shared" si="37"/>
        <v>35.142536849088692</v>
      </c>
      <c r="BG53" s="22">
        <f t="shared" si="7"/>
        <v>296.28142501216286</v>
      </c>
      <c r="BH53" s="60">
        <f t="shared" si="8"/>
        <v>551.4024065416329</v>
      </c>
      <c r="BI53" s="60">
        <f ca="1">AVERAGE(OFFSET($BH$3,0,0,'Données projet'!$E$11+1,1))-AVERAGE(OFFSET($H$3,0,0,'Données projet'!$E$11+1,1))</f>
        <v>267.90768140488603</v>
      </c>
      <c r="BJ53" s="60">
        <f t="shared" si="38"/>
        <v>280.25465074992258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185</v>
      </c>
      <c r="BW53" s="13">
        <f>VLOOKUP(A53,'Données projet'!$A$113:$I$133,9,0)</f>
        <v>5.8</v>
      </c>
      <c r="BX53" s="13">
        <f t="array" ref="BX53">INDEX(BW:BW,MIN(IF(ISNUMBER(BW53:BW249),ROW(BW53:BW249),"")))</f>
        <v>5.8</v>
      </c>
      <c r="BY53" s="13">
        <f>IF('Données projet'!$A$114&gt;35,BY52+BX53-CG52,IF(A53&lt;'Données projet'!$A$114,$BV$205^A53,IF(A53='Données projet'!$A$114,'Données projet'!$B$114,BY52+BX53-CG52)))</f>
        <v>185.00000000000003</v>
      </c>
      <c r="BZ53" s="14">
        <f>BY53*VLOOKUP('Données projet'!$B$12,Paramètres!$A$1:$I$89,3,0)*VLOOKUP('Données projet'!$B$12,Paramètres!$A$1:$I$89,5,0)</f>
        <v>150.07200000000003</v>
      </c>
      <c r="CA53" s="14">
        <f t="shared" si="39"/>
        <v>38.594947422201457</v>
      </c>
      <c r="CB53" s="22">
        <f t="shared" si="10"/>
        <v>328.59493342700091</v>
      </c>
      <c r="CC53" s="60">
        <f t="shared" si="11"/>
        <v>583.71591495647101</v>
      </c>
      <c r="CD53" s="60">
        <f ca="1">AVERAGE(OFFSET($CC$3,0,0,'Données projet'!$E$12+1,1))-AVERAGE(OFFSET($H$3,0,0,'Données projet'!$E$12+1,1))</f>
        <v>308.6594206517259</v>
      </c>
      <c r="CE53" s="60">
        <f t="shared" si="40"/>
        <v>258.90832875500325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180.12820512820511</v>
      </c>
      <c r="CR53" s="13">
        <f>VLOOKUP(A53,'Données projet'!$A$139:$I$159,9,0)</f>
        <v>5.5128205128205083</v>
      </c>
      <c r="CS53" s="13">
        <f t="array" ref="CS53">INDEX(CR:CR,MIN(IF(ISNUMBER(CR53:CR249),ROW(CR53:CR249),"")))</f>
        <v>5.5128205128205083</v>
      </c>
      <c r="CT53" s="13">
        <f>IF('Données projet'!$A$140&gt;35,CT52+CS53-DB52,IF(A53&lt;'Données projet'!$A$140,$CQ$205^A53,IF(A53='Données projet'!$A$140,'Données projet'!$B$140,CT52+CS53-DB52)))</f>
        <v>180.12820512820511</v>
      </c>
      <c r="CU53" s="18">
        <f>CT53*VLOOKUP('Données projet'!$B$13,Paramètres!$A$1:$I$89,3,0)*VLOOKUP('Données projet'!$B$13,Paramètres!$A$1:$I$89,5,0)</f>
        <v>171.40999999999997</v>
      </c>
      <c r="CV53" s="14">
        <f t="shared" si="41"/>
        <v>43.405664710300847</v>
      </c>
      <c r="CW53" s="22">
        <f t="shared" si="13"/>
        <v>374.13728270377391</v>
      </c>
      <c r="CX53" s="60">
        <f t="shared" si="14"/>
        <v>629.25826423324406</v>
      </c>
      <c r="CY53" s="60">
        <f ca="1">AVERAGE(OFFSET($CX$3,0,0,'Données projet'!$E$13+1,1))-AVERAGE(OFFSET($H$3,0,0,'Données projet'!$E$13+1,1))</f>
        <v>397.63792993520934</v>
      </c>
      <c r="CZ53" s="60">
        <f t="shared" si="42"/>
        <v>300.63705521148802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30.769230769230766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221.7948717948718</v>
      </c>
      <c r="DM53" s="13">
        <f>VLOOKUP(A53,'Données projet'!$A$165:$I$185,9,0)</f>
        <v>6.2820512820512819</v>
      </c>
      <c r="DN53" s="13">
        <f t="array" ref="DN53">INDEX(DM:DM,MIN(IF(ISNUMBER(DM53:DM249),ROW(DM53:DM249),"")))</f>
        <v>6.2820512820512819</v>
      </c>
      <c r="DO53" s="13">
        <f>IF('Données projet'!$A$166&gt;35,DO52+DN53-DW52,IF(A53&lt;'Données projet'!$A$166,$DL$205^A53,IF(A53='Données projet'!$A$166,'Données projet'!$B$166,DO52+DN53-DW52)))</f>
        <v>221.79487179487171</v>
      </c>
      <c r="DP53" s="18">
        <f>DO53*VLOOKUP('Données projet'!$B$14,Paramètres!$A$1:$I$89,3,0)*VLOOKUP('Données projet'!$B$14,Paramètres!$A$1:$I$89,5,0)</f>
        <v>148.77999999999994</v>
      </c>
      <c r="DQ53" s="14">
        <f t="shared" si="43"/>
        <v>38.301204605347799</v>
      </c>
      <c r="DR53" s="22">
        <f t="shared" si="16"/>
        <v>325.83309802098063</v>
      </c>
      <c r="DS53" s="60">
        <f t="shared" si="17"/>
        <v>580.95407955045073</v>
      </c>
      <c r="DT53" s="60">
        <f ca="1">AVERAGE(OFFSET($DS$3,0,0,'Données projet'!$E$14+1,1))-AVERAGE(OFFSET($H$3,0,0,'Données projet'!$E$14+1,1))</f>
        <v>343.94240546037798</v>
      </c>
      <c r="DU53" s="60">
        <f t="shared" si="44"/>
        <v>277.30931495079346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32.692307692307693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0.73506248252651385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0.73506248252651385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253</v>
      </c>
      <c r="EH53" s="13">
        <f>VLOOKUP(A53,'Données projet'!$A$191:$I$211,9,0)</f>
        <v>10.199999999999999</v>
      </c>
      <c r="EI53" s="13">
        <f t="array" ref="EI53">INDEX(EH:EH,MIN(IF(ISNUMBER(EH53:EH249),ROW(EH53:EH249),"")))</f>
        <v>10.199999999999999</v>
      </c>
      <c r="EJ53" s="13">
        <f>IF('Données projet'!$A$192&gt;35,EJ52+EI53-ER52,IF(A53&lt;'Données projet'!$A$192,$EG$205^A53,IF(A53='Données projet'!$A$192,'Données projet'!$B$192,EJ52+EI53-ER52)))</f>
        <v>253</v>
      </c>
      <c r="EK53" s="18">
        <f>EJ53*VLOOKUP('Données projet'!$B$15,Paramètres!$A$1:$I$89,3,0)*VLOOKUP('Données projet'!$B$15,Paramètres!$A$1:$I$89,5,0)</f>
        <v>197.34</v>
      </c>
      <c r="EL53" s="14">
        <f t="shared" si="45"/>
        <v>49.159125474269977</v>
      </c>
      <c r="EM53" s="22">
        <f t="shared" si="19"/>
        <v>429.31931020102024</v>
      </c>
      <c r="EN53" s="60">
        <f t="shared" si="20"/>
        <v>684.44029173049034</v>
      </c>
      <c r="EO53" s="60">
        <f ca="1">AVERAGE(OFFSET($EN$3,0,0,'Données projet'!$E$15+1,1))-AVERAGE(OFFSET($H$3,0,0,'Données projet'!$E$15+1,1))</f>
        <v>308.76306523144956</v>
      </c>
      <c r="EP53" s="60">
        <f t="shared" si="46"/>
        <v>283.28099819802776</v>
      </c>
      <c r="EQ53" s="16">
        <f>IF(ISNA(VLOOKUP(A53,'Données projet'!$A$191:$I$211,3,0)),0,VLOOKUP(A53,'Données projet'!$A$191:$I$211,3,0))</f>
        <v>6</v>
      </c>
      <c r="ER53" s="16">
        <f>IF(ISNA(VLOOKUP(A53,'Données projet'!$A$191:$I$211,4,0)),0,VLOOKUP(A53,'Données projet'!$A$191:$I$211,4,0))</f>
        <v>30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192</v>
      </c>
      <c r="FC53" s="13">
        <f>VLOOKUP(A53,'Données projet'!$A$217:$I$237,9,0)</f>
        <v>5.4</v>
      </c>
      <c r="FD53" s="13">
        <f t="array" ref="FD53">INDEX(FC:FC,MIN(IF(ISNUMBER(FC53:FC249),ROW(FC53:FC249),"")))</f>
        <v>5.4</v>
      </c>
      <c r="FE53" s="13">
        <f>IF('Données projet'!$A$218&gt;35,FE52+FD53-FM52,IF(A53&lt;'Données projet'!$A$218,$FB$205^A53,IF(A53='Données projet'!$A$218,'Données projet'!$B$218,FE52+FD53-FM52)))</f>
        <v>191.99999999999994</v>
      </c>
      <c r="FF53" s="18">
        <f>FE53*VLOOKUP('Données projet'!$B$16,Paramètres!$A$1:$I$89,3,0)*VLOOKUP('Données projet'!$B$16,Paramètres!$A$1:$I$89,5,0)</f>
        <v>167.73119999999997</v>
      </c>
      <c r="FG53" s="14">
        <f t="shared" si="47"/>
        <v>42.581491199832655</v>
      </c>
      <c r="FH53" s="22">
        <f t="shared" si="22"/>
        <v>366.29460383970849</v>
      </c>
      <c r="FI53" s="60">
        <f t="shared" si="23"/>
        <v>621.41558536917864</v>
      </c>
      <c r="FJ53" s="60">
        <f ca="1">AVERAGE(OFFSET($FI$3,0,0,'Données projet'!$E$16+1,1))-AVERAGE(OFFSET($H$3,0,0,'Données projet'!$E$16+1,1))</f>
        <v>296.01124173332352</v>
      </c>
      <c r="FK53" s="60">
        <f t="shared" si="48"/>
        <v>315.50730924873733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31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165</v>
      </c>
      <c r="FX53" s="13">
        <f>VLOOKUP(A53,'Données projet'!$A$243:$I$263,9,0)</f>
        <v>6.4</v>
      </c>
      <c r="FY53" s="13">
        <f t="array" ref="FY53">INDEX(FX:FX,MIN(IF(ISNUMBER(FX53:FX249),ROW(FX53:FX249),"")))</f>
        <v>6.4</v>
      </c>
      <c r="FZ53" s="13">
        <f>IF('Données projet'!$A$244&gt;35,FZ52+FY53-GH52,IF(A53&lt;'Données projet'!$A$244,$FW$205^A53,IF(A53='Données projet'!$A$244,'Données projet'!$B$244,FZ52+FY53-GH52)))</f>
        <v>165.00000000000006</v>
      </c>
      <c r="GA53" s="18">
        <f>FZ53*VLOOKUP('Données projet'!$B$17,Paramètres!$A$1:$I$89,3,0)*VLOOKUP('Données projet'!$B$17,Paramètres!$A$1:$I$89,5,0)</f>
        <v>159.58800000000008</v>
      </c>
      <c r="GB53" s="14">
        <f t="shared" si="49"/>
        <v>40.749573716685916</v>
      </c>
      <c r="GC53" s="22">
        <f t="shared" si="25"/>
        <v>348.92127422322807</v>
      </c>
      <c r="GD53" s="60">
        <f t="shared" si="26"/>
        <v>604.04225575269811</v>
      </c>
      <c r="GE53" s="60">
        <f ca="1">AVERAGE(OFFSET($GD$3,0,0,'Données projet'!$E$17+1,1))-AVERAGE(OFFSET($H$3,0,0,'Données projet'!$E$17+1,1))</f>
        <v>391.18744390931187</v>
      </c>
      <c r="GF53" s="60">
        <f t="shared" si="50"/>
        <v>261.46982358454386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35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0.78352827276048009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0.78352827276048009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0">
        <f t="shared" si="0"/>
        <v>623.27597075320705</v>
      </c>
      <c r="S54" s="60">
        <f ca="1">AVERAGE(OFFSET($R$3,0,0,'Données projet'!$E$9+1,1))-AVERAGE(OFFSET($H$3,0,0,'Données projet'!$E$9+1,1))</f>
        <v>469.15492079216403</v>
      </c>
      <c r="T54" s="60">
        <f t="shared" si="34"/>
        <v>250.47702091764884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156.68640000000002</v>
      </c>
      <c r="AK54" s="14">
        <f t="shared" si="35"/>
        <v>40.094215809840712</v>
      </c>
      <c r="AL54" s="22">
        <f t="shared" si="4"/>
        <v>342.7262392021392</v>
      </c>
      <c r="AM54" s="60">
        <f t="shared" si="5"/>
        <v>598.51011960538608</v>
      </c>
      <c r="AN54" s="60">
        <f ca="1">AVERAGE(OFFSET($AM$3,0,0,'Données projet'!$E$10+1,1))-AVERAGE(OFFSET($H$3,0,0,'Données projet'!$E$10+1,1))</f>
        <v>442.49274132121275</v>
      </c>
      <c r="AO54" s="60">
        <f t="shared" si="36"/>
        <v>237.37463556402756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168.60000000000008</v>
      </c>
      <c r="BE54" s="14">
        <f>BD54*VLOOKUP('Données projet'!$B$11,Paramètres!$A$1:$I$89,3,0)*VLOOKUP('Données projet'!$B$11,Paramètres!$A$1:$I$89,5,0)</f>
        <v>110.46672000000004</v>
      </c>
      <c r="BF54" s="14">
        <f t="shared" si="37"/>
        <v>29.440920333682921</v>
      </c>
      <c r="BG54" s="22">
        <f t="shared" si="7"/>
        <v>243.6724735811645</v>
      </c>
      <c r="BH54" s="60">
        <f t="shared" si="8"/>
        <v>499.45635398441129</v>
      </c>
      <c r="BI54" s="60">
        <f ca="1">AVERAGE(OFFSET($BH$3,0,0,'Données projet'!$E$11+1,1))-AVERAGE(OFFSET($H$3,0,0,'Données projet'!$E$11+1,1))</f>
        <v>267.90768140488603</v>
      </c>
      <c r="BJ54" s="60">
        <f t="shared" si="38"/>
        <v>280.25465074992258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5.4</v>
      </c>
      <c r="BY54" s="13">
        <f>IF('Données projet'!$A$114&gt;35,BY53+BX54-CG53,IF(A54&lt;'Données projet'!$A$114,$BV$205^A54,IF(A54='Données projet'!$A$114,'Données projet'!$B$114,BY53+BX54-CG53)))</f>
        <v>162.40000000000003</v>
      </c>
      <c r="BZ54" s="14">
        <f>BY54*VLOOKUP('Données projet'!$B$12,Paramètres!$A$1:$I$89,3,0)*VLOOKUP('Données projet'!$B$12,Paramètres!$A$1:$I$89,5,0)</f>
        <v>131.73888000000005</v>
      </c>
      <c r="CA54" s="14">
        <f t="shared" si="39"/>
        <v>34.397852193895858</v>
      </c>
      <c r="CB54" s="22">
        <f t="shared" si="10"/>
        <v>289.35480857103533</v>
      </c>
      <c r="CC54" s="60">
        <f t="shared" si="11"/>
        <v>545.1386889742821</v>
      </c>
      <c r="CD54" s="60">
        <f ca="1">AVERAGE(OFFSET($CC$3,0,0,'Données projet'!$E$12+1,1))-AVERAGE(OFFSET($H$3,0,0,'Données projet'!$E$12+1,1))</f>
        <v>308.6594206517259</v>
      </c>
      <c r="CE54" s="60">
        <f t="shared" si="40"/>
        <v>258.90832875500325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5.2564102564102599</v>
      </c>
      <c r="CT54" s="13">
        <f>IF('Données projet'!$A$140&gt;35,CT53+CS54-DB53,IF(A54&lt;'Données projet'!$A$140,$CQ$205^A54,IF(A54='Données projet'!$A$140,'Données projet'!$B$140,CT53+CS54-DB53)))</f>
        <v>154.61538461538458</v>
      </c>
      <c r="CU54" s="18">
        <f>CT54*VLOOKUP('Données projet'!$B$13,Paramètres!$A$1:$I$89,3,0)*VLOOKUP('Données projet'!$B$13,Paramètres!$A$1:$I$89,5,0)</f>
        <v>147.13199999999995</v>
      </c>
      <c r="CV54" s="14">
        <f t="shared" si="41"/>
        <v>37.926091844382093</v>
      </c>
      <c r="CW54" s="22">
        <f t="shared" si="13"/>
        <v>322.3095099622987</v>
      </c>
      <c r="CX54" s="60">
        <f t="shared" si="14"/>
        <v>578.09339036554547</v>
      </c>
      <c r="CY54" s="60">
        <f ca="1">AVERAGE(OFFSET($CX$3,0,0,'Données projet'!$E$13+1,1))-AVERAGE(OFFSET($H$3,0,0,'Données projet'!$E$13+1,1))</f>
        <v>397.63792993520934</v>
      </c>
      <c r="CZ54" s="60">
        <f t="shared" si="42"/>
        <v>300.63705521148802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5.7692307692307683</v>
      </c>
      <c r="DO54" s="13">
        <f>IF('Données projet'!$A$166&gt;35,DO53+DN54-DW53,IF(A54&lt;'Données projet'!$A$166,$DL$205^A54,IF(A54='Données projet'!$A$166,'Données projet'!$B$166,DO53+DN54-DW53)))</f>
        <v>194.8717948717948</v>
      </c>
      <c r="DP54" s="18">
        <f>DO54*VLOOKUP('Données projet'!$B$14,Paramètres!$A$1:$I$89,3,0)*VLOOKUP('Données projet'!$B$14,Paramètres!$A$1:$I$89,5,0)</f>
        <v>130.71999999999997</v>
      </c>
      <c r="DQ54" s="14">
        <f t="shared" si="43"/>
        <v>34.162676675108806</v>
      </c>
      <c r="DR54" s="22">
        <f t="shared" si="16"/>
        <v>287.1706618758144</v>
      </c>
      <c r="DS54" s="60">
        <f t="shared" si="17"/>
        <v>542.95454227906123</v>
      </c>
      <c r="DT54" s="60">
        <f ca="1">AVERAGE(OFFSET($DS$3,0,0,'Données projet'!$E$14+1,1))-AVERAGE(OFFSET($H$3,0,0,'Données projet'!$E$14+1,1))</f>
        <v>343.94240546037798</v>
      </c>
      <c r="DU54" s="60">
        <f t="shared" si="44"/>
        <v>277.30931495079346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0.71496216028657034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0.71496216028657034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8.1999999999999993</v>
      </c>
      <c r="EJ54" s="13">
        <f>IF('Données projet'!$A$192&gt;35,EJ53+EI54-ER53,IF(A54&lt;'Données projet'!$A$192,$EG$205^A54,IF(A54='Données projet'!$A$192,'Données projet'!$B$192,EJ53+EI54-ER53)))</f>
        <v>231.2</v>
      </c>
      <c r="EK54" s="18">
        <f>EJ54*VLOOKUP('Données projet'!$B$15,Paramètres!$A$1:$I$89,3,0)*VLOOKUP('Données projet'!$B$15,Paramètres!$A$1:$I$89,5,0)</f>
        <v>180.33599999999998</v>
      </c>
      <c r="EL54" s="14">
        <f t="shared" si="45"/>
        <v>45.396931860513298</v>
      </c>
      <c r="EM54" s="22">
        <f t="shared" si="19"/>
        <v>393.15152299039391</v>
      </c>
      <c r="EN54" s="60">
        <f t="shared" si="20"/>
        <v>648.93540339364074</v>
      </c>
      <c r="EO54" s="60">
        <f ca="1">AVERAGE(OFFSET($EN$3,0,0,'Données projet'!$E$15+1,1))-AVERAGE(OFFSET($H$3,0,0,'Données projet'!$E$15+1,1))</f>
        <v>308.76306523144956</v>
      </c>
      <c r="EP54" s="60">
        <f t="shared" si="46"/>
        <v>283.28099819802776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4.8</v>
      </c>
      <c r="FE54" s="13">
        <f>IF('Données projet'!$A$218&gt;35,FE53+FD54-FM53,IF(A54&lt;'Données projet'!$A$218,$FB$205^A54,IF(A54='Données projet'!$A$218,'Données projet'!$B$218,FE53+FD54-FM53)))</f>
        <v>165.79999999999995</v>
      </c>
      <c r="FF54" s="18">
        <f>FE54*VLOOKUP('Données projet'!$B$16,Paramètres!$A$1:$I$89,3,0)*VLOOKUP('Données projet'!$B$16,Paramètres!$A$1:$I$89,5,0)</f>
        <v>144.84287999999998</v>
      </c>
      <c r="FG54" s="14">
        <f t="shared" si="47"/>
        <v>37.40423595784457</v>
      </c>
      <c r="FH54" s="22">
        <f t="shared" si="22"/>
        <v>317.41372695991259</v>
      </c>
      <c r="FI54" s="60">
        <f t="shared" si="23"/>
        <v>573.19760736315948</v>
      </c>
      <c r="FJ54" s="60">
        <f ca="1">AVERAGE(OFFSET($FI$3,0,0,'Données projet'!$E$16+1,1))-AVERAGE(OFFSET($H$3,0,0,'Données projet'!$E$16+1,1))</f>
        <v>296.01124173332352</v>
      </c>
      <c r="FK54" s="60">
        <f t="shared" si="48"/>
        <v>315.50730924873733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6.2</v>
      </c>
      <c r="FZ54" s="13">
        <f>IF('Données projet'!$A$244&gt;35,FZ53+FY54-GH53,IF(A54&lt;'Données projet'!$A$244,$FW$205^A54,IF(A54='Données projet'!$A$244,'Données projet'!$B$244,FZ53+FY54-GH53)))</f>
        <v>136.20000000000005</v>
      </c>
      <c r="GA54" s="18">
        <f>FZ54*VLOOKUP('Données projet'!$B$17,Paramètres!$A$1:$I$89,3,0)*VLOOKUP('Données projet'!$B$17,Paramètres!$A$1:$I$89,5,0)</f>
        <v>131.73264000000006</v>
      </c>
      <c r="GB54" s="14">
        <f t="shared" si="49"/>
        <v>34.396412537492502</v>
      </c>
      <c r="GC54" s="22">
        <f t="shared" si="25"/>
        <v>289.3414331694662</v>
      </c>
      <c r="GD54" s="60">
        <f t="shared" si="26"/>
        <v>545.12531357271303</v>
      </c>
      <c r="GE54" s="60">
        <f ca="1">AVERAGE(OFFSET($GD$3,0,0,'Données projet'!$E$17+1,1))-AVERAGE(OFFSET($H$3,0,0,'Données projet'!$E$17+1,1))</f>
        <v>391.18744390931187</v>
      </c>
      <c r="GF54" s="60">
        <f t="shared" si="50"/>
        <v>261.46982358454386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0.76210265093788365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0.76210265093788365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0">
        <f t="shared" si="0"/>
        <v>639.3541252187274</v>
      </c>
      <c r="S55" s="60">
        <f ca="1">AVERAGE(OFFSET($R$3,0,0,'Données projet'!$E$9+1,1))-AVERAGE(OFFSET($H$3,0,0,'Données projet'!$E$9+1,1))</f>
        <v>469.15492079216403</v>
      </c>
      <c r="T55" s="60">
        <f t="shared" si="34"/>
        <v>250.47702091764884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163.4256</v>
      </c>
      <c r="AK55" s="14">
        <f t="shared" si="35"/>
        <v>41.614213859377173</v>
      </c>
      <c r="AL55" s="22">
        <f t="shared" si="4"/>
        <v>357.11100913841528</v>
      </c>
      <c r="AM55" s="60">
        <f t="shared" si="5"/>
        <v>613.54628860199864</v>
      </c>
      <c r="AN55" s="60">
        <f ca="1">AVERAGE(OFFSET($AM$3,0,0,'Données projet'!$E$10+1,1))-AVERAGE(OFFSET($H$3,0,0,'Données projet'!$E$10+1,1))</f>
        <v>442.49274132121275</v>
      </c>
      <c r="AO55" s="60">
        <f t="shared" si="36"/>
        <v>237.37463556402756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174.20000000000007</v>
      </c>
      <c r="BE55" s="14">
        <f>BD55*VLOOKUP('Données projet'!$B$11,Paramètres!$A$1:$I$89,3,0)*VLOOKUP('Données projet'!$B$11,Paramètres!$A$1:$I$89,5,0)</f>
        <v>114.13584000000004</v>
      </c>
      <c r="BF55" s="14">
        <f t="shared" si="37"/>
        <v>30.303317693701107</v>
      </c>
      <c r="BG55" s="22">
        <f t="shared" si="7"/>
        <v>251.56486631652953</v>
      </c>
      <c r="BH55" s="60">
        <f t="shared" si="8"/>
        <v>508.00014578011292</v>
      </c>
      <c r="BI55" s="60">
        <f ca="1">AVERAGE(OFFSET($BH$3,0,0,'Données projet'!$E$11+1,1))-AVERAGE(OFFSET($H$3,0,0,'Données projet'!$E$11+1,1))</f>
        <v>267.90768140488603</v>
      </c>
      <c r="BJ55" s="60">
        <f t="shared" si="38"/>
        <v>280.25465074992258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5.4</v>
      </c>
      <c r="BY55" s="13">
        <f>IF('Données projet'!$A$114&gt;35,BY54+BX55-CG54,IF(A55&lt;'Données projet'!$A$114,$BV$205^A55,IF(A55='Données projet'!$A$114,'Données projet'!$B$114,BY54+BX55-CG54)))</f>
        <v>167.80000000000004</v>
      </c>
      <c r="BZ55" s="14">
        <f>BY55*VLOOKUP('Données projet'!$B$12,Paramètres!$A$1:$I$89,3,0)*VLOOKUP('Données projet'!$B$12,Paramètres!$A$1:$I$89,5,0)</f>
        <v>136.11936000000006</v>
      </c>
      <c r="CA55" s="14">
        <f t="shared" si="39"/>
        <v>35.406556182020879</v>
      </c>
      <c r="CB55" s="22">
        <f t="shared" si="10"/>
        <v>298.74097068368638</v>
      </c>
      <c r="CC55" s="60">
        <f t="shared" si="11"/>
        <v>555.17625014726968</v>
      </c>
      <c r="CD55" s="60">
        <f ca="1">AVERAGE(OFFSET($CC$3,0,0,'Données projet'!$E$12+1,1))-AVERAGE(OFFSET($H$3,0,0,'Données projet'!$E$12+1,1))</f>
        <v>308.6594206517259</v>
      </c>
      <c r="CE55" s="60">
        <f t="shared" si="40"/>
        <v>258.90832875500325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5.2564102564102599</v>
      </c>
      <c r="CT55" s="13">
        <f>IF('Données projet'!$A$140&gt;35,CT54+CS55-DB54,IF(A55&lt;'Données projet'!$A$140,$CQ$205^A55,IF(A55='Données projet'!$A$140,'Données projet'!$B$140,CT54+CS55-DB54)))</f>
        <v>159.87179487179483</v>
      </c>
      <c r="CU55" s="18">
        <f>CT55*VLOOKUP('Données projet'!$B$13,Paramètres!$A$1:$I$89,3,0)*VLOOKUP('Données projet'!$B$13,Paramètres!$A$1:$I$89,5,0)</f>
        <v>152.13399999999999</v>
      </c>
      <c r="CV55" s="14">
        <f t="shared" si="41"/>
        <v>39.063145346110034</v>
      </c>
      <c r="CW55" s="22">
        <f t="shared" si="13"/>
        <v>333.00169481114159</v>
      </c>
      <c r="CX55" s="60">
        <f t="shared" si="14"/>
        <v>589.43697427472489</v>
      </c>
      <c r="CY55" s="60">
        <f ca="1">AVERAGE(OFFSET($CX$3,0,0,'Données projet'!$E$13+1,1))-AVERAGE(OFFSET($H$3,0,0,'Données projet'!$E$13+1,1))</f>
        <v>397.63792993520934</v>
      </c>
      <c r="CZ55" s="60">
        <f t="shared" si="42"/>
        <v>300.63705521148802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5.7692307692307683</v>
      </c>
      <c r="DO55" s="13">
        <f>IF('Données projet'!$A$166&gt;35,DO54+DN55-DW54,IF(A55&lt;'Données projet'!$A$166,$DL$205^A55,IF(A55='Données projet'!$A$166,'Données projet'!$B$166,DO54+DN55-DW54)))</f>
        <v>200.64102564102558</v>
      </c>
      <c r="DP55" s="18">
        <f>DO55*VLOOKUP('Données projet'!$B$14,Paramètres!$A$1:$I$89,3,0)*VLOOKUP('Données projet'!$B$14,Paramètres!$A$1:$I$89,5,0)</f>
        <v>134.58999999999995</v>
      </c>
      <c r="DQ55" s="14">
        <f t="shared" si="43"/>
        <v>35.054822215165878</v>
      </c>
      <c r="DR55" s="22">
        <f t="shared" si="16"/>
        <v>295.46473202474709</v>
      </c>
      <c r="DS55" s="60">
        <f t="shared" si="17"/>
        <v>551.90001148833039</v>
      </c>
      <c r="DT55" s="60">
        <f ca="1">AVERAGE(OFFSET($DS$3,0,0,'Données projet'!$E$14+1,1))-AVERAGE(OFFSET($H$3,0,0,'Données projet'!$E$14+1,1))</f>
        <v>343.94240546037798</v>
      </c>
      <c r="DU55" s="60">
        <f t="shared" si="44"/>
        <v>277.30931495079346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0.69541148241530815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0.69541148241530815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8.1999999999999993</v>
      </c>
      <c r="EJ55" s="13">
        <f>IF('Données projet'!$A$192&gt;35,EJ54+EI55-ER54,IF(A55&lt;'Données projet'!$A$192,$EG$205^A55,IF(A55='Données projet'!$A$192,'Données projet'!$B$192,EJ54+EI55-ER54)))</f>
        <v>239.39999999999998</v>
      </c>
      <c r="EK55" s="18">
        <f>EJ55*VLOOKUP('Données projet'!$B$15,Paramètres!$A$1:$I$89,3,0)*VLOOKUP('Données projet'!$B$15,Paramètres!$A$1:$I$89,5,0)</f>
        <v>186.732</v>
      </c>
      <c r="EL55" s="14">
        <f t="shared" si="45"/>
        <v>46.81671651923142</v>
      </c>
      <c r="EM55" s="22">
        <f t="shared" si="19"/>
        <v>406.764014604328</v>
      </c>
      <c r="EN55" s="60">
        <f t="shared" si="20"/>
        <v>663.1992940679113</v>
      </c>
      <c r="EO55" s="60">
        <f ca="1">AVERAGE(OFFSET($EN$3,0,0,'Données projet'!$E$15+1,1))-AVERAGE(OFFSET($H$3,0,0,'Données projet'!$E$15+1,1))</f>
        <v>308.76306523144956</v>
      </c>
      <c r="EP55" s="60">
        <f t="shared" si="46"/>
        <v>283.28099819802776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4.8</v>
      </c>
      <c r="FE55" s="13">
        <f>IF('Données projet'!$A$218&gt;35,FE54+FD55-FM54,IF(A55&lt;'Données projet'!$A$218,$FB$205^A55,IF(A55='Données projet'!$A$218,'Données projet'!$B$218,FE54+FD55-FM54)))</f>
        <v>170.59999999999997</v>
      </c>
      <c r="FF55" s="18">
        <f>FE55*VLOOKUP('Données projet'!$B$16,Paramètres!$A$1:$I$89,3,0)*VLOOKUP('Données projet'!$B$16,Paramètres!$A$1:$I$89,5,0)</f>
        <v>149.03616</v>
      </c>
      <c r="FG55" s="14">
        <f t="shared" si="47"/>
        <v>38.35946741279561</v>
      </c>
      <c r="FH55" s="22">
        <f t="shared" si="22"/>
        <v>326.38071774395229</v>
      </c>
      <c r="FI55" s="60">
        <f t="shared" si="23"/>
        <v>582.8159972075357</v>
      </c>
      <c r="FJ55" s="60">
        <f ca="1">AVERAGE(OFFSET($FI$3,0,0,'Données projet'!$E$16+1,1))-AVERAGE(OFFSET($H$3,0,0,'Données projet'!$E$16+1,1))</f>
        <v>296.01124173332352</v>
      </c>
      <c r="FK55" s="60">
        <f t="shared" si="48"/>
        <v>315.50730924873733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6.2</v>
      </c>
      <c r="FZ55" s="13">
        <f>IF('Données projet'!$A$244&gt;35,FZ54+FY55-GH54,IF(A55&lt;'Données projet'!$A$244,$FW$205^A55,IF(A55='Données projet'!$A$244,'Données projet'!$B$244,FZ54+FY55-GH54)))</f>
        <v>142.40000000000003</v>
      </c>
      <c r="GA55" s="18">
        <f>FZ55*VLOOKUP('Données projet'!$B$17,Paramètres!$A$1:$I$89,3,0)*VLOOKUP('Données projet'!$B$17,Paramètres!$A$1:$I$89,5,0)</f>
        <v>137.72928000000005</v>
      </c>
      <c r="GB55" s="14">
        <f t="shared" si="49"/>
        <v>35.776321395769124</v>
      </c>
      <c r="GC55" s="22">
        <f t="shared" si="25"/>
        <v>302.18892243096462</v>
      </c>
      <c r="GD55" s="60">
        <f t="shared" si="26"/>
        <v>558.62420189454792</v>
      </c>
      <c r="GE55" s="60">
        <f ca="1">AVERAGE(OFFSET($GD$3,0,0,'Données projet'!$E$17+1,1))-AVERAGE(OFFSET($H$3,0,0,'Données projet'!$E$17+1,1))</f>
        <v>391.18744390931187</v>
      </c>
      <c r="GF55" s="60">
        <f t="shared" si="50"/>
        <v>261.46982358454386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0.74126291387075061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0.74126291387075061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0">
        <f t="shared" si="0"/>
        <v>655.40747235510764</v>
      </c>
      <c r="S56" s="60">
        <f ca="1">AVERAGE(OFFSET($R$3,0,0,'Données projet'!$E$9+1,1))-AVERAGE(OFFSET($H$3,0,0,'Données projet'!$E$9+1,1))</f>
        <v>469.15492079216403</v>
      </c>
      <c r="T56" s="60">
        <f t="shared" si="34"/>
        <v>250.47702091764884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170.16480000000001</v>
      </c>
      <c r="AK56" s="14">
        <f t="shared" si="35"/>
        <v>43.126931221446739</v>
      </c>
      <c r="AL56" s="22">
        <f t="shared" si="4"/>
        <v>371.4830985440197</v>
      </c>
      <c r="AM56" s="60">
        <f t="shared" si="5"/>
        <v>628.55847675055293</v>
      </c>
      <c r="AN56" s="60">
        <f ca="1">AVERAGE(OFFSET($AM$3,0,0,'Données projet'!$E$10+1,1))-AVERAGE(OFFSET($H$3,0,0,'Données projet'!$E$10+1,1))</f>
        <v>442.49274132121275</v>
      </c>
      <c r="AO56" s="60">
        <f t="shared" si="36"/>
        <v>237.37463556402756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179.80000000000007</v>
      </c>
      <c r="BE56" s="14">
        <f>BD56*VLOOKUP('Données projet'!$B$11,Paramètres!$A$1:$I$89,3,0)*VLOOKUP('Données projet'!$B$11,Paramètres!$A$1:$I$89,5,0)</f>
        <v>117.80496000000004</v>
      </c>
      <c r="BF56" s="14">
        <f t="shared" si="37"/>
        <v>31.162493487829593</v>
      </c>
      <c r="BG56" s="22">
        <f t="shared" si="7"/>
        <v>259.45164815796994</v>
      </c>
      <c r="BH56" s="60">
        <f t="shared" si="8"/>
        <v>516.52702636450317</v>
      </c>
      <c r="BI56" s="60">
        <f ca="1">AVERAGE(OFFSET($BH$3,0,0,'Données projet'!$E$11+1,1))-AVERAGE(OFFSET($H$3,0,0,'Données projet'!$E$11+1,1))</f>
        <v>267.90768140488603</v>
      </c>
      <c r="BJ56" s="60">
        <f t="shared" si="38"/>
        <v>280.25465074992258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5.4</v>
      </c>
      <c r="BY56" s="13">
        <f>IF('Données projet'!$A$114&gt;35,BY55+BX56-CG55,IF(A56&lt;'Données projet'!$A$114,$BV$205^A56,IF(A56='Données projet'!$A$114,'Données projet'!$B$114,BY55+BX56-CG55)))</f>
        <v>173.20000000000005</v>
      </c>
      <c r="BZ56" s="14">
        <f>BY56*VLOOKUP('Données projet'!$B$12,Paramètres!$A$1:$I$89,3,0)*VLOOKUP('Données projet'!$B$12,Paramètres!$A$1:$I$89,5,0)</f>
        <v>140.49984000000003</v>
      </c>
      <c r="CA56" s="14">
        <f t="shared" si="39"/>
        <v>36.411488058235591</v>
      </c>
      <c r="CB56" s="22">
        <f t="shared" si="10"/>
        <v>308.12056303476032</v>
      </c>
      <c r="CC56" s="60">
        <f t="shared" si="11"/>
        <v>565.19594124129355</v>
      </c>
      <c r="CD56" s="60">
        <f ca="1">AVERAGE(OFFSET($CC$3,0,0,'Données projet'!$E$12+1,1))-AVERAGE(OFFSET($H$3,0,0,'Données projet'!$E$12+1,1))</f>
        <v>308.6594206517259</v>
      </c>
      <c r="CE56" s="60">
        <f t="shared" si="40"/>
        <v>258.90832875500325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5.2564102564102599</v>
      </c>
      <c r="CT56" s="13">
        <f>IF('Données projet'!$A$140&gt;35,CT55+CS56-DB55,IF(A56&lt;'Données projet'!$A$140,$CQ$205^A56,IF(A56='Données projet'!$A$140,'Données projet'!$B$140,CT55+CS56-DB55)))</f>
        <v>165.12820512820508</v>
      </c>
      <c r="CU56" s="18">
        <f>CT56*VLOOKUP('Données projet'!$B$13,Paramètres!$A$1:$I$89,3,0)*VLOOKUP('Données projet'!$B$13,Paramètres!$A$1:$I$89,5,0)</f>
        <v>157.13599999999997</v>
      </c>
      <c r="CV56" s="14">
        <f t="shared" si="41"/>
        <v>40.195854714214285</v>
      </c>
      <c r="CW56" s="22">
        <f t="shared" si="13"/>
        <v>343.68631362725642</v>
      </c>
      <c r="CX56" s="60">
        <f t="shared" si="14"/>
        <v>600.76169183378965</v>
      </c>
      <c r="CY56" s="60">
        <f ca="1">AVERAGE(OFFSET($CX$3,0,0,'Données projet'!$E$13+1,1))-AVERAGE(OFFSET($H$3,0,0,'Données projet'!$E$13+1,1))</f>
        <v>397.63792993520934</v>
      </c>
      <c r="CZ56" s="60">
        <f t="shared" si="42"/>
        <v>300.63705521148802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5.7692307692307683</v>
      </c>
      <c r="DO56" s="13">
        <f>IF('Données projet'!$A$166&gt;35,DO55+DN56-DW55,IF(A56&lt;'Données projet'!$A$166,$DL$205^A56,IF(A56='Données projet'!$A$166,'Données projet'!$B$166,DO55+DN56-DW55)))</f>
        <v>206.41025641025635</v>
      </c>
      <c r="DP56" s="18">
        <f>DO56*VLOOKUP('Données projet'!$B$14,Paramètres!$A$1:$I$89,3,0)*VLOOKUP('Données projet'!$B$14,Paramètres!$A$1:$I$89,5,0)</f>
        <v>138.45999999999998</v>
      </c>
      <c r="DQ56" s="14">
        <f t="shared" si="43"/>
        <v>35.943986332761526</v>
      </c>
      <c r="DR56" s="22">
        <f t="shared" si="16"/>
        <v>303.75360952955964</v>
      </c>
      <c r="DS56" s="60">
        <f t="shared" si="17"/>
        <v>560.82898773609281</v>
      </c>
      <c r="DT56" s="60">
        <f ca="1">AVERAGE(OFFSET($DS$3,0,0,'Données projet'!$E$14+1,1))-AVERAGE(OFFSET($H$3,0,0,'Données projet'!$E$14+1,1))</f>
        <v>343.94240546037798</v>
      </c>
      <c r="DU56" s="60">
        <f t="shared" si="44"/>
        <v>277.30931495079346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0.67639541885856103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0.67639541885856103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8.1999999999999993</v>
      </c>
      <c r="EJ56" s="13">
        <f>IF('Données projet'!$A$192&gt;35,EJ55+EI56-ER55,IF(A56&lt;'Données projet'!$A$192,$EG$205^A56,IF(A56='Données projet'!$A$192,'Données projet'!$B$192,EJ55+EI56-ER55)))</f>
        <v>247.59999999999997</v>
      </c>
      <c r="EK56" s="18">
        <f>EJ56*VLOOKUP('Données projet'!$B$15,Paramètres!$A$1:$I$89,3,0)*VLOOKUP('Données projet'!$B$15,Paramètres!$A$1:$I$89,5,0)</f>
        <v>193.12799999999999</v>
      </c>
      <c r="EL56" s="14">
        <f t="shared" si="45"/>
        <v>48.230850644982517</v>
      </c>
      <c r="EM56" s="22">
        <f t="shared" si="19"/>
        <v>420.36666487334452</v>
      </c>
      <c r="EN56" s="60">
        <f t="shared" si="20"/>
        <v>677.44204307987775</v>
      </c>
      <c r="EO56" s="60">
        <f ca="1">AVERAGE(OFFSET($EN$3,0,0,'Données projet'!$E$15+1,1))-AVERAGE(OFFSET($H$3,0,0,'Données projet'!$E$15+1,1))</f>
        <v>308.76306523144956</v>
      </c>
      <c r="EP56" s="60">
        <f t="shared" si="46"/>
        <v>283.28099819802776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4.8</v>
      </c>
      <c r="FE56" s="13">
        <f>IF('Données projet'!$A$218&gt;35,FE55+FD56-FM55,IF(A56&lt;'Données projet'!$A$218,$FB$205^A56,IF(A56='Données projet'!$A$218,'Données projet'!$B$218,FE55+FD56-FM55)))</f>
        <v>175.39999999999998</v>
      </c>
      <c r="FF56" s="18">
        <f>FE56*VLOOKUP('Données projet'!$B$16,Paramètres!$A$1:$I$89,3,0)*VLOOKUP('Données projet'!$B$16,Paramètres!$A$1:$I$89,5,0)</f>
        <v>153.22943999999998</v>
      </c>
      <c r="FG56" s="14">
        <f t="shared" si="47"/>
        <v>39.311575138468363</v>
      </c>
      <c r="FH56" s="22">
        <f t="shared" si="22"/>
        <v>335.34226803283235</v>
      </c>
      <c r="FI56" s="60">
        <f t="shared" si="23"/>
        <v>592.41764623936558</v>
      </c>
      <c r="FJ56" s="60">
        <f ca="1">AVERAGE(OFFSET($FI$3,0,0,'Données projet'!$E$16+1,1))-AVERAGE(OFFSET($H$3,0,0,'Données projet'!$E$16+1,1))</f>
        <v>296.01124173332352</v>
      </c>
      <c r="FK56" s="60">
        <f t="shared" si="48"/>
        <v>315.50730924873733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6.2</v>
      </c>
      <c r="FZ56" s="13">
        <f>IF('Données projet'!$A$244&gt;35,FZ55+FY56-GH55,IF(A56&lt;'Données projet'!$A$244,$FW$205^A56,IF(A56='Données projet'!$A$244,'Données projet'!$B$244,FZ55+FY56-GH55)))</f>
        <v>148.60000000000002</v>
      </c>
      <c r="GA56" s="18">
        <f>FZ56*VLOOKUP('Données projet'!$B$17,Paramètres!$A$1:$I$89,3,0)*VLOOKUP('Données projet'!$B$17,Paramètres!$A$1:$I$89,5,0)</f>
        <v>143.72592000000003</v>
      </c>
      <c r="GB56" s="14">
        <f t="shared" si="49"/>
        <v>37.149252269988018</v>
      </c>
      <c r="GC56" s="22">
        <f t="shared" si="25"/>
        <v>315.02425837022912</v>
      </c>
      <c r="GD56" s="60">
        <f t="shared" si="26"/>
        <v>572.09963657676235</v>
      </c>
      <c r="GE56" s="60">
        <f ca="1">AVERAGE(OFFSET($GD$3,0,0,'Données projet'!$E$17+1,1))-AVERAGE(OFFSET($H$3,0,0,'Données projet'!$E$17+1,1))</f>
        <v>391.18744390931187</v>
      </c>
      <c r="GF56" s="60">
        <f t="shared" si="50"/>
        <v>261.46982358454386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0.72099304050963242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0.72099304050963242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0">
        <f t="shared" si="0"/>
        <v>671.43680433785107</v>
      </c>
      <c r="S57" s="60">
        <f ca="1">AVERAGE(OFFSET($R$3,0,0,'Données projet'!$E$9+1,1))-AVERAGE(OFFSET($H$3,0,0,'Données projet'!$E$9+1,1))</f>
        <v>469.15492079216403</v>
      </c>
      <c r="T57" s="60">
        <f t="shared" si="34"/>
        <v>250.47702091764884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176.90400000000002</v>
      </c>
      <c r="AK57" s="14">
        <f t="shared" si="35"/>
        <v>44.632689233663157</v>
      </c>
      <c r="AL57" s="22">
        <f t="shared" si="4"/>
        <v>385.8430670819634</v>
      </c>
      <c r="AM57" s="60">
        <f t="shared" si="5"/>
        <v>643.54743974930273</v>
      </c>
      <c r="AN57" s="60">
        <f ca="1">AVERAGE(OFFSET($AM$3,0,0,'Données projet'!$E$10+1,1))-AVERAGE(OFFSET($H$3,0,0,'Données projet'!$E$10+1,1))</f>
        <v>442.49274132121275</v>
      </c>
      <c r="AO57" s="60">
        <f t="shared" si="36"/>
        <v>237.37463556402756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185.40000000000006</v>
      </c>
      <c r="BE57" s="14">
        <f>BD57*VLOOKUP('Données projet'!$B$11,Paramètres!$A$1:$I$89,3,0)*VLOOKUP('Données projet'!$B$11,Paramètres!$A$1:$I$89,5,0)</f>
        <v>121.47408000000004</v>
      </c>
      <c r="BF57" s="14">
        <f t="shared" si="37"/>
        <v>32.018559567275666</v>
      </c>
      <c r="BG57" s="22">
        <f t="shared" si="7"/>
        <v>267.33301391300517</v>
      </c>
      <c r="BH57" s="60">
        <f t="shared" si="8"/>
        <v>525.03738658034445</v>
      </c>
      <c r="BI57" s="60">
        <f ca="1">AVERAGE(OFFSET($BH$3,0,0,'Données projet'!$E$11+1,1))-AVERAGE(OFFSET($H$3,0,0,'Données projet'!$E$11+1,1))</f>
        <v>267.90768140488603</v>
      </c>
      <c r="BJ57" s="60">
        <f t="shared" si="38"/>
        <v>280.25465074992258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5.4</v>
      </c>
      <c r="BY57" s="13">
        <f>IF('Données projet'!$A$114&gt;35,BY56+BX57-CG56,IF(A57&lt;'Données projet'!$A$114,$BV$205^A57,IF(A57='Données projet'!$A$114,'Données projet'!$B$114,BY56+BX57-CG56)))</f>
        <v>178.60000000000005</v>
      </c>
      <c r="BZ57" s="14">
        <f>BY57*VLOOKUP('Données projet'!$B$12,Paramètres!$A$1:$I$89,3,0)*VLOOKUP('Données projet'!$B$12,Paramètres!$A$1:$I$89,5,0)</f>
        <v>144.88032000000004</v>
      </c>
      <c r="CA57" s="14">
        <f t="shared" si="39"/>
        <v>37.412778923310412</v>
      </c>
      <c r="CB57" s="22">
        <f t="shared" si="10"/>
        <v>317.493813958099</v>
      </c>
      <c r="CC57" s="60">
        <f t="shared" si="11"/>
        <v>575.19818662543832</v>
      </c>
      <c r="CD57" s="60">
        <f ca="1">AVERAGE(OFFSET($CC$3,0,0,'Données projet'!$E$12+1,1))-AVERAGE(OFFSET($H$3,0,0,'Données projet'!$E$12+1,1))</f>
        <v>308.6594206517259</v>
      </c>
      <c r="CE57" s="60">
        <f t="shared" si="40"/>
        <v>258.90832875500325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5.2564102564102599</v>
      </c>
      <c r="CT57" s="13">
        <f>IF('Données projet'!$A$140&gt;35,CT56+CS57-DB56,IF(A57&lt;'Données projet'!$A$140,$CQ$205^A57,IF(A57='Données projet'!$A$140,'Données projet'!$B$140,CT56+CS57-DB56)))</f>
        <v>170.38461538461533</v>
      </c>
      <c r="CU57" s="18">
        <f>CT57*VLOOKUP('Données projet'!$B$13,Paramètres!$A$1:$I$89,3,0)*VLOOKUP('Données projet'!$B$13,Paramètres!$A$1:$I$89,5,0)</f>
        <v>162.13799999999995</v>
      </c>
      <c r="CV57" s="14">
        <f t="shared" si="41"/>
        <v>41.324374095861224</v>
      </c>
      <c r="CW57" s="22">
        <f t="shared" si="13"/>
        <v>354.36363488362485</v>
      </c>
      <c r="CX57" s="60">
        <f t="shared" si="14"/>
        <v>612.06800755096424</v>
      </c>
      <c r="CY57" s="60">
        <f ca="1">AVERAGE(OFFSET($CX$3,0,0,'Données projet'!$E$13+1,1))-AVERAGE(OFFSET($H$3,0,0,'Données projet'!$E$13+1,1))</f>
        <v>397.63792993520934</v>
      </c>
      <c r="CZ57" s="60">
        <f t="shared" si="42"/>
        <v>300.63705521148802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5.7692307692307683</v>
      </c>
      <c r="DO57" s="13">
        <f>IF('Données projet'!$A$166&gt;35,DO56+DN57-DW56,IF(A57&lt;'Données projet'!$A$166,$DL$205^A57,IF(A57='Données projet'!$A$166,'Données projet'!$B$166,DO56+DN57-DW56)))</f>
        <v>212.17948717948713</v>
      </c>
      <c r="DP57" s="18">
        <f>DO57*VLOOKUP('Données projet'!$B$14,Paramètres!$A$1:$I$89,3,0)*VLOOKUP('Données projet'!$B$14,Paramètres!$A$1:$I$89,5,0)</f>
        <v>142.32999999999996</v>
      </c>
      <c r="DQ57" s="14">
        <f t="shared" si="43"/>
        <v>36.830261932722308</v>
      </c>
      <c r="DR57" s="22">
        <f t="shared" si="16"/>
        <v>312.03745619949132</v>
      </c>
      <c r="DS57" s="60">
        <f t="shared" si="17"/>
        <v>569.7418288668307</v>
      </c>
      <c r="DT57" s="60">
        <f ca="1">AVERAGE(OFFSET($DS$3,0,0,'Données projet'!$E$14+1,1))-AVERAGE(OFFSET($H$3,0,0,'Données projet'!$E$14+1,1))</f>
        <v>343.94240546037798</v>
      </c>
      <c r="DU57" s="60">
        <f t="shared" si="44"/>
        <v>277.30931495079346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0.65789935055978455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0.65789935055978455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8.1999999999999993</v>
      </c>
      <c r="EJ57" s="13">
        <f>IF('Données projet'!$A$192&gt;35,EJ56+EI57-ER56,IF(A57&lt;'Données projet'!$A$192,$EG$205^A57,IF(A57='Données projet'!$A$192,'Données projet'!$B$192,EJ56+EI57-ER56)))</f>
        <v>255.79999999999995</v>
      </c>
      <c r="EK57" s="18">
        <f>EJ57*VLOOKUP('Données projet'!$B$15,Paramètres!$A$1:$I$89,3,0)*VLOOKUP('Données projet'!$B$15,Paramètres!$A$1:$I$89,5,0)</f>
        <v>199.52399999999997</v>
      </c>
      <c r="EL57" s="14">
        <f t="shared" si="45"/>
        <v>49.639542829407041</v>
      </c>
      <c r="EM57" s="22">
        <f t="shared" si="19"/>
        <v>433.95983709455049</v>
      </c>
      <c r="EN57" s="60">
        <f t="shared" si="20"/>
        <v>691.66420976188988</v>
      </c>
      <c r="EO57" s="60">
        <f ca="1">AVERAGE(OFFSET($EN$3,0,0,'Données projet'!$E$15+1,1))-AVERAGE(OFFSET($H$3,0,0,'Données projet'!$E$15+1,1))</f>
        <v>308.76306523144956</v>
      </c>
      <c r="EP57" s="60">
        <f t="shared" si="46"/>
        <v>283.28099819802776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4.8</v>
      </c>
      <c r="FE57" s="13">
        <f>IF('Données projet'!$A$218&gt;35,FE56+FD57-FM56,IF(A57&lt;'Données projet'!$A$218,$FB$205^A57,IF(A57='Données projet'!$A$218,'Données projet'!$B$218,FE56+FD57-FM56)))</f>
        <v>180.2</v>
      </c>
      <c r="FF57" s="18">
        <f>FE57*VLOOKUP('Données projet'!$B$16,Paramètres!$A$1:$I$89,3,0)*VLOOKUP('Données projet'!$B$16,Paramètres!$A$1:$I$89,5,0)</f>
        <v>157.42272000000003</v>
      </c>
      <c r="FG57" s="14">
        <f t="shared" si="47"/>
        <v>40.260654441499831</v>
      </c>
      <c r="FH57" s="22">
        <f t="shared" si="22"/>
        <v>344.29854381894557</v>
      </c>
      <c r="FI57" s="60">
        <f t="shared" si="23"/>
        <v>602.0029164862849</v>
      </c>
      <c r="FJ57" s="60">
        <f ca="1">AVERAGE(OFFSET($FI$3,0,0,'Données projet'!$E$16+1,1))-AVERAGE(OFFSET($H$3,0,0,'Données projet'!$E$16+1,1))</f>
        <v>296.01124173332352</v>
      </c>
      <c r="FK57" s="60">
        <f t="shared" si="48"/>
        <v>315.50730924873733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6.2</v>
      </c>
      <c r="FZ57" s="13">
        <f>IF('Données projet'!$A$244&gt;35,FZ56+FY57-GH56,IF(A57&lt;'Données projet'!$A$244,$FW$205^A57,IF(A57='Données projet'!$A$244,'Données projet'!$B$244,FZ56+FY57-GH56)))</f>
        <v>154.80000000000001</v>
      </c>
      <c r="GA57" s="18">
        <f>FZ57*VLOOKUP('Données projet'!$B$17,Paramètres!$A$1:$I$89,3,0)*VLOOKUP('Données projet'!$B$17,Paramètres!$A$1:$I$89,5,0)</f>
        <v>149.72256000000002</v>
      </c>
      <c r="GB57" s="14">
        <f t="shared" si="49"/>
        <v>38.515529593578506</v>
      </c>
      <c r="GC57" s="22">
        <f t="shared" si="25"/>
        <v>327.84800604214928</v>
      </c>
      <c r="GD57" s="60">
        <f t="shared" si="26"/>
        <v>585.55237870948861</v>
      </c>
      <c r="GE57" s="60">
        <f ca="1">AVERAGE(OFFSET($GD$3,0,0,'Données projet'!$E$17+1,1))-AVERAGE(OFFSET($H$3,0,0,'Données projet'!$E$17+1,1))</f>
        <v>391.18744390931187</v>
      </c>
      <c r="GF57" s="60">
        <f t="shared" si="50"/>
        <v>261.46982358454386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0.70127744790152036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0.70127744790152036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0">
        <f t="shared" si="0"/>
        <v>687.44286194895199</v>
      </c>
      <c r="S58" s="60">
        <f ca="1">AVERAGE(OFFSET($R$3,0,0,'Données projet'!$E$9+1,1))-AVERAGE(OFFSET($H$3,0,0,'Données projet'!$E$9+1,1))</f>
        <v>469.15492079216403</v>
      </c>
      <c r="T58" s="60">
        <f t="shared" si="34"/>
        <v>250.47702091764884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183.64320000000004</v>
      </c>
      <c r="AK58" s="14">
        <f t="shared" si="35"/>
        <v>46.131783364105026</v>
      </c>
      <c r="AL58" s="22">
        <f t="shared" si="4"/>
        <v>400.19142935914965</v>
      </c>
      <c r="AM58" s="60">
        <f t="shared" si="5"/>
        <v>658.51388483962103</v>
      </c>
      <c r="AN58" s="60">
        <f ca="1">AVERAGE(OFFSET($AM$3,0,0,'Données projet'!$E$10+1,1))-AVERAGE(OFFSET($H$3,0,0,'Données projet'!$E$10+1,1))</f>
        <v>442.49274132121275</v>
      </c>
      <c r="AO58" s="60">
        <f t="shared" si="36"/>
        <v>237.37463556402756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191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191.00000000000006</v>
      </c>
      <c r="BE58" s="14">
        <f>BD58*VLOOKUP('Données projet'!$B$11,Paramètres!$A$1:$I$89,3,0)*VLOOKUP('Données projet'!$B$11,Paramètres!$A$1:$I$89,5,0)</f>
        <v>125.14320000000005</v>
      </c>
      <c r="BF58" s="14">
        <f t="shared" si="37"/>
        <v>32.871620642334356</v>
      </c>
      <c r="BG58" s="22">
        <f t="shared" si="7"/>
        <v>275.20914595206574</v>
      </c>
      <c r="BH58" s="60">
        <f t="shared" si="8"/>
        <v>533.53160143253717</v>
      </c>
      <c r="BI58" s="60">
        <f ca="1">AVERAGE(OFFSET($BH$3,0,0,'Données projet'!$E$11+1,1))-AVERAGE(OFFSET($H$3,0,0,'Données projet'!$E$11+1,1))</f>
        <v>267.90768140488603</v>
      </c>
      <c r="BJ58" s="60">
        <f t="shared" si="38"/>
        <v>280.25465074992258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184</v>
      </c>
      <c r="BW58" s="13">
        <f>VLOOKUP(A58,'Données projet'!$A$113:$I$133,9,0)</f>
        <v>5.4</v>
      </c>
      <c r="BX58" s="13">
        <f t="array" ref="BX58">INDEX(BW:BW,MIN(IF(ISNUMBER(BW58:BW254),ROW(BW58:BW254),"")))</f>
        <v>5.4</v>
      </c>
      <c r="BY58" s="13">
        <f>IF('Données projet'!$A$114&gt;35,BY57+BX58-CG57,IF(A58&lt;'Données projet'!$A$114,$BV$205^A58,IF(A58='Données projet'!$A$114,'Données projet'!$B$114,BY57+BX58-CG57)))</f>
        <v>184.00000000000006</v>
      </c>
      <c r="BZ58" s="14">
        <f>BY58*VLOOKUP('Données projet'!$B$12,Paramètres!$A$1:$I$89,3,0)*VLOOKUP('Données projet'!$B$12,Paramètres!$A$1:$I$89,5,0)</f>
        <v>149.26080000000005</v>
      </c>
      <c r="CA58" s="14">
        <f t="shared" si="39"/>
        <v>38.410551499792909</v>
      </c>
      <c r="CB58" s="22">
        <f t="shared" si="10"/>
        <v>326.86093719547273</v>
      </c>
      <c r="CC58" s="60">
        <f t="shared" si="11"/>
        <v>585.18339267594411</v>
      </c>
      <c r="CD58" s="60">
        <f ca="1">AVERAGE(OFFSET($CC$3,0,0,'Données projet'!$E$12+1,1))-AVERAGE(OFFSET($H$3,0,0,'Données projet'!$E$12+1,1))</f>
        <v>308.6594206517259</v>
      </c>
      <c r="CE58" s="60">
        <f t="shared" si="40"/>
        <v>258.90832875500325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175.64102564102564</v>
      </c>
      <c r="CR58" s="13">
        <f>VLOOKUP(A58,'Données projet'!$A$139:$I$159,9,0)</f>
        <v>5.2564102564102599</v>
      </c>
      <c r="CS58" s="13">
        <f t="array" ref="CS58">INDEX(CR:CR,MIN(IF(ISNUMBER(CR58:CR254),ROW(CR58:CR254),"")))</f>
        <v>5.2564102564102599</v>
      </c>
      <c r="CT58" s="13">
        <f>IF('Données projet'!$A$140&gt;35,CT57+CS58-DB57,IF(A58&lt;'Données projet'!$A$140,$CQ$205^A58,IF(A58='Données projet'!$A$140,'Données projet'!$B$140,CT57+CS58-DB57)))</f>
        <v>175.64102564102558</v>
      </c>
      <c r="CU58" s="18">
        <f>CT58*VLOOKUP('Données projet'!$B$13,Paramètres!$A$1:$I$89,3,0)*VLOOKUP('Données projet'!$B$13,Paramètres!$A$1:$I$89,5,0)</f>
        <v>167.13999999999996</v>
      </c>
      <c r="CV58" s="14">
        <f t="shared" si="41"/>
        <v>42.448847586931429</v>
      </c>
      <c r="CW58" s="22">
        <f t="shared" si="13"/>
        <v>365.03390954723881</v>
      </c>
      <c r="CX58" s="60">
        <f t="shared" si="14"/>
        <v>623.35636502771013</v>
      </c>
      <c r="CY58" s="60">
        <f ca="1">AVERAGE(OFFSET($CX$3,0,0,'Données projet'!$E$13+1,1))-AVERAGE(OFFSET($H$3,0,0,'Données projet'!$E$13+1,1))</f>
        <v>397.63792993520934</v>
      </c>
      <c r="CZ58" s="60">
        <f t="shared" si="42"/>
        <v>300.63705521148802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217.94871794871793</v>
      </c>
      <c r="DM58" s="13">
        <f>VLOOKUP(A58,'Données projet'!$A$165:$I$185,9,0)</f>
        <v>5.7692307692307683</v>
      </c>
      <c r="DN58" s="13">
        <f t="array" ref="DN58">INDEX(DM:DM,MIN(IF(ISNUMBER(DM58:DM254),ROW(DM58:DM254),"")))</f>
        <v>5.7692307692307683</v>
      </c>
      <c r="DO58" s="13">
        <f>IF('Données projet'!$A$166&gt;35,DO57+DN58-DW57,IF(A58&lt;'Données projet'!$A$166,$DL$205^A58,IF(A58='Données projet'!$A$166,'Données projet'!$B$166,DO57+DN58-DW57)))</f>
        <v>217.9487179487179</v>
      </c>
      <c r="DP58" s="18">
        <f>DO58*VLOOKUP('Données projet'!$B$14,Paramètres!$A$1:$I$89,3,0)*VLOOKUP('Données projet'!$B$14,Paramètres!$A$1:$I$89,5,0)</f>
        <v>146.19999999999999</v>
      </c>
      <c r="DQ58" s="14">
        <f t="shared" si="43"/>
        <v>37.713736580072478</v>
      </c>
      <c r="DR58" s="22">
        <f t="shared" si="16"/>
        <v>320.31642454362617</v>
      </c>
      <c r="DS58" s="60">
        <f t="shared" si="17"/>
        <v>578.63888002409749</v>
      </c>
      <c r="DT58" s="60">
        <f ca="1">AVERAGE(OFFSET($DS$3,0,0,'Données projet'!$E$14+1,1))-AVERAGE(OFFSET($H$3,0,0,'Données projet'!$E$14+1,1))</f>
        <v>343.94240546037798</v>
      </c>
      <c r="DU58" s="60">
        <f t="shared" si="44"/>
        <v>277.30931495079346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0.63990905822130406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0.63990905822130406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264</v>
      </c>
      <c r="EH58" s="13">
        <f>VLOOKUP(A58,'Données projet'!$A$191:$I$211,9,0)</f>
        <v>8.1999999999999993</v>
      </c>
      <c r="EI58" s="13">
        <f t="array" ref="EI58">INDEX(EH:EH,MIN(IF(ISNUMBER(EH58:EH254),ROW(EH58:EH254),"")))</f>
        <v>8.1999999999999993</v>
      </c>
      <c r="EJ58" s="13">
        <f>IF('Données projet'!$A$192&gt;35,EJ57+EI58-ER57,IF(A58&lt;'Données projet'!$A$192,$EG$205^A58,IF(A58='Données projet'!$A$192,'Données projet'!$B$192,EJ57+EI58-ER57)))</f>
        <v>263.99999999999994</v>
      </c>
      <c r="EK58" s="18">
        <f>EJ58*VLOOKUP('Données projet'!$B$15,Paramètres!$A$1:$I$89,3,0)*VLOOKUP('Données projet'!$B$15,Paramètres!$A$1:$I$89,5,0)</f>
        <v>205.91999999999996</v>
      </c>
      <c r="EL58" s="14">
        <f t="shared" si="45"/>
        <v>51.042987531485686</v>
      </c>
      <c r="EM58" s="22">
        <f t="shared" si="19"/>
        <v>447.5438699506708</v>
      </c>
      <c r="EN58" s="60">
        <f t="shared" si="20"/>
        <v>705.86632543114217</v>
      </c>
      <c r="EO58" s="60">
        <f ca="1">AVERAGE(OFFSET($EN$3,0,0,'Données projet'!$E$15+1,1))-AVERAGE(OFFSET($H$3,0,0,'Données projet'!$E$15+1,1))</f>
        <v>308.76306523144956</v>
      </c>
      <c r="EP58" s="60">
        <f t="shared" si="46"/>
        <v>283.28099819802776</v>
      </c>
      <c r="EQ58" s="16">
        <f>IF(ISNA(VLOOKUP(A58,'Données projet'!$A$191:$I$211,3,0)),0,VLOOKUP(A58,'Données projet'!$A$191:$I$211,3,0))</f>
        <v>7</v>
      </c>
      <c r="ER58" s="16">
        <f>IF(ISNA(VLOOKUP(A58,'Données projet'!$A$191:$I$211,4,0)),0,VLOOKUP(A58,'Données projet'!$A$191:$I$211,4,0))</f>
        <v>30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185</v>
      </c>
      <c r="FC58" s="13">
        <f>VLOOKUP(A58,'Données projet'!$A$217:$I$237,9,0)</f>
        <v>4.8</v>
      </c>
      <c r="FD58" s="13">
        <f t="array" ref="FD58">INDEX(FC:FC,MIN(IF(ISNUMBER(FC58:FC254),ROW(FC58:FC254),"")))</f>
        <v>4.8</v>
      </c>
      <c r="FE58" s="13">
        <f>IF('Données projet'!$A$218&gt;35,FE57+FD58-FM57,IF(A58&lt;'Données projet'!$A$218,$FB$205^A58,IF(A58='Données projet'!$A$218,'Données projet'!$B$218,FE57+FD58-FM57)))</f>
        <v>185</v>
      </c>
      <c r="FF58" s="18">
        <f>FE58*VLOOKUP('Données projet'!$B$16,Paramètres!$A$1:$I$89,3,0)*VLOOKUP('Données projet'!$B$16,Paramètres!$A$1:$I$89,5,0)</f>
        <v>161.61600000000001</v>
      </c>
      <c r="FG58" s="14">
        <f t="shared" si="47"/>
        <v>41.20679526204917</v>
      </c>
      <c r="FH58" s="22">
        <f t="shared" si="22"/>
        <v>353.24970174806896</v>
      </c>
      <c r="FI58" s="60">
        <f t="shared" si="23"/>
        <v>611.57215722854039</v>
      </c>
      <c r="FJ58" s="60">
        <f ca="1">AVERAGE(OFFSET($FI$3,0,0,'Données projet'!$E$16+1,1))-AVERAGE(OFFSET($H$3,0,0,'Données projet'!$E$16+1,1))</f>
        <v>296.01124173332352</v>
      </c>
      <c r="FK58" s="60">
        <f t="shared" si="48"/>
        <v>315.50730924873733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161</v>
      </c>
      <c r="FX58" s="13">
        <f>VLOOKUP(A58,'Données projet'!$A$243:$I$263,9,0)</f>
        <v>6.2</v>
      </c>
      <c r="FY58" s="13">
        <f t="array" ref="FY58">INDEX(FX:FX,MIN(IF(ISNUMBER(FX58:FX254),ROW(FX58:FX254),"")))</f>
        <v>6.2</v>
      </c>
      <c r="FZ58" s="13">
        <f>IF('Données projet'!$A$244&gt;35,FZ57+FY58-GH57,IF(A58&lt;'Données projet'!$A$244,$FW$205^A58,IF(A58='Données projet'!$A$244,'Données projet'!$B$244,FZ57+FY58-GH57)))</f>
        <v>161</v>
      </c>
      <c r="GA58" s="18">
        <f>FZ58*VLOOKUP('Données projet'!$B$17,Paramètres!$A$1:$I$89,3,0)*VLOOKUP('Données projet'!$B$17,Paramètres!$A$1:$I$89,5,0)</f>
        <v>155.7192</v>
      </c>
      <c r="GB58" s="14">
        <f t="shared" si="49"/>
        <v>39.875450340770094</v>
      </c>
      <c r="GC58" s="22">
        <f t="shared" si="25"/>
        <v>340.66068267684119</v>
      </c>
      <c r="GD58" s="60">
        <f t="shared" si="26"/>
        <v>598.98313815731262</v>
      </c>
      <c r="GE58" s="60">
        <f ca="1">AVERAGE(OFFSET($GD$3,0,0,'Données projet'!$E$17+1,1))-AVERAGE(OFFSET($H$3,0,0,'Données projet'!$E$17+1,1))</f>
        <v>391.18744390931187</v>
      </c>
      <c r="GF58" s="60">
        <f t="shared" si="50"/>
        <v>261.46982358454386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0.68210097921007506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0.68210097921007506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183.4</v>
      </c>
      <c r="O59" s="14">
        <f>N59*VLOOKUP('Données projet'!$B$9,Paramètres!$A$1:$I$89,3,0)*VLOOKUP('Données projet'!$B$9,Paramètres!$A$1:$I$89,5,0)</f>
        <v>165.94032000000001</v>
      </c>
      <c r="P59" s="14">
        <f t="shared" si="33"/>
        <v>42.179515247227535</v>
      </c>
      <c r="Q59" s="22">
        <f t="shared" si="53"/>
        <v>362.47537972225456</v>
      </c>
      <c r="R59" s="60">
        <f t="shared" si="0"/>
        <v>621.4051956608763</v>
      </c>
      <c r="S59" s="60">
        <f ca="1">AVERAGE(OFFSET($R$3,0,0,'Données projet'!$E$9+1,1))-AVERAGE(OFFSET($H$3,0,0,'Données projet'!$E$9+1,1))</f>
        <v>469.15492079216403</v>
      </c>
      <c r="T59" s="60">
        <f t="shared" si="34"/>
        <v>250.47702091764884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183.4</v>
      </c>
      <c r="AJ59" s="14">
        <f>AI59*VLOOKUP('Données projet'!$B$10,Paramètres!$A$1:$I$89,3,0)*VLOOKUP('Données projet'!$B$10,Paramètres!$A$1:$I$89,5,0)</f>
        <v>154.49616000000003</v>
      </c>
      <c r="AK59" s="14">
        <f t="shared" si="35"/>
        <v>39.598591202405352</v>
      </c>
      <c r="AL59" s="22">
        <f t="shared" si="4"/>
        <v>338.04835834418935</v>
      </c>
      <c r="AM59" s="60">
        <f t="shared" si="5"/>
        <v>596.9781742828111</v>
      </c>
      <c r="AN59" s="60">
        <f ca="1">AVERAGE(OFFSET($AM$3,0,0,'Données projet'!$E$10+1,1))-AVERAGE(OFFSET($H$3,0,0,'Données projet'!$E$10+1,1))</f>
        <v>442.49274132121275</v>
      </c>
      <c r="AO59" s="60">
        <f t="shared" si="36"/>
        <v>237.37463556402756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196.00000000000006</v>
      </c>
      <c r="BE59" s="14">
        <f>BD59*VLOOKUP('Données projet'!$B$11,Paramètres!$A$1:$I$89,3,0)*VLOOKUP('Données projet'!$B$11,Paramètres!$A$1:$I$89,5,0)</f>
        <v>128.41920000000005</v>
      </c>
      <c r="BF59" s="14">
        <f t="shared" si="37"/>
        <v>33.630823177860762</v>
      </c>
      <c r="BG59" s="22">
        <f t="shared" si="7"/>
        <v>282.23712370144091</v>
      </c>
      <c r="BH59" s="60">
        <f t="shared" si="8"/>
        <v>541.16693964006265</v>
      </c>
      <c r="BI59" s="60">
        <f ca="1">AVERAGE(OFFSET($BH$3,0,0,'Données projet'!$E$11+1,1))-AVERAGE(OFFSET($H$3,0,0,'Données projet'!$E$11+1,1))</f>
        <v>267.90768140488603</v>
      </c>
      <c r="BJ59" s="60">
        <f t="shared" si="38"/>
        <v>280.25465074992258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189.40000000000006</v>
      </c>
      <c r="BZ59" s="14">
        <f>BY59*VLOOKUP('Données projet'!$B$12,Paramètres!$A$1:$I$89,3,0)*VLOOKUP('Données projet'!$B$12,Paramètres!$A$1:$I$89,5,0)</f>
        <v>153.64128000000008</v>
      </c>
      <c r="CA59" s="14">
        <f t="shared" si="39"/>
        <v>39.40492089741533</v>
      </c>
      <c r="CB59" s="22">
        <f t="shared" si="10"/>
        <v>336.22213322966519</v>
      </c>
      <c r="CC59" s="60">
        <f t="shared" si="11"/>
        <v>595.15194916828693</v>
      </c>
      <c r="CD59" s="60">
        <f ca="1">AVERAGE(OFFSET($CC$3,0,0,'Données projet'!$E$12+1,1))-AVERAGE(OFFSET($H$3,0,0,'Données projet'!$E$12+1,1))</f>
        <v>308.6594206517259</v>
      </c>
      <c r="CE59" s="60">
        <f t="shared" si="40"/>
        <v>258.90832875500325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4.8717948717948731</v>
      </c>
      <c r="CT59" s="13">
        <f>IF('Données projet'!$A$140&gt;35,CT58+CS59-DB58,IF(A59&lt;'Données projet'!$A$140,$CQ$205^A59,IF(A59='Données projet'!$A$140,'Données projet'!$B$140,CT58+CS59-DB58)))</f>
        <v>180.51282051282044</v>
      </c>
      <c r="CU59" s="18">
        <f>CT59*VLOOKUP('Données projet'!$B$13,Paramètres!$A$1:$I$89,3,0)*VLOOKUP('Données projet'!$B$13,Paramètres!$A$1:$I$89,5,0)</f>
        <v>171.77599999999993</v>
      </c>
      <c r="CV59" s="14">
        <f t="shared" si="41"/>
        <v>43.48754759203468</v>
      </c>
      <c r="CW59" s="22">
        <f t="shared" si="13"/>
        <v>374.91734538946025</v>
      </c>
      <c r="CX59" s="60">
        <f t="shared" si="14"/>
        <v>633.84716132808194</v>
      </c>
      <c r="CY59" s="60">
        <f ca="1">AVERAGE(OFFSET($CX$3,0,0,'Données projet'!$E$13+1,1))-AVERAGE(OFFSET($H$3,0,0,'Données projet'!$E$13+1,1))</f>
        <v>397.63792993520934</v>
      </c>
      <c r="CZ59" s="60">
        <f t="shared" si="42"/>
        <v>300.63705521148802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5.3846153846153868</v>
      </c>
      <c r="DO59" s="13">
        <f>IF('Données projet'!$A$166&gt;35,DO58+DN59-DW58,IF(A59&lt;'Données projet'!$A$166,$DL$205^A59,IF(A59='Données projet'!$A$166,'Données projet'!$B$166,DO58+DN59-DW58)))</f>
        <v>223.33333333333329</v>
      </c>
      <c r="DP59" s="18">
        <f>DO59*VLOOKUP('Données projet'!$B$14,Paramètres!$A$1:$I$89,3,0)*VLOOKUP('Données projet'!$B$14,Paramètres!$A$1:$I$89,5,0)</f>
        <v>149.81199999999998</v>
      </c>
      <c r="DQ59" s="14">
        <f t="shared" si="43"/>
        <v>38.535858828351053</v>
      </c>
      <c r="DR59" s="22">
        <f t="shared" si="16"/>
        <v>328.03918745937807</v>
      </c>
      <c r="DS59" s="60">
        <f t="shared" si="17"/>
        <v>586.96900339799981</v>
      </c>
      <c r="DT59" s="60">
        <f ca="1">AVERAGE(OFFSET($DS$3,0,0,'Données projet'!$E$14+1,1))-AVERAGE(OFFSET($H$3,0,0,'Données projet'!$E$14+1,1))</f>
        <v>343.94240546037798</v>
      </c>
      <c r="DU59" s="60">
        <f t="shared" si="44"/>
        <v>277.30931495079346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0.62241071137288762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0.62241071137288762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7.4</v>
      </c>
      <c r="EJ59" s="13">
        <f>IF('Données projet'!$A$192&gt;35,EJ58+EI59-ER58,IF(A59&lt;'Données projet'!$A$192,$EG$205^A59,IF(A59='Données projet'!$A$192,'Données projet'!$B$192,EJ58+EI59-ER58)))</f>
        <v>241.39999999999992</v>
      </c>
      <c r="EK59" s="18">
        <f>EJ59*VLOOKUP('Données projet'!$B$15,Paramètres!$A$1:$I$89,3,0)*VLOOKUP('Données projet'!$B$15,Paramètres!$A$1:$I$89,5,0)</f>
        <v>188.29199999999994</v>
      </c>
      <c r="EL59" s="14">
        <f t="shared" si="45"/>
        <v>47.162140074549235</v>
      </c>
      <c r="EM59" s="22">
        <f t="shared" si="19"/>
        <v>410.08262729650642</v>
      </c>
      <c r="EN59" s="60">
        <f t="shared" si="20"/>
        <v>669.0124432351281</v>
      </c>
      <c r="EO59" s="60">
        <f ca="1">AVERAGE(OFFSET($EN$3,0,0,'Données projet'!$E$15+1,1))-AVERAGE(OFFSET($H$3,0,0,'Données projet'!$E$15+1,1))</f>
        <v>308.76306523144956</v>
      </c>
      <c r="EP59" s="60">
        <f t="shared" si="46"/>
        <v>283.28099819802776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4.2</v>
      </c>
      <c r="FE59" s="13">
        <f>IF('Données projet'!$A$218&gt;35,FE58+FD59-FM58,IF(A59&lt;'Données projet'!$A$218,$FB$205^A59,IF(A59='Données projet'!$A$218,'Données projet'!$B$218,FE58+FD59-FM58)))</f>
        <v>189.2</v>
      </c>
      <c r="FF59" s="18">
        <f>FE59*VLOOKUP('Données projet'!$B$16,Paramètres!$A$1:$I$89,3,0)*VLOOKUP('Données projet'!$B$16,Paramètres!$A$1:$I$89,5,0)</f>
        <v>165.28512000000001</v>
      </c>
      <c r="FG59" s="14">
        <f t="shared" si="47"/>
        <v>42.032324946671778</v>
      </c>
      <c r="FH59" s="22">
        <f t="shared" si="22"/>
        <v>361.07788328212001</v>
      </c>
      <c r="FI59" s="60">
        <f t="shared" si="23"/>
        <v>620.00769922074176</v>
      </c>
      <c r="FJ59" s="60">
        <f ca="1">AVERAGE(OFFSET($FI$3,0,0,'Données projet'!$E$16+1,1))-AVERAGE(OFFSET($H$3,0,0,'Données projet'!$E$16+1,1))</f>
        <v>296.01124173332352</v>
      </c>
      <c r="FK59" s="60">
        <f t="shared" si="48"/>
        <v>315.50730924873733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</v>
      </c>
      <c r="FZ59" s="13">
        <f>IF('Données projet'!$A$244&gt;35,FZ58+FY59-GH58,IF(A59&lt;'Données projet'!$A$244,$FW$205^A59,IF(A59='Données projet'!$A$244,'Données projet'!$B$244,FZ58+FY59-GH58)))</f>
        <v>167</v>
      </c>
      <c r="GA59" s="18">
        <f>FZ59*VLOOKUP('Données projet'!$B$17,Paramètres!$A$1:$I$89,3,0)*VLOOKUP('Données projet'!$B$17,Paramètres!$A$1:$I$89,5,0)</f>
        <v>161.5224</v>
      </c>
      <c r="GB59" s="14">
        <f t="shared" si="49"/>
        <v>41.185707490721896</v>
      </c>
      <c r="GC59" s="22">
        <f t="shared" si="25"/>
        <v>353.04995387967392</v>
      </c>
      <c r="GD59" s="60">
        <f t="shared" si="26"/>
        <v>611.97976981829561</v>
      </c>
      <c r="GE59" s="60">
        <f ca="1">AVERAGE(OFFSET($GD$3,0,0,'Données projet'!$E$17+1,1))-AVERAGE(OFFSET($H$3,0,0,'Données projet'!$E$17+1,1))</f>
        <v>391.18744390931187</v>
      </c>
      <c r="GF59" s="60">
        <f t="shared" si="50"/>
        <v>261.46982358454386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0.66344889206344404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0.66344889206344404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190.8</v>
      </c>
      <c r="O60" s="14">
        <f>N60*VLOOKUP('Données projet'!$B$9,Paramètres!$A$1:$I$89,3,0)*VLOOKUP('Données projet'!$B$9,Paramètres!$A$1:$I$89,5,0)</f>
        <v>172.63584</v>
      </c>
      <c r="P60" s="14">
        <f t="shared" si="33"/>
        <v>43.679834395222109</v>
      </c>
      <c r="Q60" s="22">
        <f t="shared" si="53"/>
        <v>376.74979957167847</v>
      </c>
      <c r="R60" s="60">
        <f t="shared" si="0"/>
        <v>636.27643962235618</v>
      </c>
      <c r="S60" s="60">
        <f ca="1">AVERAGE(OFFSET($R$3,0,0,'Données projet'!$E$9+1,1))-AVERAGE(OFFSET($H$3,0,0,'Données projet'!$E$9+1,1))</f>
        <v>469.15492079216403</v>
      </c>
      <c r="T60" s="60">
        <f t="shared" si="34"/>
        <v>250.47702091764884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190.8</v>
      </c>
      <c r="AJ60" s="14">
        <f>AI60*VLOOKUP('Données projet'!$B$10,Paramètres!$A$1:$I$89,3,0)*VLOOKUP('Données projet'!$B$10,Paramètres!$A$1:$I$89,5,0)</f>
        <v>160.72992000000002</v>
      </c>
      <c r="AK60" s="14">
        <f t="shared" si="35"/>
        <v>41.007107262069759</v>
      </c>
      <c r="AL60" s="22">
        <f t="shared" si="4"/>
        <v>351.35865581477151</v>
      </c>
      <c r="AM60" s="60">
        <f t="shared" si="5"/>
        <v>610.88529586544928</v>
      </c>
      <c r="AN60" s="60">
        <f ca="1">AVERAGE(OFFSET($AM$3,0,0,'Données projet'!$E$10+1,1))-AVERAGE(OFFSET($H$3,0,0,'Données projet'!$E$10+1,1))</f>
        <v>442.49274132121275</v>
      </c>
      <c r="AO60" s="60">
        <f t="shared" si="36"/>
        <v>237.37463556402756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201.00000000000006</v>
      </c>
      <c r="BE60" s="14">
        <f>BD60*VLOOKUP('Données projet'!$B$11,Paramètres!$A$1:$I$89,3,0)*VLOOKUP('Données projet'!$B$11,Paramètres!$A$1:$I$89,5,0)</f>
        <v>131.69520000000003</v>
      </c>
      <c r="BF60" s="14">
        <f t="shared" si="37"/>
        <v>34.387774432362271</v>
      </c>
      <c r="BG60" s="22">
        <f t="shared" si="7"/>
        <v>289.26118046969765</v>
      </c>
      <c r="BH60" s="60">
        <f t="shared" si="8"/>
        <v>548.78782052037536</v>
      </c>
      <c r="BI60" s="60">
        <f ca="1">AVERAGE(OFFSET($BH$3,0,0,'Données projet'!$E$11+1,1))-AVERAGE(OFFSET($H$3,0,0,'Données projet'!$E$11+1,1))</f>
        <v>267.90768140488603</v>
      </c>
      <c r="BJ60" s="60">
        <f t="shared" si="38"/>
        <v>280.25465074992258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194.80000000000007</v>
      </c>
      <c r="BZ60" s="14">
        <f>BY60*VLOOKUP('Données projet'!$B$12,Paramètres!$A$1:$I$89,3,0)*VLOOKUP('Données projet'!$B$12,Paramètres!$A$1:$I$89,5,0)</f>
        <v>158.02176000000006</v>
      </c>
      <c r="CA60" s="14">
        <f t="shared" si="39"/>
        <v>40.39599528875813</v>
      </c>
      <c r="CB60" s="22">
        <f t="shared" si="10"/>
        <v>345.57759046125392</v>
      </c>
      <c r="CC60" s="60">
        <f t="shared" si="11"/>
        <v>605.10423051193163</v>
      </c>
      <c r="CD60" s="60">
        <f ca="1">AVERAGE(OFFSET($CC$3,0,0,'Données projet'!$E$12+1,1))-AVERAGE(OFFSET($H$3,0,0,'Données projet'!$E$12+1,1))</f>
        <v>308.6594206517259</v>
      </c>
      <c r="CE60" s="60">
        <f t="shared" si="40"/>
        <v>258.90832875500325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4.8717948717948731</v>
      </c>
      <c r="CT60" s="13">
        <f>IF('Données projet'!$A$140&gt;35,CT59+CS60-DB59,IF(A60&lt;'Données projet'!$A$140,$CQ$205^A60,IF(A60='Données projet'!$A$140,'Données projet'!$B$140,CT59+CS60-DB59)))</f>
        <v>185.3846153846153</v>
      </c>
      <c r="CU60" s="18">
        <f>CT60*VLOOKUP('Données projet'!$B$13,Paramètres!$A$1:$I$89,3,0)*VLOOKUP('Données projet'!$B$13,Paramètres!$A$1:$I$89,5,0)</f>
        <v>176.41199999999992</v>
      </c>
      <c r="CV60" s="14">
        <f t="shared" si="41"/>
        <v>44.522989246723967</v>
      </c>
      <c r="CW60" s="22">
        <f t="shared" si="13"/>
        <v>384.79510627137739</v>
      </c>
      <c r="CX60" s="60">
        <f t="shared" si="14"/>
        <v>644.32174632205511</v>
      </c>
      <c r="CY60" s="60">
        <f ca="1">AVERAGE(OFFSET($CX$3,0,0,'Données projet'!$E$13+1,1))-AVERAGE(OFFSET($H$3,0,0,'Données projet'!$E$13+1,1))</f>
        <v>397.63792993520934</v>
      </c>
      <c r="CZ60" s="60">
        <f t="shared" si="42"/>
        <v>300.63705521148802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5.3846153846153868</v>
      </c>
      <c r="DO60" s="13">
        <f>IF('Données projet'!$A$166&gt;35,DO59+DN60-DW59,IF(A60&lt;'Données projet'!$A$166,$DL$205^A60,IF(A60='Données projet'!$A$166,'Données projet'!$B$166,DO59+DN60-DW59)))</f>
        <v>228.71794871794867</v>
      </c>
      <c r="DP60" s="18">
        <f>DO60*VLOOKUP('Données projet'!$B$14,Paramètres!$A$1:$I$89,3,0)*VLOOKUP('Données projet'!$B$14,Paramètres!$A$1:$I$89,5,0)</f>
        <v>153.42399999999998</v>
      </c>
      <c r="DQ60" s="14">
        <f t="shared" si="43"/>
        <v>39.355676847161391</v>
      </c>
      <c r="DR60" s="22">
        <f t="shared" si="16"/>
        <v>335.7579371754727</v>
      </c>
      <c r="DS60" s="60">
        <f t="shared" si="17"/>
        <v>595.28457722615042</v>
      </c>
      <c r="DT60" s="60">
        <f ca="1">AVERAGE(OFFSET($DS$3,0,0,'Données projet'!$E$14+1,1))-AVERAGE(OFFSET($H$3,0,0,'Données projet'!$E$14+1,1))</f>
        <v>343.94240546037798</v>
      </c>
      <c r="DU60" s="60">
        <f t="shared" si="44"/>
        <v>277.30931495079346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0.60539085773923929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0.60539085773923929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7.4</v>
      </c>
      <c r="EJ60" s="13">
        <f>IF('Données projet'!$A$192&gt;35,EJ59+EI60-ER59,IF(A60&lt;'Données projet'!$A$192,$EG$205^A60,IF(A60='Données projet'!$A$192,'Données projet'!$B$192,EJ59+EI60-ER59)))</f>
        <v>248.79999999999993</v>
      </c>
      <c r="EK60" s="18">
        <f>EJ60*VLOOKUP('Données projet'!$B$15,Paramètres!$A$1:$I$89,3,0)*VLOOKUP('Données projet'!$B$15,Paramètres!$A$1:$I$89,5,0)</f>
        <v>194.06399999999994</v>
      </c>
      <c r="EL60" s="14">
        <f t="shared" si="45"/>
        <v>48.437335849011056</v>
      </c>
      <c r="EM60" s="22">
        <f t="shared" si="19"/>
        <v>422.35649327036077</v>
      </c>
      <c r="EN60" s="60">
        <f t="shared" si="20"/>
        <v>681.88313332103849</v>
      </c>
      <c r="EO60" s="60">
        <f ca="1">AVERAGE(OFFSET($EN$3,0,0,'Données projet'!$E$15+1,1))-AVERAGE(OFFSET($H$3,0,0,'Données projet'!$E$15+1,1))</f>
        <v>308.76306523144956</v>
      </c>
      <c r="EP60" s="60">
        <f t="shared" si="46"/>
        <v>283.28099819802776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4.2</v>
      </c>
      <c r="FE60" s="13">
        <f>IF('Données projet'!$A$218&gt;35,FE59+FD60-FM59,IF(A60&lt;'Données projet'!$A$218,$FB$205^A60,IF(A60='Données projet'!$A$218,'Données projet'!$B$218,FE59+FD60-FM59)))</f>
        <v>193.39999999999998</v>
      </c>
      <c r="FF60" s="18">
        <f>FE60*VLOOKUP('Données projet'!$B$16,Paramètres!$A$1:$I$89,3,0)*VLOOKUP('Données projet'!$B$16,Paramètres!$A$1:$I$89,5,0)</f>
        <v>168.95424</v>
      </c>
      <c r="FG60" s="14">
        <f t="shared" si="47"/>
        <v>42.855724087026708</v>
      </c>
      <c r="FH60" s="22">
        <f t="shared" si="22"/>
        <v>368.90235411823818</v>
      </c>
      <c r="FI60" s="60">
        <f t="shared" si="23"/>
        <v>628.42899416891589</v>
      </c>
      <c r="FJ60" s="60">
        <f ca="1">AVERAGE(OFFSET($FI$3,0,0,'Données projet'!$E$16+1,1))-AVERAGE(OFFSET($H$3,0,0,'Données projet'!$E$16+1,1))</f>
        <v>296.01124173332352</v>
      </c>
      <c r="FK60" s="60">
        <f t="shared" si="48"/>
        <v>315.50730924873733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</v>
      </c>
      <c r="FZ60" s="13">
        <f>IF('Données projet'!$A$244&gt;35,FZ59+FY60-GH59,IF(A60&lt;'Données projet'!$A$244,$FW$205^A60,IF(A60='Données projet'!$A$244,'Données projet'!$B$244,FZ59+FY60-GH59)))</f>
        <v>173</v>
      </c>
      <c r="GA60" s="18">
        <f>FZ60*VLOOKUP('Données projet'!$B$17,Paramètres!$A$1:$I$89,3,0)*VLOOKUP('Données projet'!$B$17,Paramètres!$A$1:$I$89,5,0)</f>
        <v>167.32560000000001</v>
      </c>
      <c r="GB60" s="14">
        <f t="shared" si="49"/>
        <v>42.490495297127609</v>
      </c>
      <c r="GC60" s="22">
        <f t="shared" si="25"/>
        <v>365.42969930916388</v>
      </c>
      <c r="GD60" s="60">
        <f t="shared" si="26"/>
        <v>624.95633935984165</v>
      </c>
      <c r="GE60" s="60">
        <f ca="1">AVERAGE(OFFSET($GD$3,0,0,'Données projet'!$E$17+1,1))-AVERAGE(OFFSET($H$3,0,0,'Données projet'!$E$17+1,1))</f>
        <v>391.18744390931187</v>
      </c>
      <c r="GF60" s="60">
        <f t="shared" si="50"/>
        <v>261.46982358454386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0.6453068472207083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0.6453068472207083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198.20000000000002</v>
      </c>
      <c r="O61" s="14">
        <f>N61*VLOOKUP('Données projet'!$B$9,Paramètres!$A$1:$I$89,3,0)*VLOOKUP('Données projet'!$B$9,Paramètres!$A$1:$I$89,5,0)</f>
        <v>179.33136000000002</v>
      </c>
      <c r="P61" s="14">
        <f t="shared" si="33"/>
        <v>45.173393880002273</v>
      </c>
      <c r="Q61" s="22">
        <f t="shared" si="53"/>
        <v>391.01244634100391</v>
      </c>
      <c r="R61" s="60">
        <f t="shared" si="0"/>
        <v>651.12555693969239</v>
      </c>
      <c r="S61" s="60">
        <f ca="1">AVERAGE(OFFSET($R$3,0,0,'Données projet'!$E$9+1,1))-AVERAGE(OFFSET($H$3,0,0,'Données projet'!$E$9+1,1))</f>
        <v>469.15492079216403</v>
      </c>
      <c r="T61" s="60">
        <f t="shared" si="34"/>
        <v>250.47702091764884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198.20000000000002</v>
      </c>
      <c r="AJ61" s="14">
        <f>AI61*VLOOKUP('Données projet'!$B$10,Paramètres!$A$1:$I$89,3,0)*VLOOKUP('Données projet'!$B$10,Paramètres!$A$1:$I$89,5,0)</f>
        <v>166.96368000000004</v>
      </c>
      <c r="AK61" s="14">
        <f t="shared" si="35"/>
        <v>42.409277275822404</v>
      </c>
      <c r="AL61" s="22">
        <f t="shared" si="4"/>
        <v>364.65790058872409</v>
      </c>
      <c r="AM61" s="60">
        <f t="shared" si="5"/>
        <v>624.77101118741257</v>
      </c>
      <c r="AN61" s="60">
        <f ca="1">AVERAGE(OFFSET($AM$3,0,0,'Données projet'!$E$10+1,1))-AVERAGE(OFFSET($H$3,0,0,'Données projet'!$E$10+1,1))</f>
        <v>442.49274132121275</v>
      </c>
      <c r="AO61" s="60">
        <f t="shared" si="36"/>
        <v>237.37463556402756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206.00000000000006</v>
      </c>
      <c r="BE61" s="14">
        <f>BD61*VLOOKUP('Données projet'!$B$11,Paramètres!$A$1:$I$89,3,0)*VLOOKUP('Données projet'!$B$11,Paramètres!$A$1:$I$89,5,0)</f>
        <v>134.97120000000004</v>
      </c>
      <c r="BF61" s="14">
        <f t="shared" si="37"/>
        <v>35.142536849088657</v>
      </c>
      <c r="BG61" s="22">
        <f t="shared" si="7"/>
        <v>296.2814250121628</v>
      </c>
      <c r="BH61" s="60">
        <f t="shared" si="8"/>
        <v>556.39453561085122</v>
      </c>
      <c r="BI61" s="60">
        <f ca="1">AVERAGE(OFFSET($BH$3,0,0,'Données projet'!$E$11+1,1))-AVERAGE(OFFSET($H$3,0,0,'Données projet'!$E$11+1,1))</f>
        <v>267.90768140488603</v>
      </c>
      <c r="BJ61" s="60">
        <f t="shared" si="38"/>
        <v>280.25465074992258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200.20000000000007</v>
      </c>
      <c r="BZ61" s="14">
        <f>BY61*VLOOKUP('Données projet'!$B$12,Paramètres!$A$1:$I$89,3,0)*VLOOKUP('Données projet'!$B$12,Paramètres!$A$1:$I$89,5,0)</f>
        <v>162.40224000000006</v>
      </c>
      <c r="CA61" s="14">
        <f t="shared" si="39"/>
        <v>41.383876507887827</v>
      </c>
      <c r="CB61" s="22">
        <f t="shared" si="10"/>
        <v>354.92748625123812</v>
      </c>
      <c r="CC61" s="60">
        <f t="shared" si="11"/>
        <v>615.04059684992649</v>
      </c>
      <c r="CD61" s="60">
        <f ca="1">AVERAGE(OFFSET($CC$3,0,0,'Données projet'!$E$12+1,1))-AVERAGE(OFFSET($H$3,0,0,'Données projet'!$E$12+1,1))</f>
        <v>308.6594206517259</v>
      </c>
      <c r="CE61" s="60">
        <f t="shared" si="40"/>
        <v>258.90832875500325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4.8717948717948731</v>
      </c>
      <c r="CT61" s="13">
        <f>IF('Données projet'!$A$140&gt;35,CT60+CS61-DB60,IF(A61&lt;'Données projet'!$A$140,$CQ$205^A61,IF(A61='Données projet'!$A$140,'Données projet'!$B$140,CT60+CS61-DB60)))</f>
        <v>190.25641025641016</v>
      </c>
      <c r="CU61" s="18">
        <f>CT61*VLOOKUP('Données projet'!$B$13,Paramètres!$A$1:$I$89,3,0)*VLOOKUP('Données projet'!$B$13,Paramètres!$A$1:$I$89,5,0)</f>
        <v>181.04799999999992</v>
      </c>
      <c r="CV61" s="14">
        <f t="shared" si="41"/>
        <v>45.555268021687233</v>
      </c>
      <c r="CW61" s="22">
        <f t="shared" si="13"/>
        <v>394.66735847110505</v>
      </c>
      <c r="CX61" s="60">
        <f t="shared" si="14"/>
        <v>654.78046906979353</v>
      </c>
      <c r="CY61" s="60">
        <f ca="1">AVERAGE(OFFSET($CX$3,0,0,'Données projet'!$E$13+1,1))-AVERAGE(OFFSET($H$3,0,0,'Données projet'!$E$13+1,1))</f>
        <v>397.63792993520934</v>
      </c>
      <c r="CZ61" s="60">
        <f t="shared" si="42"/>
        <v>300.63705521148802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5.3846153846153868</v>
      </c>
      <c r="DO61" s="13">
        <f>IF('Données projet'!$A$166&gt;35,DO60+DN61-DW60,IF(A61&lt;'Données projet'!$A$166,$DL$205^A61,IF(A61='Données projet'!$A$166,'Données projet'!$B$166,DO60+DN61-DW60)))</f>
        <v>234.10256410256406</v>
      </c>
      <c r="DP61" s="18">
        <f>DO61*VLOOKUP('Données projet'!$B$14,Paramètres!$A$1:$I$89,3,0)*VLOOKUP('Données projet'!$B$14,Paramètres!$A$1:$I$89,5,0)</f>
        <v>157.03599999999997</v>
      </c>
      <c r="DQ61" s="14">
        <f t="shared" si="43"/>
        <v>40.173251126865004</v>
      </c>
      <c r="DR61" s="22">
        <f t="shared" si="16"/>
        <v>343.47277904595649</v>
      </c>
      <c r="DS61" s="60">
        <f t="shared" si="17"/>
        <v>603.58588964464491</v>
      </c>
      <c r="DT61" s="60">
        <f ca="1">AVERAGE(OFFSET($DS$3,0,0,'Données projet'!$E$14+1,1))-AVERAGE(OFFSET($H$3,0,0,'Données projet'!$E$14+1,1))</f>
        <v>343.94240546037798</v>
      </c>
      <c r="DU61" s="60">
        <f t="shared" si="44"/>
        <v>277.30931495079346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0.58883641289823818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0.58883641289823818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7.4</v>
      </c>
      <c r="EJ61" s="13">
        <f>IF('Données projet'!$A$192&gt;35,EJ60+EI61-ER60,IF(A61&lt;'Données projet'!$A$192,$EG$205^A61,IF(A61='Données projet'!$A$192,'Données projet'!$B$192,EJ60+EI61-ER60)))</f>
        <v>256.19999999999993</v>
      </c>
      <c r="EK61" s="18">
        <f>EJ61*VLOOKUP('Données projet'!$B$15,Paramètres!$A$1:$I$89,3,0)*VLOOKUP('Données projet'!$B$15,Paramètres!$A$1:$I$89,5,0)</f>
        <v>199.83599999999996</v>
      </c>
      <c r="EL61" s="14">
        <f t="shared" si="45"/>
        <v>49.708123768564604</v>
      </c>
      <c r="EM61" s="22">
        <f t="shared" si="19"/>
        <v>434.62268223024995</v>
      </c>
      <c r="EN61" s="60">
        <f t="shared" si="20"/>
        <v>694.73579282893843</v>
      </c>
      <c r="EO61" s="60">
        <f ca="1">AVERAGE(OFFSET($EN$3,0,0,'Données projet'!$E$15+1,1))-AVERAGE(OFFSET($H$3,0,0,'Données projet'!$E$15+1,1))</f>
        <v>308.76306523144956</v>
      </c>
      <c r="EP61" s="60">
        <f t="shared" si="46"/>
        <v>283.28099819802776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4.2</v>
      </c>
      <c r="FE61" s="13">
        <f>IF('Données projet'!$A$218&gt;35,FE60+FD61-FM60,IF(A61&lt;'Données projet'!$A$218,$FB$205^A61,IF(A61='Données projet'!$A$218,'Données projet'!$B$218,FE60+FD61-FM60)))</f>
        <v>197.59999999999997</v>
      </c>
      <c r="FF61" s="18">
        <f>FE61*VLOOKUP('Données projet'!$B$16,Paramètres!$A$1:$I$89,3,0)*VLOOKUP('Données projet'!$B$16,Paramètres!$A$1:$I$89,5,0)</f>
        <v>172.62335999999999</v>
      </c>
      <c r="FG61" s="14">
        <f t="shared" si="47"/>
        <v>43.67704427998607</v>
      </c>
      <c r="FH61" s="22">
        <f t="shared" si="22"/>
        <v>376.72320412097571</v>
      </c>
      <c r="FI61" s="60">
        <f t="shared" si="23"/>
        <v>636.83631471966419</v>
      </c>
      <c r="FJ61" s="60">
        <f ca="1">AVERAGE(OFFSET($FI$3,0,0,'Données projet'!$E$16+1,1))-AVERAGE(OFFSET($H$3,0,0,'Données projet'!$E$16+1,1))</f>
        <v>296.01124173332352</v>
      </c>
      <c r="FK61" s="60">
        <f t="shared" si="48"/>
        <v>315.50730924873733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</v>
      </c>
      <c r="FZ61" s="13">
        <f>IF('Données projet'!$A$244&gt;35,FZ60+FY61-GH60,IF(A61&lt;'Données projet'!$A$244,$FW$205^A61,IF(A61='Données projet'!$A$244,'Données projet'!$B$244,FZ60+FY61-GH60)))</f>
        <v>179</v>
      </c>
      <c r="GA61" s="18">
        <f>FZ61*VLOOKUP('Données projet'!$B$17,Paramètres!$A$1:$I$89,3,0)*VLOOKUP('Données projet'!$B$17,Paramètres!$A$1:$I$89,5,0)</f>
        <v>173.12880000000001</v>
      </c>
      <c r="GB61" s="14">
        <f t="shared" si="49"/>
        <v>43.790025187181634</v>
      </c>
      <c r="GC61" s="22">
        <f t="shared" si="25"/>
        <v>377.80028720100808</v>
      </c>
      <c r="GD61" s="60">
        <f t="shared" si="26"/>
        <v>637.91339779969644</v>
      </c>
      <c r="GE61" s="60">
        <f ca="1">AVERAGE(OFFSET($GD$3,0,0,'Données projet'!$E$17+1,1))-AVERAGE(OFFSET($H$3,0,0,'Données projet'!$E$17+1,1))</f>
        <v>391.18744390931187</v>
      </c>
      <c r="GF61" s="60">
        <f t="shared" si="50"/>
        <v>261.46982358454386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0.62766089754824583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0.62766089754824583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205.60000000000002</v>
      </c>
      <c r="O62" s="14">
        <f>N62*VLOOKUP('Données projet'!$B$9,Paramètres!$A$1:$I$89,3,0)*VLOOKUP('Données projet'!$B$9,Paramètres!$A$1:$I$89,5,0)</f>
        <v>186.02688000000001</v>
      </c>
      <c r="P62" s="14">
        <f t="shared" si="33"/>
        <v>46.660474979065647</v>
      </c>
      <c r="Q62" s="22">
        <f t="shared" si="53"/>
        <v>405.26380992187268</v>
      </c>
      <c r="R62" s="60">
        <f t="shared" si="0"/>
        <v>665.95321711571546</v>
      </c>
      <c r="S62" s="60">
        <f ca="1">AVERAGE(OFFSET($R$3,0,0,'Données projet'!$E$9+1,1))-AVERAGE(OFFSET($H$3,0,0,'Données projet'!$E$9+1,1))</f>
        <v>469.15492079216403</v>
      </c>
      <c r="T62" s="60">
        <f t="shared" si="34"/>
        <v>250.47702091764884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205.60000000000002</v>
      </c>
      <c r="AJ62" s="14">
        <f>AI62*VLOOKUP('Données projet'!$B$10,Paramètres!$A$1:$I$89,3,0)*VLOOKUP('Données projet'!$B$10,Paramètres!$A$1:$I$89,5,0)</f>
        <v>173.19744000000003</v>
      </c>
      <c r="AK62" s="14">
        <f t="shared" si="35"/>
        <v>43.805365310060893</v>
      </c>
      <c r="AL62" s="22">
        <f t="shared" si="4"/>
        <v>377.94655258168945</v>
      </c>
      <c r="AM62" s="60">
        <f t="shared" si="5"/>
        <v>638.63595977553223</v>
      </c>
      <c r="AN62" s="60">
        <f ca="1">AVERAGE(OFFSET($AM$3,0,0,'Données projet'!$E$10+1,1))-AVERAGE(OFFSET($H$3,0,0,'Données projet'!$E$10+1,1))</f>
        <v>442.49274132121275</v>
      </c>
      <c r="AO62" s="60">
        <f t="shared" si="36"/>
        <v>237.37463556402756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211.00000000000006</v>
      </c>
      <c r="BE62" s="14">
        <f>BD62*VLOOKUP('Données projet'!$B$11,Paramètres!$A$1:$I$89,3,0)*VLOOKUP('Données projet'!$B$11,Paramètres!$A$1:$I$89,5,0)</f>
        <v>138.24720000000002</v>
      </c>
      <c r="BF62" s="14">
        <f t="shared" si="37"/>
        <v>35.895169667225971</v>
      </c>
      <c r="BG62" s="22">
        <f t="shared" si="7"/>
        <v>303.29796050375188</v>
      </c>
      <c r="BH62" s="60">
        <f t="shared" si="8"/>
        <v>563.98736769759466</v>
      </c>
      <c r="BI62" s="60">
        <f ca="1">AVERAGE(OFFSET($BH$3,0,0,'Données projet'!$E$11+1,1))-AVERAGE(OFFSET($H$3,0,0,'Données projet'!$E$11+1,1))</f>
        <v>267.90768140488603</v>
      </c>
      <c r="BJ62" s="60">
        <f t="shared" si="38"/>
        <v>280.25465074992258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205.60000000000008</v>
      </c>
      <c r="BZ62" s="14">
        <f>BY62*VLOOKUP('Données projet'!$B$12,Paramètres!$A$1:$I$89,3,0)*VLOOKUP('Données projet'!$B$12,Paramètres!$A$1:$I$89,5,0)</f>
        <v>166.78272000000007</v>
      </c>
      <c r="CA62" s="14">
        <f t="shared" si="39"/>
        <v>42.368660582589982</v>
      </c>
      <c r="CB62" s="22">
        <f t="shared" si="10"/>
        <v>364.27198784801095</v>
      </c>
      <c r="CC62" s="60">
        <f t="shared" si="11"/>
        <v>624.96139504185373</v>
      </c>
      <c r="CD62" s="60">
        <f ca="1">AVERAGE(OFFSET($CC$3,0,0,'Données projet'!$E$12+1,1))-AVERAGE(OFFSET($H$3,0,0,'Données projet'!$E$12+1,1))</f>
        <v>308.6594206517259</v>
      </c>
      <c r="CE62" s="60">
        <f t="shared" si="40"/>
        <v>258.90832875500325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4.8717948717948731</v>
      </c>
      <c r="CT62" s="13">
        <f>IF('Données projet'!$A$140&gt;35,CT61+CS62-DB61,IF(A62&lt;'Données projet'!$A$140,$CQ$205^A62,IF(A62='Données projet'!$A$140,'Données projet'!$B$140,CT61+CS62-DB61)))</f>
        <v>195.12820512820502</v>
      </c>
      <c r="CU62" s="18">
        <f>CT62*VLOOKUP('Données projet'!$B$13,Paramètres!$A$1:$I$89,3,0)*VLOOKUP('Données projet'!$B$13,Paramètres!$A$1:$I$89,5,0)</f>
        <v>185.68399999999991</v>
      </c>
      <c r="CV62" s="14">
        <f t="shared" si="41"/>
        <v>46.584474219718061</v>
      </c>
      <c r="CW62" s="22">
        <f t="shared" si="13"/>
        <v>404.5342592660088</v>
      </c>
      <c r="CX62" s="60">
        <f t="shared" si="14"/>
        <v>665.22366645985153</v>
      </c>
      <c r="CY62" s="60">
        <f ca="1">AVERAGE(OFFSET($CX$3,0,0,'Données projet'!$E$13+1,1))-AVERAGE(OFFSET($H$3,0,0,'Données projet'!$E$13+1,1))</f>
        <v>397.63792993520934</v>
      </c>
      <c r="CZ62" s="60">
        <f t="shared" si="42"/>
        <v>300.63705521148802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5.3846153846153868</v>
      </c>
      <c r="DO62" s="13">
        <f>IF('Données projet'!$A$166&gt;35,DO61+DN62-DW61,IF(A62&lt;'Données projet'!$A$166,$DL$205^A62,IF(A62='Données projet'!$A$166,'Données projet'!$B$166,DO61+DN62-DW61)))</f>
        <v>239.48717948717945</v>
      </c>
      <c r="DP62" s="18">
        <f>DO62*VLOOKUP('Données projet'!$B$14,Paramètres!$A$1:$I$89,3,0)*VLOOKUP('Données projet'!$B$14,Paramètres!$A$1:$I$89,5,0)</f>
        <v>160.648</v>
      </c>
      <c r="DQ62" s="14">
        <f t="shared" si="43"/>
        <v>40.988639216339969</v>
      </c>
      <c r="DR62" s="22">
        <f t="shared" si="16"/>
        <v>351.1838133017921</v>
      </c>
      <c r="DS62" s="60">
        <f t="shared" si="17"/>
        <v>611.87322049563488</v>
      </c>
      <c r="DT62" s="60">
        <f ca="1">AVERAGE(OFFSET($DS$3,0,0,'Données projet'!$E$14+1,1))-AVERAGE(OFFSET($H$3,0,0,'Données projet'!$E$14+1,1))</f>
        <v>343.94240546037798</v>
      </c>
      <c r="DU62" s="60">
        <f t="shared" si="44"/>
        <v>277.30931495079346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0.57273465022197467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0.57273465022197467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7.4</v>
      </c>
      <c r="EJ62" s="13">
        <f>IF('Données projet'!$A$192&gt;35,EJ61+EI62-ER61,IF(A62&lt;'Données projet'!$A$192,$EG$205^A62,IF(A62='Données projet'!$A$192,'Données projet'!$B$192,EJ61+EI62-ER61)))</f>
        <v>263.59999999999991</v>
      </c>
      <c r="EK62" s="18">
        <f>EJ62*VLOOKUP('Données projet'!$B$15,Paramètres!$A$1:$I$89,3,0)*VLOOKUP('Données projet'!$B$15,Paramètres!$A$1:$I$89,5,0)</f>
        <v>205.60799999999995</v>
      </c>
      <c r="EL62" s="14">
        <f t="shared" si="45"/>
        <v>50.97464576911181</v>
      </c>
      <c r="EM62" s="22">
        <f t="shared" si="19"/>
        <v>446.88144138120293</v>
      </c>
      <c r="EN62" s="60">
        <f t="shared" si="20"/>
        <v>707.57084857504572</v>
      </c>
      <c r="EO62" s="60">
        <f ca="1">AVERAGE(OFFSET($EN$3,0,0,'Données projet'!$E$15+1,1))-AVERAGE(OFFSET($H$3,0,0,'Données projet'!$E$15+1,1))</f>
        <v>308.76306523144956</v>
      </c>
      <c r="EP62" s="60">
        <f t="shared" si="46"/>
        <v>283.28099819802776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4.2</v>
      </c>
      <c r="FE62" s="13">
        <f>IF('Données projet'!$A$218&gt;35,FE61+FD62-FM61,IF(A62&lt;'Données projet'!$A$218,$FB$205^A62,IF(A62='Données projet'!$A$218,'Données projet'!$B$218,FE61+FD62-FM61)))</f>
        <v>201.79999999999995</v>
      </c>
      <c r="FF62" s="18">
        <f>FE62*VLOOKUP('Données projet'!$B$16,Paramètres!$A$1:$I$89,3,0)*VLOOKUP('Données projet'!$B$16,Paramètres!$A$1:$I$89,5,0)</f>
        <v>176.29247999999998</v>
      </c>
      <c r="FG62" s="14">
        <f t="shared" si="47"/>
        <v>44.496334803721894</v>
      </c>
      <c r="FH62" s="22">
        <f t="shared" si="22"/>
        <v>384.5405191164823</v>
      </c>
      <c r="FI62" s="60">
        <f t="shared" si="23"/>
        <v>645.22992631032503</v>
      </c>
      <c r="FJ62" s="60">
        <f ca="1">AVERAGE(OFFSET($FI$3,0,0,'Données projet'!$E$16+1,1))-AVERAGE(OFFSET($H$3,0,0,'Données projet'!$E$16+1,1))</f>
        <v>296.01124173332352</v>
      </c>
      <c r="FK62" s="60">
        <f t="shared" si="48"/>
        <v>315.50730924873733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</v>
      </c>
      <c r="FZ62" s="13">
        <f>IF('Données projet'!$A$244&gt;35,FZ61+FY62-GH61,IF(A62&lt;'Données projet'!$A$244,$FW$205^A62,IF(A62='Données projet'!$A$244,'Données projet'!$B$244,FZ61+FY62-GH61)))</f>
        <v>185</v>
      </c>
      <c r="GA62" s="18">
        <f>FZ62*VLOOKUP('Données projet'!$B$17,Paramètres!$A$1:$I$89,3,0)*VLOOKUP('Données projet'!$B$17,Paramètres!$A$1:$I$89,5,0)</f>
        <v>178.93200000000002</v>
      </c>
      <c r="GB62" s="14">
        <f t="shared" si="49"/>
        <v>45.084493609959594</v>
      </c>
      <c r="GC62" s="22">
        <f t="shared" si="25"/>
        <v>390.16205970401296</v>
      </c>
      <c r="GD62" s="60">
        <f t="shared" si="26"/>
        <v>650.85146689785574</v>
      </c>
      <c r="GE62" s="60">
        <f ca="1">AVERAGE(OFFSET($GD$3,0,0,'Données projet'!$E$17+1,1))-AVERAGE(OFFSET($H$3,0,0,'Données projet'!$E$17+1,1))</f>
        <v>391.18744390931187</v>
      </c>
      <c r="GF62" s="60">
        <f t="shared" si="50"/>
        <v>261.46982358454386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0.61049747729753701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0.61049747729753701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213.00000000000003</v>
      </c>
      <c r="O63" s="14">
        <f>N63*VLOOKUP('Données projet'!$B$9,Paramètres!$A$1:$I$89,3,0)*VLOOKUP('Données projet'!$B$9,Paramètres!$A$1:$I$89,5,0)</f>
        <v>192.72240000000002</v>
      </c>
      <c r="P63" s="14">
        <f t="shared" si="33"/>
        <v>48.141337574630874</v>
      </c>
      <c r="Q63" s="22">
        <f t="shared" si="53"/>
        <v>419.5043429424822</v>
      </c>
      <c r="R63" s="60">
        <f t="shared" si="0"/>
        <v>680.76004927395968</v>
      </c>
      <c r="S63" s="60">
        <f ca="1">AVERAGE(OFFSET($R$3,0,0,'Données projet'!$E$9+1,1))-AVERAGE(OFFSET($H$3,0,0,'Données projet'!$E$9+1,1))</f>
        <v>469.15492079216403</v>
      </c>
      <c r="T63" s="60">
        <f t="shared" si="34"/>
        <v>250.47702091764884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213.00000000000003</v>
      </c>
      <c r="AJ63" s="14">
        <f>AI63*VLOOKUP('Données projet'!$B$10,Paramètres!$A$1:$I$89,3,0)*VLOOKUP('Données projet'!$B$10,Paramètres!$A$1:$I$89,5,0)</f>
        <v>179.43120000000005</v>
      </c>
      <c r="AK63" s="14">
        <f t="shared" si="35"/>
        <v>45.195615345060403</v>
      </c>
      <c r="AL63" s="22">
        <f t="shared" si="4"/>
        <v>391.22503672598026</v>
      </c>
      <c r="AM63" s="60">
        <f t="shared" si="5"/>
        <v>652.48074305745774</v>
      </c>
      <c r="AN63" s="60">
        <f ca="1">AVERAGE(OFFSET($AM$3,0,0,'Données projet'!$E$10+1,1))-AVERAGE(OFFSET($H$3,0,0,'Données projet'!$E$10+1,1))</f>
        <v>442.49274132121275</v>
      </c>
      <c r="AO63" s="60">
        <f t="shared" si="36"/>
        <v>237.37463556402756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216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216.00000000000006</v>
      </c>
      <c r="BE63" s="14">
        <f>BD63*VLOOKUP('Données projet'!$B$11,Paramètres!$A$1:$I$89,3,0)*VLOOKUP('Données projet'!$B$11,Paramètres!$A$1:$I$89,5,0)</f>
        <v>141.52320000000006</v>
      </c>
      <c r="BF63" s="14">
        <f t="shared" si="37"/>
        <v>36.645729158274158</v>
      </c>
      <c r="BG63" s="22">
        <f t="shared" si="7"/>
        <v>310.31088495066086</v>
      </c>
      <c r="BH63" s="60">
        <f t="shared" si="8"/>
        <v>571.56659128213835</v>
      </c>
      <c r="BI63" s="60">
        <f ca="1">AVERAGE(OFFSET($BH$3,0,0,'Données projet'!$E$11+1,1))-AVERAGE(OFFSET($H$3,0,0,'Données projet'!$E$11+1,1))</f>
        <v>267.90768140488603</v>
      </c>
      <c r="BJ63" s="60">
        <f t="shared" si="38"/>
        <v>280.25465074992258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39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211</v>
      </c>
      <c r="BW63" s="13">
        <f>VLOOKUP(A63,'Données projet'!$A$113:$I$133,9,0)</f>
        <v>5.4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211.00000000000009</v>
      </c>
      <c r="BZ63" s="14">
        <f>BY63*VLOOKUP('Données projet'!$B$12,Paramètres!$A$1:$I$89,3,0)*VLOOKUP('Données projet'!$B$12,Paramètres!$A$1:$I$89,5,0)</f>
        <v>171.16320000000007</v>
      </c>
      <c r="CA63" s="14">
        <f t="shared" si="39"/>
        <v>43.350438209113932</v>
      </c>
      <c r="CB63" s="22">
        <f t="shared" si="10"/>
        <v>373.6112532142069</v>
      </c>
      <c r="CC63" s="60">
        <f t="shared" si="11"/>
        <v>634.86695954568438</v>
      </c>
      <c r="CD63" s="60">
        <f ca="1">AVERAGE(OFFSET($CC$3,0,0,'Données projet'!$E$12+1,1))-AVERAGE(OFFSET($H$3,0,0,'Données projet'!$E$12+1,1))</f>
        <v>308.6594206517259</v>
      </c>
      <c r="CE63" s="60">
        <f t="shared" si="40"/>
        <v>258.90832875500325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200</v>
      </c>
      <c r="CR63" s="13">
        <f>VLOOKUP(A63,'Données projet'!$A$139:$I$159,9,0)</f>
        <v>4.8717948717948731</v>
      </c>
      <c r="CS63" s="13">
        <f t="array" ref="CS63">INDEX(CR:CR,MIN(IF(ISNUMBER(CR63:CR259),ROW(CR63:CR259),"")))</f>
        <v>4.8717948717948731</v>
      </c>
      <c r="CT63" s="13">
        <f>IF('Données projet'!$A$140&gt;35,CT62+CS63-DB62,IF(A63&lt;'Données projet'!$A$140,$CQ$205^A63,IF(A63='Données projet'!$A$140,'Données projet'!$B$140,CT62+CS63-DB62)))</f>
        <v>199.99999999999989</v>
      </c>
      <c r="CU63" s="18">
        <f>CT63*VLOOKUP('Données projet'!$B$13,Paramètres!$A$1:$I$89,3,0)*VLOOKUP('Données projet'!$B$13,Paramètres!$A$1:$I$89,5,0)</f>
        <v>190.31999999999991</v>
      </c>
      <c r="CV63" s="14">
        <f t="shared" si="41"/>
        <v>47.61069337740188</v>
      </c>
      <c r="CW63" s="22">
        <f t="shared" si="13"/>
        <v>414.39595763230813</v>
      </c>
      <c r="CX63" s="60">
        <f t="shared" si="14"/>
        <v>675.65166396378561</v>
      </c>
      <c r="CY63" s="60">
        <f ca="1">AVERAGE(OFFSET($CX$3,0,0,'Données projet'!$E$13+1,1))-AVERAGE(OFFSET($H$3,0,0,'Données projet'!$E$13+1,1))</f>
        <v>397.63792993520934</v>
      </c>
      <c r="CZ63" s="60">
        <f t="shared" si="42"/>
        <v>300.63705521148802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29.487179487179485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244.87179487179486</v>
      </c>
      <c r="DM63" s="13">
        <f>VLOOKUP(A63,'Données projet'!$A$165:$I$185,9,0)</f>
        <v>5.3846153846153868</v>
      </c>
      <c r="DN63" s="13">
        <f t="array" ref="DN63">INDEX(DM:DM,MIN(IF(ISNUMBER(DM63:DM259),ROW(DM63:DM259),"")))</f>
        <v>5.3846153846153868</v>
      </c>
      <c r="DO63" s="13">
        <f>IF('Données projet'!$A$166&gt;35,DO62+DN63-DW62,IF(A63&lt;'Données projet'!$A$166,$DL$205^A63,IF(A63='Données projet'!$A$166,'Données projet'!$B$166,DO62+DN63-DW62)))</f>
        <v>244.87179487179483</v>
      </c>
      <c r="DP63" s="18">
        <f>DO63*VLOOKUP('Données projet'!$B$14,Paramètres!$A$1:$I$89,3,0)*VLOOKUP('Données projet'!$B$14,Paramètres!$A$1:$I$89,5,0)</f>
        <v>164.26</v>
      </c>
      <c r="DQ63" s="14">
        <f t="shared" si="43"/>
        <v>41.801895928887475</v>
      </c>
      <c r="DR63" s="22">
        <f t="shared" si="16"/>
        <v>358.89113540947892</v>
      </c>
      <c r="DS63" s="60">
        <f t="shared" si="17"/>
        <v>620.14684174095646</v>
      </c>
      <c r="DT63" s="60">
        <f ca="1">AVERAGE(OFFSET($DS$3,0,0,'Données projet'!$E$14+1,1))-AVERAGE(OFFSET($H$3,0,0,'Données projet'!$E$14+1,1))</f>
        <v>343.94240546037798</v>
      </c>
      <c r="DU63" s="60">
        <f t="shared" si="44"/>
        <v>277.30931495079346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30.128205128205128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0.55707319109284847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0.55707319109284847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271</v>
      </c>
      <c r="EH63" s="13">
        <f>VLOOKUP(A63,'Données projet'!$A$191:$I$211,9,0)</f>
        <v>7.4</v>
      </c>
      <c r="EI63" s="13">
        <f t="array" ref="EI63">INDEX(EH:EH,MIN(IF(ISNUMBER(EH63:EH259),ROW(EH63:EH259),"")))</f>
        <v>7.4</v>
      </c>
      <c r="EJ63" s="13">
        <f>IF('Données projet'!$A$192&gt;35,EJ62+EI63-ER62,IF(A63&lt;'Données projet'!$A$192,$EG$205^A63,IF(A63='Données projet'!$A$192,'Données projet'!$B$192,EJ62+EI63-ER62)))</f>
        <v>270.99999999999989</v>
      </c>
      <c r="EK63" s="18">
        <f>EJ63*VLOOKUP('Données projet'!$B$15,Paramètres!$A$1:$I$89,3,0)*VLOOKUP('Données projet'!$B$15,Paramètres!$A$1:$I$89,5,0)</f>
        <v>211.37999999999991</v>
      </c>
      <c r="EL63" s="14">
        <f t="shared" si="45"/>
        <v>52.237035364084207</v>
      </c>
      <c r="EM63" s="22">
        <f t="shared" si="19"/>
        <v>459.1330032591132</v>
      </c>
      <c r="EN63" s="60">
        <f t="shared" si="20"/>
        <v>720.38870959059068</v>
      </c>
      <c r="EO63" s="60">
        <f ca="1">AVERAGE(OFFSET($EN$3,0,0,'Données projet'!$E$15+1,1))-AVERAGE(OFFSET($H$3,0,0,'Données projet'!$E$15+1,1))</f>
        <v>308.76306523144956</v>
      </c>
      <c r="EP63" s="60">
        <f t="shared" si="46"/>
        <v>283.28099819802776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27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206</v>
      </c>
      <c r="FC63" s="13">
        <f>VLOOKUP(A63,'Données projet'!$A$217:$I$237,9,0)</f>
        <v>4.2</v>
      </c>
      <c r="FD63" s="13">
        <f t="array" ref="FD63">INDEX(FC:FC,MIN(IF(ISNUMBER(FC63:FC259),ROW(FC63:FC259),"")))</f>
        <v>4.2</v>
      </c>
      <c r="FE63" s="13">
        <f>IF('Données projet'!$A$218&gt;35,FE62+FD63-FM62,IF(A63&lt;'Données projet'!$A$218,$FB$205^A63,IF(A63='Données projet'!$A$218,'Données projet'!$B$218,FE62+FD63-FM62)))</f>
        <v>205.99999999999994</v>
      </c>
      <c r="FF63" s="18">
        <f>FE63*VLOOKUP('Données projet'!$B$16,Paramètres!$A$1:$I$89,3,0)*VLOOKUP('Données projet'!$B$16,Paramètres!$A$1:$I$89,5,0)</f>
        <v>179.96159999999998</v>
      </c>
      <c r="FG63" s="14">
        <f t="shared" si="47"/>
        <v>45.313642767960104</v>
      </c>
      <c r="FH63" s="22">
        <f t="shared" si="22"/>
        <v>392.35438115419714</v>
      </c>
      <c r="FI63" s="60">
        <f t="shared" si="23"/>
        <v>653.61008748567463</v>
      </c>
      <c r="FJ63" s="60">
        <f ca="1">AVERAGE(OFFSET($FI$3,0,0,'Données projet'!$E$16+1,1))-AVERAGE(OFFSET($H$3,0,0,'Données projet'!$E$16+1,1))</f>
        <v>296.01124173332352</v>
      </c>
      <c r="FK63" s="60">
        <f t="shared" si="48"/>
        <v>315.50730924873733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20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191</v>
      </c>
      <c r="FX63" s="13">
        <f>VLOOKUP(A63,'Données projet'!$A$243:$I$263,9,0)</f>
        <v>6</v>
      </c>
      <c r="FY63" s="13">
        <f t="array" ref="FY63">INDEX(FX:FX,MIN(IF(ISNUMBER(FX63:FX259),ROW(FX63:FX259),"")))</f>
        <v>6</v>
      </c>
      <c r="FZ63" s="13">
        <f>IF('Données projet'!$A$244&gt;35,FZ62+FY63-GH62,IF(A63&lt;'Données projet'!$A$244,$FW$205^A63,IF(A63='Données projet'!$A$244,'Données projet'!$B$244,FZ62+FY63-GH62)))</f>
        <v>191</v>
      </c>
      <c r="GA63" s="18">
        <f>FZ63*VLOOKUP('Données projet'!$B$17,Paramètres!$A$1:$I$89,3,0)*VLOOKUP('Données projet'!$B$17,Paramètres!$A$1:$I$89,5,0)</f>
        <v>184.73520000000002</v>
      </c>
      <c r="GB63" s="14">
        <f t="shared" si="49"/>
        <v>46.374083548521348</v>
      </c>
      <c r="GC63" s="22">
        <f t="shared" si="25"/>
        <v>402.5153355136747</v>
      </c>
      <c r="GD63" s="60">
        <f t="shared" si="26"/>
        <v>663.77104184515224</v>
      </c>
      <c r="GE63" s="60">
        <f ca="1">AVERAGE(OFFSET($GD$3,0,0,'Données projet'!$E$17+1,1))-AVERAGE(OFFSET($H$3,0,0,'Données projet'!$E$17+1,1))</f>
        <v>391.18744390931187</v>
      </c>
      <c r="GF63" s="60">
        <f t="shared" si="50"/>
        <v>261.46982358454386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36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0.5938033916761688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0.5938033916761688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7.4</v>
      </c>
      <c r="N64" s="14">
        <f>IF('Données projet'!$A$36&gt;35,N63+M64-V63,IF(A64&lt;'Données projet'!$A$36,$K$205^A64,IF(A64='Données projet'!$A$36,'Données projet'!$B$36,N63+M64-V63)))</f>
        <v>220.40000000000003</v>
      </c>
      <c r="O64" s="14">
        <f>N64*VLOOKUP('Données projet'!$B$9,Paramètres!$A$1:$I$89,3,0)*VLOOKUP('Données projet'!$B$9,Paramètres!$A$1:$I$89,5,0)</f>
        <v>199.41792000000001</v>
      </c>
      <c r="P64" s="14">
        <f t="shared" si="33"/>
        <v>49.61622246731892</v>
      </c>
      <c r="Q64" s="22">
        <f t="shared" si="53"/>
        <v>433.73446479724709</v>
      </c>
      <c r="R64" s="60">
        <f t="shared" si="0"/>
        <v>695.54664624237648</v>
      </c>
      <c r="S64" s="60">
        <f ca="1">AVERAGE(OFFSET($R$3,0,0,'Données projet'!$E$9+1,1))-AVERAGE(OFFSET($H$3,0,0,'Données projet'!$E$9+1,1))</f>
        <v>469.15492079216403</v>
      </c>
      <c r="T64" s="60">
        <f t="shared" si="34"/>
        <v>250.47702091764884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7.4</v>
      </c>
      <c r="AI64" s="14">
        <f>IF('Données projet'!$A$62&gt;35,AI63+AH64-AQ63,IF(A64&lt;'Données projet'!$A$62,$AF$205^A64,IF(A64='Données projet'!$A$62,'Données projet'!$B$62,AI63+AH64-AQ63)))</f>
        <v>220.40000000000003</v>
      </c>
      <c r="AJ64" s="14">
        <f>AI64*VLOOKUP('Données projet'!$B$10,Paramètres!$A$1:$I$89,3,0)*VLOOKUP('Données projet'!$B$10,Paramètres!$A$1:$I$89,5,0)</f>
        <v>185.66496000000004</v>
      </c>
      <c r="AK64" s="14">
        <f t="shared" si="35"/>
        <v>46.580253447083074</v>
      </c>
      <c r="AL64" s="22">
        <f t="shared" si="4"/>
        <v>404.49374675366971</v>
      </c>
      <c r="AM64" s="60">
        <f t="shared" si="5"/>
        <v>666.30592819879905</v>
      </c>
      <c r="AN64" s="60">
        <f ca="1">AVERAGE(OFFSET($AM$3,0,0,'Données projet'!$E$10+1,1))-AVERAGE(OFFSET($H$3,0,0,'Données projet'!$E$10+1,1))</f>
        <v>442.49274132121275</v>
      </c>
      <c r="AO64" s="60">
        <f t="shared" si="36"/>
        <v>237.37463556402756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4.8</v>
      </c>
      <c r="BD64" s="13">
        <f>IF('Données projet'!$A$88&gt;35,BD63+BC64-BL63,IF(A64&lt;'Données projet'!$A$88,$BA$205^A64,IF(A64='Données projet'!$A$88,'Données projet'!$B$88,BD63+BC64-BL63)))</f>
        <v>181.80000000000007</v>
      </c>
      <c r="BE64" s="14">
        <f>BD64*VLOOKUP('Données projet'!$B$11,Paramètres!$A$1:$I$89,3,0)*VLOOKUP('Données projet'!$B$11,Paramètres!$A$1:$I$89,5,0)</f>
        <v>119.11536000000004</v>
      </c>
      <c r="BF64" s="14">
        <f t="shared" si="37"/>
        <v>31.468582772748093</v>
      </c>
      <c r="BG64" s="22">
        <f t="shared" si="7"/>
        <v>262.26703366253628</v>
      </c>
      <c r="BH64" s="60">
        <f t="shared" si="8"/>
        <v>524.07921510766562</v>
      </c>
      <c r="BI64" s="60">
        <f ca="1">AVERAGE(OFFSET($BH$3,0,0,'Données projet'!$E$11+1,1))-AVERAGE(OFFSET($H$3,0,0,'Données projet'!$E$11+1,1))</f>
        <v>267.90768140488603</v>
      </c>
      <c r="BJ64" s="60">
        <f t="shared" si="38"/>
        <v>280.25465074992258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IF('Données projet'!$A$114&gt;35,BY63+BX64-CG63,IF(A64&lt;'Données projet'!$A$114,$BV$205^A64,IF(A64='Données projet'!$A$114,'Données projet'!$B$114,BY63+BX64-CG63)))</f>
        <v>188.00000000000009</v>
      </c>
      <c r="BZ64" s="14">
        <f>BY64*VLOOKUP('Données projet'!$B$12,Paramètres!$A$1:$I$89,3,0)*VLOOKUP('Données projet'!$B$12,Paramètres!$A$1:$I$89,5,0)</f>
        <v>152.50560000000007</v>
      </c>
      <c r="CA64" s="14">
        <f t="shared" si="39"/>
        <v>39.147442061162252</v>
      </c>
      <c r="CB64" s="22">
        <f t="shared" si="10"/>
        <v>333.79571492319104</v>
      </c>
      <c r="CC64" s="60">
        <f t="shared" si="11"/>
        <v>595.60789636832033</v>
      </c>
      <c r="CD64" s="60">
        <f ca="1">AVERAGE(OFFSET($CC$3,0,0,'Données projet'!$E$12+1,1))-AVERAGE(OFFSET($H$3,0,0,'Données projet'!$E$12+1,1))</f>
        <v>308.6594206517259</v>
      </c>
      <c r="CE64" s="60">
        <f t="shared" si="40"/>
        <v>258.90832875500325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4.6153846153846132</v>
      </c>
      <c r="CT64" s="13">
        <f>IF('Données projet'!$A$140&gt;35,CT63+CS64-DB63,IF(A64&lt;'Données projet'!$A$140,$CQ$205^A64,IF(A64='Données projet'!$A$140,'Données projet'!$B$140,CT63+CS64-DB63)))</f>
        <v>175.12820512820502</v>
      </c>
      <c r="CU64" s="18">
        <f>CT64*VLOOKUP('Données projet'!$B$13,Paramètres!$A$1:$I$89,3,0)*VLOOKUP('Données projet'!$B$13,Paramètres!$A$1:$I$89,5,0)</f>
        <v>166.6519999999999</v>
      </c>
      <c r="CV64" s="14">
        <f t="shared" si="41"/>
        <v>42.339317127801309</v>
      </c>
      <c r="CW64" s="22">
        <f t="shared" si="13"/>
        <v>363.9932106642537</v>
      </c>
      <c r="CX64" s="60">
        <f t="shared" si="14"/>
        <v>625.80539210938309</v>
      </c>
      <c r="CY64" s="60">
        <f ca="1">AVERAGE(OFFSET($CX$3,0,0,'Données projet'!$E$13+1,1))-AVERAGE(OFFSET($H$3,0,0,'Données projet'!$E$13+1,1))</f>
        <v>397.63792993520934</v>
      </c>
      <c r="CZ64" s="60">
        <f t="shared" si="42"/>
        <v>300.63705521148802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5.1282051282051331</v>
      </c>
      <c r="DO64" s="13">
        <f>IF('Données projet'!$A$166&gt;35,DO63+DN64-DW63,IF(A64&lt;'Données projet'!$A$166,$DL$205^A64,IF(A64='Données projet'!$A$166,'Données projet'!$B$166,DO63+DN64-DW63)))</f>
        <v>219.87179487179483</v>
      </c>
      <c r="DP64" s="18">
        <f>DO64*VLOOKUP('Données projet'!$B$14,Paramètres!$A$1:$I$89,3,0)*VLOOKUP('Données projet'!$B$14,Paramètres!$A$1:$I$89,5,0)</f>
        <v>147.48999999999998</v>
      </c>
      <c r="DQ64" s="14">
        <f t="shared" si="43"/>
        <v>38.007620116459798</v>
      </c>
      <c r="DR64" s="22">
        <f t="shared" si="16"/>
        <v>323.07502170283414</v>
      </c>
      <c r="DS64" s="60">
        <f t="shared" si="17"/>
        <v>584.88720314796342</v>
      </c>
      <c r="DT64" s="60">
        <f ca="1">AVERAGE(OFFSET($DS$3,0,0,'Données projet'!$E$14+1,1))-AVERAGE(OFFSET($H$3,0,0,'Données projet'!$E$14+1,1))</f>
        <v>343.94240546037798</v>
      </c>
      <c r="DU64" s="60">
        <f t="shared" si="44"/>
        <v>277.30931495079346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0.54183999538720862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0.54183999538720862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6.4</v>
      </c>
      <c r="EJ64" s="13">
        <f>IF('Données projet'!$A$192&gt;35,EJ63+EI64-ER63,IF(A64&lt;'Données projet'!$A$192,$EG$205^A64,IF(A64='Données projet'!$A$192,'Données projet'!$B$192,EJ63+EI64-ER63)))</f>
        <v>250.39999999999986</v>
      </c>
      <c r="EK64" s="18">
        <f>EJ64*VLOOKUP('Données projet'!$B$15,Paramètres!$A$1:$I$89,3,0)*VLOOKUP('Données projet'!$B$15,Paramètres!$A$1:$I$89,5,0)</f>
        <v>195.3119999999999</v>
      </c>
      <c r="EL64" s="14">
        <f t="shared" si="45"/>
        <v>48.712469285758459</v>
      </c>
      <c r="EM64" s="22">
        <f t="shared" si="19"/>
        <v>425.00928400602908</v>
      </c>
      <c r="EN64" s="60">
        <f t="shared" si="20"/>
        <v>686.82146545115847</v>
      </c>
      <c r="EO64" s="60">
        <f ca="1">AVERAGE(OFFSET($EN$3,0,0,'Données projet'!$E$15+1,1))-AVERAGE(OFFSET($H$3,0,0,'Données projet'!$E$15+1,1))</f>
        <v>308.76306523144956</v>
      </c>
      <c r="EP64" s="60">
        <f t="shared" si="46"/>
        <v>283.28099819802776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3.2</v>
      </c>
      <c r="FE64" s="13">
        <f>IF('Données projet'!$A$218&gt;35,FE63+FD64-FM63,IF(A64&lt;'Données projet'!$A$218,$FB$205^A64,IF(A64='Données projet'!$A$218,'Données projet'!$B$218,FE63+FD64-FM63)))</f>
        <v>189.19999999999993</v>
      </c>
      <c r="FF64" s="18">
        <f>FE64*VLOOKUP('Données projet'!$B$16,Paramètres!$A$1:$I$89,3,0)*VLOOKUP('Données projet'!$B$16,Paramètres!$A$1:$I$89,5,0)</f>
        <v>165.28511999999995</v>
      </c>
      <c r="FG64" s="14">
        <f t="shared" si="47"/>
        <v>42.032324946671778</v>
      </c>
      <c r="FH64" s="22">
        <f t="shared" si="22"/>
        <v>361.07788328211996</v>
      </c>
      <c r="FI64" s="60">
        <f t="shared" si="23"/>
        <v>622.8900647272493</v>
      </c>
      <c r="FJ64" s="60">
        <f ca="1">AVERAGE(OFFSET($FI$3,0,0,'Données projet'!$E$16+1,1))-AVERAGE(OFFSET($H$3,0,0,'Données projet'!$E$16+1,1))</f>
        <v>296.01124173332352</v>
      </c>
      <c r="FK64" s="60">
        <f t="shared" si="48"/>
        <v>315.50730924873733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</v>
      </c>
      <c r="FZ64" s="13">
        <f>IF('Données projet'!$A$244&gt;35,FZ63+FY64-GH63,IF(A64&lt;'Données projet'!$A$244,$FW$205^A64,IF(A64='Données projet'!$A$244,'Données projet'!$B$244,FZ63+FY64-GH63)))</f>
        <v>161</v>
      </c>
      <c r="GA64" s="18">
        <f>FZ64*VLOOKUP('Données projet'!$B$17,Paramètres!$A$1:$I$89,3,0)*VLOOKUP('Données projet'!$B$17,Paramètres!$A$1:$I$89,5,0)</f>
        <v>155.7192</v>
      </c>
      <c r="GB64" s="14">
        <f t="shared" si="49"/>
        <v>39.875450340770094</v>
      </c>
      <c r="GC64" s="22">
        <f t="shared" si="25"/>
        <v>340.66068267684119</v>
      </c>
      <c r="GD64" s="60">
        <f t="shared" si="26"/>
        <v>602.47286412197059</v>
      </c>
      <c r="GE64" s="60">
        <f ca="1">AVERAGE(OFFSET($GD$3,0,0,'Données projet'!$E$17+1,1))-AVERAGE(OFFSET($H$3,0,0,'Données projet'!$E$17+1,1))</f>
        <v>391.18744390931187</v>
      </c>
      <c r="GF64" s="60">
        <f t="shared" si="50"/>
        <v>261.46982358454386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0.5775658067040208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0.5775658067040208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7.4</v>
      </c>
      <c r="N65" s="14">
        <f>IF('Données projet'!$A$36&gt;35,N64+M65-V64,IF(A65&lt;'Données projet'!$A$36,$K$205^A65,IF(A65='Données projet'!$A$36,'Données projet'!$B$36,N64+M65-V64)))</f>
        <v>227.80000000000004</v>
      </c>
      <c r="O65" s="14">
        <f>N65*VLOOKUP('Données projet'!$B$9,Paramètres!$A$1:$I$89,3,0)*VLOOKUP('Données projet'!$B$9,Paramètres!$A$1:$I$89,5,0)</f>
        <v>206.11344000000005</v>
      </c>
      <c r="P65" s="14">
        <f t="shared" si="33"/>
        <v>51.085353370375145</v>
      </c>
      <c r="Q65" s="22">
        <f t="shared" si="53"/>
        <v>447.95456512007013</v>
      </c>
      <c r="R65" s="60">
        <f t="shared" si="0"/>
        <v>710.31356807972145</v>
      </c>
      <c r="S65" s="60">
        <f ca="1">AVERAGE(OFFSET($R$3,0,0,'Données projet'!$E$9+1,1))-AVERAGE(OFFSET($H$3,0,0,'Données projet'!$E$9+1,1))</f>
        <v>469.15492079216403</v>
      </c>
      <c r="T65" s="60">
        <f t="shared" si="34"/>
        <v>250.47702091764884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7.4</v>
      </c>
      <c r="AI65" s="14">
        <f>IF('Données projet'!$A$62&gt;35,AI64+AH65-AQ64,IF(A65&lt;'Données projet'!$A$62,$AF$205^A65,IF(A65='Données projet'!$A$62,'Données projet'!$B$62,AI64+AH65-AQ64)))</f>
        <v>227.80000000000004</v>
      </c>
      <c r="AJ65" s="14">
        <f>AI65*VLOOKUP('Données projet'!$B$10,Paramètres!$A$1:$I$89,3,0)*VLOOKUP('Données projet'!$B$10,Paramètres!$A$1:$I$89,5,0)</f>
        <v>191.89872000000005</v>
      </c>
      <c r="AK65" s="14">
        <f t="shared" si="35"/>
        <v>47.959489640575555</v>
      </c>
      <c r="AL65" s="22">
        <f t="shared" si="4"/>
        <v>417.75304845733581</v>
      </c>
      <c r="AM65" s="60">
        <f t="shared" si="5"/>
        <v>680.11205141698713</v>
      </c>
      <c r="AN65" s="60">
        <f ca="1">AVERAGE(OFFSET($AM$3,0,0,'Données projet'!$E$10+1,1))-AVERAGE(OFFSET($H$3,0,0,'Données projet'!$E$10+1,1))</f>
        <v>442.49274132121275</v>
      </c>
      <c r="AO65" s="60">
        <f t="shared" si="36"/>
        <v>237.37463556402756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4.8</v>
      </c>
      <c r="BD65" s="13">
        <f>IF('Données projet'!$A$88&gt;35,BD64+BC65-BL64,IF(A65&lt;'Données projet'!$A$88,$BA$205^A65,IF(A65='Données projet'!$A$88,'Données projet'!$B$88,BD64+BC65-BL64)))</f>
        <v>186.60000000000008</v>
      </c>
      <c r="BE65" s="14">
        <f>BD65*VLOOKUP('Données projet'!$B$11,Paramètres!$A$1:$I$89,3,0)*VLOOKUP('Données projet'!$B$11,Paramètres!$A$1:$I$89,5,0)</f>
        <v>122.26032000000005</v>
      </c>
      <c r="BF65" s="14">
        <f t="shared" si="37"/>
        <v>32.2016078999482</v>
      </c>
      <c r="BG65" s="22">
        <f t="shared" si="7"/>
        <v>269.02119109240988</v>
      </c>
      <c r="BH65" s="60">
        <f t="shared" si="8"/>
        <v>531.38019405206114</v>
      </c>
      <c r="BI65" s="60">
        <f ca="1">AVERAGE(OFFSET($BH$3,0,0,'Données projet'!$E$11+1,1))-AVERAGE(OFFSET($H$3,0,0,'Données projet'!$E$11+1,1))</f>
        <v>267.90768140488603</v>
      </c>
      <c r="BJ65" s="60">
        <f t="shared" si="38"/>
        <v>280.25465074992258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IF('Données projet'!$A$114&gt;35,BY64+BX65-CG64,IF(A65&lt;'Données projet'!$A$114,$BV$205^A65,IF(A65='Données projet'!$A$114,'Données projet'!$B$114,BY64+BX65-CG64)))</f>
        <v>193.00000000000009</v>
      </c>
      <c r="BZ65" s="14">
        <f>BY65*VLOOKUP('Données projet'!$B$12,Paramètres!$A$1:$I$89,3,0)*VLOOKUP('Données projet'!$B$12,Paramètres!$A$1:$I$89,5,0)</f>
        <v>156.56160000000008</v>
      </c>
      <c r="CA65" s="14">
        <f t="shared" si="39"/>
        <v>40.065996859746512</v>
      </c>
      <c r="CB65" s="22">
        <f t="shared" si="10"/>
        <v>342.45973119739205</v>
      </c>
      <c r="CC65" s="60">
        <f t="shared" si="11"/>
        <v>604.81873415704331</v>
      </c>
      <c r="CD65" s="60">
        <f ca="1">AVERAGE(OFFSET($CC$3,0,0,'Données projet'!$E$12+1,1))-AVERAGE(OFFSET($H$3,0,0,'Données projet'!$E$12+1,1))</f>
        <v>308.6594206517259</v>
      </c>
      <c r="CE65" s="60">
        <f t="shared" si="40"/>
        <v>258.90832875500325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4.6153846153846132</v>
      </c>
      <c r="CT65" s="13">
        <f>IF('Données projet'!$A$140&gt;35,CT64+CS65-DB64,IF(A65&lt;'Données projet'!$A$140,$CQ$205^A65,IF(A65='Données projet'!$A$140,'Données projet'!$B$140,CT64+CS65-DB64)))</f>
        <v>179.74358974358964</v>
      </c>
      <c r="CU65" s="18">
        <f>CT65*VLOOKUP('Données projet'!$B$13,Paramètres!$A$1:$I$89,3,0)*VLOOKUP('Données projet'!$B$13,Paramètres!$A$1:$I$89,5,0)</f>
        <v>171.0439999999999</v>
      </c>
      <c r="CV65" s="14">
        <f t="shared" si="41"/>
        <v>43.32376147477413</v>
      </c>
      <c r="CW65" s="22">
        <f t="shared" si="13"/>
        <v>373.35718456856472</v>
      </c>
      <c r="CX65" s="60">
        <f t="shared" si="14"/>
        <v>635.7161875282161</v>
      </c>
      <c r="CY65" s="60">
        <f ca="1">AVERAGE(OFFSET($CX$3,0,0,'Données projet'!$E$13+1,1))-AVERAGE(OFFSET($H$3,0,0,'Données projet'!$E$13+1,1))</f>
        <v>397.63792993520934</v>
      </c>
      <c r="CZ65" s="60">
        <f t="shared" si="42"/>
        <v>300.63705521148802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5.1282051282051331</v>
      </c>
      <c r="DO65" s="13">
        <f>IF('Données projet'!$A$166&gt;35,DO64+DN65-DW64,IF(A65&lt;'Données projet'!$A$166,$DL$205^A65,IF(A65='Données projet'!$A$166,'Données projet'!$B$166,DO64+DN65-DW64)))</f>
        <v>224.99999999999997</v>
      </c>
      <c r="DP65" s="18">
        <f>DO65*VLOOKUP('Données projet'!$B$14,Paramètres!$A$1:$I$89,3,0)*VLOOKUP('Données projet'!$B$14,Paramètres!$A$1:$I$89,5,0)</f>
        <v>150.92999999999998</v>
      </c>
      <c r="DQ65" s="14">
        <f t="shared" si="43"/>
        <v>38.789855371379041</v>
      </c>
      <c r="DR65" s="22">
        <f t="shared" si="16"/>
        <v>330.42874810515178</v>
      </c>
      <c r="DS65" s="60">
        <f t="shared" si="17"/>
        <v>592.78775106480316</v>
      </c>
      <c r="DT65" s="60">
        <f ca="1">AVERAGE(OFFSET($DS$3,0,0,'Données projet'!$E$14+1,1))-AVERAGE(OFFSET($H$3,0,0,'Données projet'!$E$14+1,1))</f>
        <v>343.94240546037798</v>
      </c>
      <c r="DU65" s="60">
        <f t="shared" si="44"/>
        <v>277.30931495079346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0.52702335221921848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0.52702335221921848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6.4</v>
      </c>
      <c r="EJ65" s="13">
        <f>IF('Données projet'!$A$192&gt;35,EJ64+EI65-ER64,IF(A65&lt;'Données projet'!$A$192,$EG$205^A65,IF(A65='Données projet'!$A$192,'Données projet'!$B$192,EJ64+EI65-ER64)))</f>
        <v>256.79999999999984</v>
      </c>
      <c r="EK65" s="18">
        <f>EJ65*VLOOKUP('Données projet'!$B$15,Paramètres!$A$1:$I$89,3,0)*VLOOKUP('Données projet'!$B$15,Paramètres!$A$1:$I$89,5,0)</f>
        <v>200.30399999999989</v>
      </c>
      <c r="EL65" s="14">
        <f t="shared" si="45"/>
        <v>49.810971817279096</v>
      </c>
      <c r="EM65" s="22">
        <f t="shared" si="19"/>
        <v>435.61690924842759</v>
      </c>
      <c r="EN65" s="60">
        <f t="shared" si="20"/>
        <v>697.97591220807885</v>
      </c>
      <c r="EO65" s="60">
        <f ca="1">AVERAGE(OFFSET($EN$3,0,0,'Données projet'!$E$15+1,1))-AVERAGE(OFFSET($H$3,0,0,'Données projet'!$E$15+1,1))</f>
        <v>308.76306523144956</v>
      </c>
      <c r="EP65" s="60">
        <f t="shared" si="46"/>
        <v>283.28099819802776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3.2</v>
      </c>
      <c r="FE65" s="13">
        <f>IF('Données projet'!$A$218&gt;35,FE64+FD65-FM64,IF(A65&lt;'Données projet'!$A$218,$FB$205^A65,IF(A65='Données projet'!$A$218,'Données projet'!$B$218,FE64+FD65-FM64)))</f>
        <v>192.39999999999992</v>
      </c>
      <c r="FF65" s="18">
        <f>FE65*VLOOKUP('Données projet'!$B$16,Paramètres!$A$1:$I$89,3,0)*VLOOKUP('Données projet'!$B$16,Paramètres!$A$1:$I$89,5,0)</f>
        <v>168.08063999999996</v>
      </c>
      <c r="FG65" s="14">
        <f t="shared" si="47"/>
        <v>42.659867131343425</v>
      </c>
      <c r="FH65" s="22">
        <f t="shared" si="22"/>
        <v>367.03971658708974</v>
      </c>
      <c r="FI65" s="60">
        <f t="shared" si="23"/>
        <v>629.39871954674106</v>
      </c>
      <c r="FJ65" s="60">
        <f ca="1">AVERAGE(OFFSET($FI$3,0,0,'Données projet'!$E$16+1,1))-AVERAGE(OFFSET($H$3,0,0,'Données projet'!$E$16+1,1))</f>
        <v>296.01124173332352</v>
      </c>
      <c r="FK65" s="60">
        <f t="shared" si="48"/>
        <v>315.50730924873733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</v>
      </c>
      <c r="FZ65" s="13">
        <f>IF('Données projet'!$A$244&gt;35,FZ64+FY65-GH64,IF(A65&lt;'Données projet'!$A$244,$FW$205^A65,IF(A65='Données projet'!$A$244,'Données projet'!$B$244,FZ64+FY65-GH64)))</f>
        <v>167</v>
      </c>
      <c r="GA65" s="18">
        <f>FZ65*VLOOKUP('Données projet'!$B$17,Paramètres!$A$1:$I$89,3,0)*VLOOKUP('Données projet'!$B$17,Paramètres!$A$1:$I$89,5,0)</f>
        <v>161.5224</v>
      </c>
      <c r="GB65" s="14">
        <f t="shared" si="49"/>
        <v>41.185707490721896</v>
      </c>
      <c r="GC65" s="22">
        <f t="shared" si="25"/>
        <v>353.04995387967392</v>
      </c>
      <c r="GD65" s="60">
        <f t="shared" si="26"/>
        <v>615.40895683932524</v>
      </c>
      <c r="GE65" s="60">
        <f ca="1">AVERAGE(OFFSET($GD$3,0,0,'Données projet'!$E$17+1,1))-AVERAGE(OFFSET($H$3,0,0,'Données projet'!$E$17+1,1))</f>
        <v>391.18744390931187</v>
      </c>
      <c r="GF65" s="60">
        <f t="shared" si="50"/>
        <v>261.46982358454386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0.56177223934683362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0.56177223934683362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7.4</v>
      </c>
      <c r="N66" s="14">
        <f>IF('Données projet'!$A$36&gt;35,N65+M66-V65,IF(A66&lt;'Données projet'!$A$36,$K$205^A66,IF(A66='Données projet'!$A$36,'Données projet'!$B$36,N65+M66-V65)))</f>
        <v>235.20000000000005</v>
      </c>
      <c r="O66" s="14">
        <f>N66*VLOOKUP('Données projet'!$B$9,Paramètres!$A$1:$I$89,3,0)*VLOOKUP('Données projet'!$B$9,Paramètres!$A$1:$I$89,5,0)</f>
        <v>212.80896000000004</v>
      </c>
      <c r="P66" s="14">
        <f t="shared" si="33"/>
        <v>52.54893863748589</v>
      </c>
      <c r="Q66" s="22">
        <f t="shared" si="53"/>
        <v>462.16500679362139</v>
      </c>
      <c r="R66" s="60">
        <f t="shared" si="0"/>
        <v>725.0613451370275</v>
      </c>
      <c r="S66" s="60">
        <f ca="1">AVERAGE(OFFSET($R$3,0,0,'Données projet'!$E$9+1,1))-AVERAGE(OFFSET($H$3,0,0,'Données projet'!$E$9+1,1))</f>
        <v>469.15492079216403</v>
      </c>
      <c r="T66" s="60">
        <f t="shared" si="34"/>
        <v>250.47702091764884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7.4</v>
      </c>
      <c r="AI66" s="14">
        <f>IF('Données projet'!$A$62&gt;35,AI65+AH66-AQ65,IF(A66&lt;'Données projet'!$A$62,$AF$205^A66,IF(A66='Données projet'!$A$62,'Données projet'!$B$62,AI65+AH66-AQ65)))</f>
        <v>235.20000000000005</v>
      </c>
      <c r="AJ66" s="14">
        <f>AI66*VLOOKUP('Données projet'!$B$10,Paramètres!$A$1:$I$89,3,0)*VLOOKUP('Données projet'!$B$10,Paramètres!$A$1:$I$89,5,0)</f>
        <v>198.13248000000007</v>
      </c>
      <c r="AK66" s="14">
        <f t="shared" si="35"/>
        <v>49.333519530262095</v>
      </c>
      <c r="AL66" s="22">
        <f t="shared" si="4"/>
        <v>431.00328251520659</v>
      </c>
      <c r="AM66" s="60">
        <f t="shared" si="5"/>
        <v>693.89962085861271</v>
      </c>
      <c r="AN66" s="60">
        <f ca="1">AVERAGE(OFFSET($AM$3,0,0,'Données projet'!$E$10+1,1))-AVERAGE(OFFSET($H$3,0,0,'Données projet'!$E$10+1,1))</f>
        <v>442.49274132121275</v>
      </c>
      <c r="AO66" s="60">
        <f t="shared" si="36"/>
        <v>237.37463556402756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4.8</v>
      </c>
      <c r="BD66" s="13">
        <f>IF('Données projet'!$A$88&gt;35,BD65+BC66-BL65,IF(A66&lt;'Données projet'!$A$88,$BA$205^A66,IF(A66='Données projet'!$A$88,'Données projet'!$B$88,BD65+BC66-BL65)))</f>
        <v>191.40000000000009</v>
      </c>
      <c r="BE66" s="14">
        <f>BD66*VLOOKUP('Données projet'!$B$11,Paramètres!$A$1:$I$89,3,0)*VLOOKUP('Données projet'!$B$11,Paramètres!$A$1:$I$89,5,0)</f>
        <v>125.40528000000006</v>
      </c>
      <c r="BF66" s="14">
        <f t="shared" si="37"/>
        <v>32.932441221531526</v>
      </c>
      <c r="BG66" s="22">
        <f t="shared" si="7"/>
        <v>275.77153112750085</v>
      </c>
      <c r="BH66" s="60">
        <f t="shared" si="8"/>
        <v>538.66786947090691</v>
      </c>
      <c r="BI66" s="60">
        <f ca="1">AVERAGE(OFFSET($BH$3,0,0,'Données projet'!$E$11+1,1))-AVERAGE(OFFSET($H$3,0,0,'Données projet'!$E$11+1,1))</f>
        <v>267.90768140488603</v>
      </c>
      <c r="BJ66" s="60">
        <f t="shared" si="38"/>
        <v>280.25465074992258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IF('Données projet'!$A$114&gt;35,BY65+BX66-CG65,IF(A66&lt;'Données projet'!$A$114,$BV$205^A66,IF(A66='Données projet'!$A$114,'Données projet'!$B$114,BY65+BX66-CG65)))</f>
        <v>198.00000000000009</v>
      </c>
      <c r="BZ66" s="14">
        <f>BY66*VLOOKUP('Données projet'!$B$12,Paramètres!$A$1:$I$89,3,0)*VLOOKUP('Données projet'!$B$12,Paramètres!$A$1:$I$89,5,0)</f>
        <v>160.6176000000001</v>
      </c>
      <c r="CA66" s="14">
        <f t="shared" si="39"/>
        <v>40.981785561145109</v>
      </c>
      <c r="CB66" s="22">
        <f t="shared" si="10"/>
        <v>351.11892985232788</v>
      </c>
      <c r="CC66" s="60">
        <f t="shared" si="11"/>
        <v>614.01526819573405</v>
      </c>
      <c r="CD66" s="60">
        <f ca="1">AVERAGE(OFFSET($CC$3,0,0,'Données projet'!$E$12+1,1))-AVERAGE(OFFSET($H$3,0,0,'Données projet'!$E$12+1,1))</f>
        <v>308.6594206517259</v>
      </c>
      <c r="CE66" s="60">
        <f t="shared" si="40"/>
        <v>258.90832875500325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4.6153846153846132</v>
      </c>
      <c r="CT66" s="13">
        <f>IF('Données projet'!$A$140&gt;35,CT65+CS66-DB65,IF(A66&lt;'Données projet'!$A$140,$CQ$205^A66,IF(A66='Données projet'!$A$140,'Données projet'!$B$140,CT65+CS66-DB65)))</f>
        <v>184.35897435897425</v>
      </c>
      <c r="CU66" s="18">
        <f>CT66*VLOOKUP('Données projet'!$B$13,Paramètres!$A$1:$I$89,3,0)*VLOOKUP('Données projet'!$B$13,Paramètres!$A$1:$I$89,5,0)</f>
        <v>175.43599999999989</v>
      </c>
      <c r="CV66" s="14">
        <f t="shared" si="41"/>
        <v>44.305267494172597</v>
      </c>
      <c r="CW66" s="22">
        <f t="shared" si="13"/>
        <v>382.7160408856837</v>
      </c>
      <c r="CX66" s="60">
        <f t="shared" si="14"/>
        <v>645.61237922908981</v>
      </c>
      <c r="CY66" s="60">
        <f ca="1">AVERAGE(OFFSET($CX$3,0,0,'Données projet'!$E$13+1,1))-AVERAGE(OFFSET($H$3,0,0,'Données projet'!$E$13+1,1))</f>
        <v>397.63792993520934</v>
      </c>
      <c r="CZ66" s="60">
        <f t="shared" si="42"/>
        <v>300.63705521148802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5.1282051282051331</v>
      </c>
      <c r="DO66" s="13">
        <f>IF('Données projet'!$A$166&gt;35,DO65+DN66-DW65,IF(A66&lt;'Données projet'!$A$166,$DL$205^A66,IF(A66='Données projet'!$A$166,'Données projet'!$B$166,DO65+DN66-DW65)))</f>
        <v>230.12820512820511</v>
      </c>
      <c r="DP66" s="18">
        <f>DO66*VLOOKUP('Données projet'!$B$14,Paramètres!$A$1:$I$89,3,0)*VLOOKUP('Données projet'!$B$14,Paramètres!$A$1:$I$89,5,0)</f>
        <v>154.36999999999998</v>
      </c>
      <c r="DQ66" s="14">
        <f t="shared" si="43"/>
        <v>39.570017923578398</v>
      </c>
      <c r="DR66" s="22">
        <f t="shared" si="16"/>
        <v>337.7788645502323</v>
      </c>
      <c r="DS66" s="60">
        <f t="shared" si="17"/>
        <v>600.67520289363847</v>
      </c>
      <c r="DT66" s="60">
        <f ca="1">AVERAGE(OFFSET($DS$3,0,0,'Données projet'!$E$14+1,1))-AVERAGE(OFFSET($H$3,0,0,'Données projet'!$E$14+1,1))</f>
        <v>343.94240546037798</v>
      </c>
      <c r="DU66" s="60">
        <f t="shared" si="44"/>
        <v>277.30931495079346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0.51261187093783034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0.51261187093783034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6.4</v>
      </c>
      <c r="EJ66" s="13">
        <f>IF('Données projet'!$A$192&gt;35,EJ65+EI66-ER65,IF(A66&lt;'Données projet'!$A$192,$EG$205^A66,IF(A66='Données projet'!$A$192,'Données projet'!$B$192,EJ65+EI66-ER65)))</f>
        <v>263.19999999999982</v>
      </c>
      <c r="EK66" s="18">
        <f>EJ66*VLOOKUP('Données projet'!$B$15,Paramètres!$A$1:$I$89,3,0)*VLOOKUP('Données projet'!$B$15,Paramètres!$A$1:$I$89,5,0)</f>
        <v>205.29599999999988</v>
      </c>
      <c r="EL66" s="14">
        <f t="shared" si="45"/>
        <v>50.906291934375353</v>
      </c>
      <c r="EM66" s="22">
        <f t="shared" si="19"/>
        <v>446.21899178570357</v>
      </c>
      <c r="EN66" s="60">
        <f t="shared" si="20"/>
        <v>709.11533012910968</v>
      </c>
      <c r="EO66" s="60">
        <f ca="1">AVERAGE(OFFSET($EN$3,0,0,'Données projet'!$E$15+1,1))-AVERAGE(OFFSET($H$3,0,0,'Données projet'!$E$15+1,1))</f>
        <v>308.76306523144956</v>
      </c>
      <c r="EP66" s="60">
        <f t="shared" si="46"/>
        <v>283.28099819802776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3.2</v>
      </c>
      <c r="FE66" s="13">
        <f>IF('Données projet'!$A$218&gt;35,FE65+FD66-FM65,IF(A66&lt;'Données projet'!$A$218,$FB$205^A66,IF(A66='Données projet'!$A$218,'Données projet'!$B$218,FE65+FD66-FM65)))</f>
        <v>195.59999999999991</v>
      </c>
      <c r="FF66" s="18">
        <f>FE66*VLOOKUP('Données projet'!$B$16,Paramètres!$A$1:$I$89,3,0)*VLOOKUP('Données projet'!$B$16,Paramètres!$A$1:$I$89,5,0)</f>
        <v>170.87615999999994</v>
      </c>
      <c r="FG66" s="14">
        <f t="shared" si="47"/>
        <v>43.286195531301551</v>
      </c>
      <c r="FH66" s="22">
        <f t="shared" si="22"/>
        <v>372.99943588368342</v>
      </c>
      <c r="FI66" s="60">
        <f t="shared" si="23"/>
        <v>635.89577422708953</v>
      </c>
      <c r="FJ66" s="60">
        <f ca="1">AVERAGE(OFFSET($FI$3,0,0,'Données projet'!$E$16+1,1))-AVERAGE(OFFSET($H$3,0,0,'Données projet'!$E$16+1,1))</f>
        <v>296.01124173332352</v>
      </c>
      <c r="FK66" s="60">
        <f t="shared" si="48"/>
        <v>315.50730924873733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6</v>
      </c>
      <c r="FZ66" s="13">
        <f>IF('Données projet'!$A$244&gt;35,FZ65+FY66-GH65,IF(A66&lt;'Données projet'!$A$244,$FW$205^A66,IF(A66='Données projet'!$A$244,'Données projet'!$B$244,FZ65+FY66-GH65)))</f>
        <v>173</v>
      </c>
      <c r="GA66" s="18">
        <f>FZ66*VLOOKUP('Données projet'!$B$17,Paramètres!$A$1:$I$89,3,0)*VLOOKUP('Données projet'!$B$17,Paramètres!$A$1:$I$89,5,0)</f>
        <v>167.32560000000001</v>
      </c>
      <c r="GB66" s="14">
        <f t="shared" si="49"/>
        <v>42.490495297127609</v>
      </c>
      <c r="GC66" s="22">
        <f t="shared" si="25"/>
        <v>365.42969930916388</v>
      </c>
      <c r="GD66" s="60">
        <f t="shared" si="26"/>
        <v>628.32603765256999</v>
      </c>
      <c r="GE66" s="60">
        <f ca="1">AVERAGE(OFFSET($GD$3,0,0,'Données projet'!$E$17+1,1))-AVERAGE(OFFSET($H$3,0,0,'Données projet'!$E$17+1,1))</f>
        <v>391.18744390931187</v>
      </c>
      <c r="GF66" s="60">
        <f t="shared" si="50"/>
        <v>261.46982358454386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0.54641054791957633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0.54641054791957633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7.4</v>
      </c>
      <c r="N67" s="14">
        <f>IF('Données projet'!$A$36&gt;35,N66+M67-V66,IF(A67&lt;'Données projet'!$A$36,$K$205^A67,IF(A67='Données projet'!$A$36,'Données projet'!$B$36,N66+M67-V66)))</f>
        <v>242.60000000000005</v>
      </c>
      <c r="O67" s="14">
        <f>N67*VLOOKUP('Données projet'!$B$9,Paramètres!$A$1:$I$89,3,0)*VLOOKUP('Données projet'!$B$9,Paramètres!$A$1:$I$89,5,0)</f>
        <v>219.50448000000006</v>
      </c>
      <c r="P67" s="14">
        <f t="shared" si="33"/>
        <v>54.007172767040167</v>
      </c>
      <c r="Q67" s="22">
        <f t="shared" ref="Q67:Q98" si="54">(O67+P67)*0.475*44/12</f>
        <v>476.36612856926172</v>
      </c>
      <c r="R67" s="60">
        <f t="shared" ref="R67:R130" si="55">Q67+(I67+J67)*44/12</f>
        <v>739.79048072881642</v>
      </c>
      <c r="S67" s="60">
        <f ca="1">AVERAGE(OFFSET($R$3,0,0,'Données projet'!$E$9+1,1))-AVERAGE(OFFSET($H$3,0,0,'Données projet'!$E$9+1,1))</f>
        <v>469.15492079216403</v>
      </c>
      <c r="T67" s="60">
        <f t="shared" si="34"/>
        <v>250.47702091764884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7.4</v>
      </c>
      <c r="AI67" s="14">
        <f>IF('Données projet'!$A$62&gt;35,AI66+AH67-AQ66,IF(A67&lt;'Données projet'!$A$62,$AF$205^A67,IF(A67='Données projet'!$A$62,'Données projet'!$B$62,AI66+AH67-AQ66)))</f>
        <v>242.60000000000005</v>
      </c>
      <c r="AJ67" s="14">
        <f>AI67*VLOOKUP('Données projet'!$B$10,Paramètres!$A$1:$I$89,3,0)*VLOOKUP('Données projet'!$B$10,Paramètres!$A$1:$I$89,5,0)</f>
        <v>204.36624000000009</v>
      </c>
      <c r="AK67" s="14">
        <f t="shared" si="35"/>
        <v>50.702525713362135</v>
      </c>
      <c r="AL67" s="22">
        <f t="shared" si="4"/>
        <v>444.24476695077254</v>
      </c>
      <c r="AM67" s="60">
        <f t="shared" si="5"/>
        <v>707.6691191103273</v>
      </c>
      <c r="AN67" s="60">
        <f ca="1">AVERAGE(OFFSET($AM$3,0,0,'Données projet'!$E$10+1,1))-AVERAGE(OFFSET($H$3,0,0,'Données projet'!$E$10+1,1))</f>
        <v>442.49274132121275</v>
      </c>
      <c r="AO67" s="60">
        <f t="shared" si="36"/>
        <v>237.37463556402756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4.8</v>
      </c>
      <c r="BD67" s="13">
        <f>IF('Données projet'!$A$88&gt;35,BD66+BC67-BL66,IF(A67&lt;'Données projet'!$A$88,$BA$205^A67,IF(A67='Données projet'!$A$88,'Données projet'!$B$88,BD66+BC67-BL66)))</f>
        <v>196.2000000000001</v>
      </c>
      <c r="BE67" s="14">
        <f>BD67*VLOOKUP('Données projet'!$B$11,Paramètres!$A$1:$I$89,3,0)*VLOOKUP('Données projet'!$B$11,Paramètres!$A$1:$I$89,5,0)</f>
        <v>128.55024000000006</v>
      </c>
      <c r="BF67" s="14">
        <f t="shared" si="37"/>
        <v>33.661144026076698</v>
      </c>
      <c r="BG67" s="22">
        <f t="shared" si="7"/>
        <v>282.51816051208368</v>
      </c>
      <c r="BH67" s="60">
        <f t="shared" si="8"/>
        <v>545.9425126716385</v>
      </c>
      <c r="BI67" s="60">
        <f ca="1">AVERAGE(OFFSET($BH$3,0,0,'Données projet'!$E$11+1,1))-AVERAGE(OFFSET($H$3,0,0,'Données projet'!$E$11+1,1))</f>
        <v>267.90768140488603</v>
      </c>
      <c r="BJ67" s="60">
        <f t="shared" si="38"/>
        <v>280.25465074992258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</v>
      </c>
      <c r="BY67" s="13">
        <f>IF('Données projet'!$A$114&gt;35,BY66+BX67-CG66,IF(A67&lt;'Données projet'!$A$114,$BV$205^A67,IF(A67='Données projet'!$A$114,'Données projet'!$B$114,BY66+BX67-CG66)))</f>
        <v>203.00000000000009</v>
      </c>
      <c r="BZ67" s="14">
        <f>BY67*VLOOKUP('Données projet'!$B$12,Paramètres!$A$1:$I$89,3,0)*VLOOKUP('Données projet'!$B$12,Paramètres!$A$1:$I$89,5,0)</f>
        <v>164.67360000000008</v>
      </c>
      <c r="CA67" s="14">
        <f t="shared" si="39"/>
        <v>41.894886049197019</v>
      </c>
      <c r="CB67" s="22">
        <f t="shared" si="10"/>
        <v>359.77344653568497</v>
      </c>
      <c r="CC67" s="60">
        <f t="shared" si="11"/>
        <v>623.19779869523973</v>
      </c>
      <c r="CD67" s="60">
        <f ca="1">AVERAGE(OFFSET($CC$3,0,0,'Données projet'!$E$12+1,1))-AVERAGE(OFFSET($H$3,0,0,'Données projet'!$E$12+1,1))</f>
        <v>308.6594206517259</v>
      </c>
      <c r="CE67" s="60">
        <f t="shared" si="40"/>
        <v>258.90832875500325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4.6153846153846132</v>
      </c>
      <c r="CT67" s="13">
        <f>IF('Données projet'!$A$140&gt;35,CT66+CS67-DB66,IF(A67&lt;'Données projet'!$A$140,$CQ$205^A67,IF(A67='Données projet'!$A$140,'Données projet'!$B$140,CT66+CS67-DB66)))</f>
        <v>188.97435897435886</v>
      </c>
      <c r="CU67" s="18">
        <f>CT67*VLOOKUP('Données projet'!$B$13,Paramètres!$A$1:$I$89,3,0)*VLOOKUP('Données projet'!$B$13,Paramètres!$A$1:$I$89,5,0)</f>
        <v>179.82799999999989</v>
      </c>
      <c r="CV67" s="14">
        <f t="shared" si="41"/>
        <v>45.283917206572795</v>
      </c>
      <c r="CW67" s="22">
        <f t="shared" si="13"/>
        <v>392.0699224681141</v>
      </c>
      <c r="CX67" s="60">
        <f t="shared" si="14"/>
        <v>655.4942746276688</v>
      </c>
      <c r="CY67" s="60">
        <f ca="1">AVERAGE(OFFSET($CX$3,0,0,'Données projet'!$E$13+1,1))-AVERAGE(OFFSET($H$3,0,0,'Données projet'!$E$13+1,1))</f>
        <v>397.63792993520934</v>
      </c>
      <c r="CZ67" s="60">
        <f t="shared" si="42"/>
        <v>300.63705521148802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5.1282051282051331</v>
      </c>
      <c r="DO67" s="13">
        <f>IF('Données projet'!$A$166&gt;35,DO66+DN67-DW66,IF(A67&lt;'Données projet'!$A$166,$DL$205^A67,IF(A67='Données projet'!$A$166,'Données projet'!$B$166,DO66+DN67-DW66)))</f>
        <v>235.25641025641025</v>
      </c>
      <c r="DP67" s="18">
        <f>DO67*VLOOKUP('Données projet'!$B$14,Paramètres!$A$1:$I$89,3,0)*VLOOKUP('Données projet'!$B$14,Paramètres!$A$1:$I$89,5,0)</f>
        <v>157.81</v>
      </c>
      <c r="DQ67" s="14">
        <f t="shared" si="43"/>
        <v>40.348159279539125</v>
      </c>
      <c r="DR67" s="22">
        <f t="shared" si="16"/>
        <v>345.12546074519736</v>
      </c>
      <c r="DS67" s="60">
        <f t="shared" si="17"/>
        <v>608.54981290475212</v>
      </c>
      <c r="DT67" s="60">
        <f ca="1">AVERAGE(OFFSET($DS$3,0,0,'Données projet'!$E$14+1,1))-AVERAGE(OFFSET($H$3,0,0,'Données projet'!$E$14+1,1))</f>
        <v>343.94240546037798</v>
      </c>
      <c r="DU67" s="60">
        <f t="shared" si="44"/>
        <v>277.30931495079346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0.49859447236994864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0.49859447236994864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6.4</v>
      </c>
      <c r="EJ67" s="13">
        <f>IF('Données projet'!$A$192&gt;35,EJ66+EI67-ER66,IF(A67&lt;'Données projet'!$A$192,$EG$205^A67,IF(A67='Données projet'!$A$192,'Données projet'!$B$192,EJ66+EI67-ER66)))</f>
        <v>269.5999999999998</v>
      </c>
      <c r="EK67" s="18">
        <f>EJ67*VLOOKUP('Données projet'!$B$15,Paramètres!$A$1:$I$89,3,0)*VLOOKUP('Données projet'!$B$15,Paramètres!$A$1:$I$89,5,0)</f>
        <v>210.28799999999984</v>
      </c>
      <c r="EL67" s="14">
        <f t="shared" si="45"/>
        <v>51.998515923525652</v>
      </c>
      <c r="EM67" s="22">
        <f t="shared" si="19"/>
        <v>456.81568190014019</v>
      </c>
      <c r="EN67" s="60">
        <f t="shared" si="20"/>
        <v>720.24003405969495</v>
      </c>
      <c r="EO67" s="60">
        <f ca="1">AVERAGE(OFFSET($EN$3,0,0,'Données projet'!$E$15+1,1))-AVERAGE(OFFSET($H$3,0,0,'Données projet'!$E$15+1,1))</f>
        <v>308.76306523144956</v>
      </c>
      <c r="EP67" s="60">
        <f t="shared" si="46"/>
        <v>283.28099819802776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3.2</v>
      </c>
      <c r="FE67" s="13">
        <f>IF('Données projet'!$A$218&gt;35,FE66+FD67-FM66,IF(A67&lt;'Données projet'!$A$218,$FB$205^A67,IF(A67='Données projet'!$A$218,'Données projet'!$B$218,FE66+FD67-FM66)))</f>
        <v>198.7999999999999</v>
      </c>
      <c r="FF67" s="18">
        <f>FE67*VLOOKUP('Données projet'!$B$16,Paramètres!$A$1:$I$89,3,0)*VLOOKUP('Données projet'!$B$16,Paramètres!$A$1:$I$89,5,0)</f>
        <v>173.67167999999995</v>
      </c>
      <c r="FG67" s="14">
        <f t="shared" si="47"/>
        <v>43.911332296264369</v>
      </c>
      <c r="FH67" s="22">
        <f t="shared" si="22"/>
        <v>378.95707974932702</v>
      </c>
      <c r="FI67" s="60">
        <f t="shared" si="23"/>
        <v>642.38143190888172</v>
      </c>
      <c r="FJ67" s="60">
        <f ca="1">AVERAGE(OFFSET($FI$3,0,0,'Données projet'!$E$16+1,1))-AVERAGE(OFFSET($H$3,0,0,'Données projet'!$E$16+1,1))</f>
        <v>296.01124173332352</v>
      </c>
      <c r="FK67" s="60">
        <f t="shared" si="48"/>
        <v>315.50730924873733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</v>
      </c>
      <c r="FZ67" s="13">
        <f>IF('Données projet'!$A$244&gt;35,FZ66+FY67-GH66,IF(A67&lt;'Données projet'!$A$244,$FW$205^A67,IF(A67='Données projet'!$A$244,'Données projet'!$B$244,FZ66+FY67-GH66)))</f>
        <v>179</v>
      </c>
      <c r="GA67" s="18">
        <f>FZ67*VLOOKUP('Données projet'!$B$17,Paramètres!$A$1:$I$89,3,0)*VLOOKUP('Données projet'!$B$17,Paramètres!$A$1:$I$89,5,0)</f>
        <v>173.12880000000001</v>
      </c>
      <c r="GB67" s="14">
        <f t="shared" si="49"/>
        <v>43.790025187181634</v>
      </c>
      <c r="GC67" s="22">
        <f t="shared" si="25"/>
        <v>377.80028720100808</v>
      </c>
      <c r="GD67" s="60">
        <f t="shared" si="26"/>
        <v>641.22463936056283</v>
      </c>
      <c r="GE67" s="60">
        <f ca="1">AVERAGE(OFFSET($GD$3,0,0,'Données projet'!$E$17+1,1))-AVERAGE(OFFSET($H$3,0,0,'Données projet'!$E$17+1,1))</f>
        <v>391.18744390931187</v>
      </c>
      <c r="GF67" s="60">
        <f t="shared" si="50"/>
        <v>261.46982358454386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0.53146892275223367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0.53146892275223367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7.4</v>
      </c>
      <c r="M68" s="13">
        <f t="array" ref="M68">INDEX(L:L,MIN(IF(ISNUMBER(L68:L264),ROW(L68:L264),"")))</f>
        <v>7.4</v>
      </c>
      <c r="N68" s="14">
        <f>IF('Données projet'!$A$36&gt;35,N67+M68-V67,IF(A68&lt;'Données projet'!$A$36,$K$205^A68,IF(A68='Données projet'!$A$36,'Données projet'!$B$36,N67+M68-V67)))</f>
        <v>250.00000000000006</v>
      </c>
      <c r="O68" s="14">
        <f>N68*VLOOKUP('Données projet'!$B$9,Paramètres!$A$1:$I$89,3,0)*VLOOKUP('Données projet'!$B$9,Paramètres!$A$1:$I$89,5,0)</f>
        <v>226.20000000000005</v>
      </c>
      <c r="P68" s="14">
        <f t="shared" si="33"/>
        <v>55.460237717698156</v>
      </c>
      <c r="Q68" s="22">
        <f t="shared" si="54"/>
        <v>490.55824735832431</v>
      </c>
      <c r="R68" s="60">
        <f t="shared" si="55"/>
        <v>754.50145347477951</v>
      </c>
      <c r="S68" s="60">
        <f ca="1">AVERAGE(OFFSET($R$3,0,0,'Données projet'!$E$9+1,1))-AVERAGE(OFFSET($H$3,0,0,'Données projet'!$E$9+1,1))</f>
        <v>469.15492079216403</v>
      </c>
      <c r="T68" s="60">
        <f t="shared" si="34"/>
        <v>250.47702091764884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7.4</v>
      </c>
      <c r="AH68" s="13">
        <f t="array" ref="AH68">INDEX(AG:AG,MIN(IF(ISNUMBER(AG68:AG264),ROW(AG68:AG264),"")))</f>
        <v>7.4</v>
      </c>
      <c r="AI68" s="14">
        <f>IF('Données projet'!$A$62&gt;35,AI67+AH68-AQ67,IF(A68&lt;'Données projet'!$A$62,$AF$205^A68,IF(A68='Données projet'!$A$62,'Données projet'!$B$62,AI67+AH68-AQ67)))</f>
        <v>250.00000000000006</v>
      </c>
      <c r="AJ68" s="14">
        <f>AI68*VLOOKUP('Données projet'!$B$10,Paramètres!$A$1:$I$89,3,0)*VLOOKUP('Données projet'!$B$10,Paramètres!$A$1:$I$89,5,0)</f>
        <v>210.60000000000005</v>
      </c>
      <c r="AK68" s="14">
        <f t="shared" si="35"/>
        <v>52.066679014660011</v>
      </c>
      <c r="AL68" s="22">
        <f t="shared" ref="AL68:AL131" si="58">(AJ68+AK68)*0.475*44/12</f>
        <v>457.47779928386626</v>
      </c>
      <c r="AM68" s="60">
        <f t="shared" ref="AM68:AM131" si="59">AL68+(AD68+AE68)*44/12</f>
        <v>721.42100540032152</v>
      </c>
      <c r="AN68" s="60">
        <f ca="1">AVERAGE(OFFSET($AM$3,0,0,'Données projet'!$E$10+1,1))-AVERAGE(OFFSET($H$3,0,0,'Données projet'!$E$10+1,1))</f>
        <v>442.49274132121275</v>
      </c>
      <c r="AO68" s="60">
        <f t="shared" si="36"/>
        <v>237.37463556402756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201</v>
      </c>
      <c r="BB68" s="13">
        <f>VLOOKUP(A68,'Données projet'!$A$87:$I$107,9,0)</f>
        <v>4.8</v>
      </c>
      <c r="BC68" s="13">
        <f t="array" ref="BC68">INDEX(BB:BB,MIN(IF(ISNUMBER(BB68:BB264),ROW(BB68:BB264),"")))</f>
        <v>4.8</v>
      </c>
      <c r="BD68" s="13">
        <f>IF('Données projet'!$A$88&gt;35,BD67+BC68-BL67,IF(A68&lt;'Données projet'!$A$88,$BA$205^A68,IF(A68='Données projet'!$A$88,'Données projet'!$B$88,BD67+BC68-BL67)))</f>
        <v>201.00000000000011</v>
      </c>
      <c r="BE68" s="14">
        <f>BD68*VLOOKUP('Données projet'!$B$11,Paramètres!$A$1:$I$89,3,0)*VLOOKUP('Données projet'!$B$11,Paramètres!$A$1:$I$89,5,0)</f>
        <v>131.69520000000009</v>
      </c>
      <c r="BF68" s="14">
        <f t="shared" si="37"/>
        <v>34.387774432362271</v>
      </c>
      <c r="BG68" s="22">
        <f t="shared" ref="BG68:BG131" si="61">(BE68+BF68)*0.475*44/12</f>
        <v>289.26118046969776</v>
      </c>
      <c r="BH68" s="60">
        <f t="shared" ref="BH68:BH131" si="62">BG68+(AY68+AZ68)*44/12</f>
        <v>553.20438658615296</v>
      </c>
      <c r="BI68" s="60">
        <f ca="1">AVERAGE(OFFSET($BH$3,0,0,'Données projet'!$E$11+1,1))-AVERAGE(OFFSET($H$3,0,0,'Données projet'!$E$11+1,1))</f>
        <v>267.90768140488603</v>
      </c>
      <c r="BJ68" s="60">
        <f t="shared" si="38"/>
        <v>280.25465074992258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208</v>
      </c>
      <c r="BW68" s="13">
        <f>VLOOKUP(A68,'Données projet'!$A$113:$I$133,9,0)</f>
        <v>5</v>
      </c>
      <c r="BX68" s="13">
        <f t="array" ref="BX68">INDEX(BW:BW,MIN(IF(ISNUMBER(BW68:BW264),ROW(BW68:BW264),"")))</f>
        <v>5</v>
      </c>
      <c r="BY68" s="13">
        <f>IF('Données projet'!$A$114&gt;35,BY67+BX68-CG67,IF(A68&lt;'Données projet'!$A$114,$BV$205^A68,IF(A68='Données projet'!$A$114,'Données projet'!$B$114,BY67+BX68-CG67)))</f>
        <v>208.00000000000009</v>
      </c>
      <c r="BZ68" s="14">
        <f>BY68*VLOOKUP('Données projet'!$B$12,Paramètres!$A$1:$I$89,3,0)*VLOOKUP('Données projet'!$B$12,Paramètres!$A$1:$I$89,5,0)</f>
        <v>168.72960000000009</v>
      </c>
      <c r="CA68" s="14">
        <f t="shared" si="39"/>
        <v>42.805372152385111</v>
      </c>
      <c r="CB68" s="22">
        <f t="shared" ref="CB68:CB131" si="64">(BZ68+CA68)*0.475*44/12</f>
        <v>368.42340983207083</v>
      </c>
      <c r="CC68" s="60">
        <f t="shared" ref="CC68:CC131" si="65">CB68+(BT68+BU68)*44/12</f>
        <v>632.36661594852603</v>
      </c>
      <c r="CD68" s="60">
        <f ca="1">AVERAGE(OFFSET($CC$3,0,0,'Données projet'!$E$12+1,1))-AVERAGE(OFFSET($H$3,0,0,'Données projet'!$E$12+1,1))</f>
        <v>308.6594206517259</v>
      </c>
      <c r="CE68" s="60">
        <f t="shared" si="40"/>
        <v>258.90832875500325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193.58974358974359</v>
      </c>
      <c r="CR68" s="13">
        <f>VLOOKUP(A68,'Données projet'!$A$139:$I$159,9,0)</f>
        <v>4.6153846153846132</v>
      </c>
      <c r="CS68" s="13">
        <f t="array" ref="CS68">INDEX(CR:CR,MIN(IF(ISNUMBER(CR68:CR264),ROW(CR68:CR264),"")))</f>
        <v>4.6153846153846132</v>
      </c>
      <c r="CT68" s="13">
        <f>IF('Données projet'!$A$140&gt;35,CT67+CS68-DB67,IF(A68&lt;'Données projet'!$A$140,$CQ$205^A68,IF(A68='Données projet'!$A$140,'Données projet'!$B$140,CT67+CS68-DB67)))</f>
        <v>193.58974358974348</v>
      </c>
      <c r="CU68" s="18">
        <f>CT68*VLOOKUP('Données projet'!$B$13,Paramètres!$A$1:$I$89,3,0)*VLOOKUP('Données projet'!$B$13,Paramètres!$A$1:$I$89,5,0)</f>
        <v>184.21999999999989</v>
      </c>
      <c r="CV68" s="14">
        <f t="shared" si="41"/>
        <v>46.259788397695985</v>
      </c>
      <c r="CW68" s="22">
        <f t="shared" ref="CW68:CW131" si="67">(CU68+CV68)*0.475*44/12</f>
        <v>401.41896479265364</v>
      </c>
      <c r="CX68" s="60">
        <f t="shared" ref="CX68:CX131" si="68">CW68+(CO68+CP68)*44/12</f>
        <v>665.36217090910884</v>
      </c>
      <c r="CY68" s="60">
        <f ca="1">AVERAGE(OFFSET($CX$3,0,0,'Données projet'!$E$13+1,1))-AVERAGE(OFFSET($H$3,0,0,'Données projet'!$E$13+1,1))</f>
        <v>397.63792993520934</v>
      </c>
      <c r="CZ68" s="60">
        <f t="shared" si="42"/>
        <v>300.63705521148802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240.38461538461539</v>
      </c>
      <c r="DM68" s="13">
        <f>VLOOKUP(A68,'Données projet'!$A$165:$I$185,9,0)</f>
        <v>5.1282051282051331</v>
      </c>
      <c r="DN68" s="13">
        <f t="array" ref="DN68">INDEX(DM:DM,MIN(IF(ISNUMBER(DM68:DM264),ROW(DM68:DM264),"")))</f>
        <v>5.1282051282051331</v>
      </c>
      <c r="DO68" s="13">
        <f>IF('Données projet'!$A$166&gt;35,DO67+DN68-DW67,IF(A68&lt;'Données projet'!$A$166,$DL$205^A68,IF(A68='Données projet'!$A$166,'Données projet'!$B$166,DO67+DN68-DW67)))</f>
        <v>240.38461538461539</v>
      </c>
      <c r="DP68" s="18">
        <f>DO68*VLOOKUP('Données projet'!$B$14,Paramètres!$A$1:$I$89,3,0)*VLOOKUP('Données projet'!$B$14,Paramètres!$A$1:$I$89,5,0)</f>
        <v>161.25</v>
      </c>
      <c r="DQ68" s="14">
        <f t="shared" si="43"/>
        <v>41.124328571986396</v>
      </c>
      <c r="DR68" s="22">
        <f t="shared" ref="DR68:DR131" si="70">(DP68+DQ68)*0.475*44/12</f>
        <v>352.46862226287629</v>
      </c>
      <c r="DS68" s="60">
        <f t="shared" ref="DS68:DS131" si="71">DR68+(DJ68+DK68)*44/12</f>
        <v>616.4118283793315</v>
      </c>
      <c r="DT68" s="60">
        <f ca="1">AVERAGE(OFFSET($DS$3,0,0,'Données projet'!$E$14+1,1))-AVERAGE(OFFSET($H$3,0,0,'Données projet'!$E$14+1,1))</f>
        <v>343.94240546037798</v>
      </c>
      <c r="DU68" s="60">
        <f t="shared" si="44"/>
        <v>277.30931495079346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0.48496038030304867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0.48496038030304867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276</v>
      </c>
      <c r="EH68" s="13">
        <f>VLOOKUP(A68,'Données projet'!$A$191:$I$211,9,0)</f>
        <v>6.4</v>
      </c>
      <c r="EI68" s="13">
        <f t="array" ref="EI68">INDEX(EH:EH,MIN(IF(ISNUMBER(EH68:EH264),ROW(EH68:EH264),"")))</f>
        <v>6.4</v>
      </c>
      <c r="EJ68" s="13">
        <f>IF('Données projet'!$A$192&gt;35,EJ67+EI68-ER67,IF(A68&lt;'Données projet'!$A$192,$EG$205^A68,IF(A68='Données projet'!$A$192,'Données projet'!$B$192,EJ67+EI68-ER67)))</f>
        <v>275.99999999999977</v>
      </c>
      <c r="EK68" s="18">
        <f>EJ68*VLOOKUP('Données projet'!$B$15,Paramètres!$A$1:$I$89,3,0)*VLOOKUP('Données projet'!$B$15,Paramètres!$A$1:$I$89,5,0)</f>
        <v>215.27999999999983</v>
      </c>
      <c r="EL68" s="14">
        <f t="shared" si="45"/>
        <v>53.087725740853138</v>
      </c>
      <c r="EM68" s="22">
        <f t="shared" ref="EM68:EM131" si="73">(EK68+EL68)*0.475*44/12</f>
        <v>467.40712233198559</v>
      </c>
      <c r="EN68" s="60">
        <f t="shared" ref="EN68:EN131" si="74">EM68+(EE68+EF68)*44/12</f>
        <v>731.35032844844079</v>
      </c>
      <c r="EO68" s="60">
        <f ca="1">AVERAGE(OFFSET($EN$3,0,0,'Données projet'!$E$15+1,1))-AVERAGE(OFFSET($H$3,0,0,'Données projet'!$E$15+1,1))</f>
        <v>308.76306523144956</v>
      </c>
      <c r="EP68" s="60">
        <f t="shared" si="46"/>
        <v>283.28099819802776</v>
      </c>
      <c r="EQ68" s="16">
        <f>IF(ISNA(VLOOKUP(A68,'Données projet'!$A$191:$I$211,3,0)),0,VLOOKUP(A68,'Données projet'!$A$191:$I$211,3,0))</f>
        <v>9</v>
      </c>
      <c r="ER68" s="16">
        <f>IF(ISNA(VLOOKUP(A68,'Données projet'!$A$191:$I$211,4,0)),0,VLOOKUP(A68,'Données projet'!$A$191:$I$211,4,0))</f>
        <v>26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202</v>
      </c>
      <c r="FC68" s="13">
        <f>VLOOKUP(A68,'Données projet'!$A$217:$I$237,9,0)</f>
        <v>3.2</v>
      </c>
      <c r="FD68" s="13">
        <f t="array" ref="FD68">INDEX(FC:FC,MIN(IF(ISNUMBER(FC68:FC264),ROW(FC68:FC264),"")))</f>
        <v>3.2</v>
      </c>
      <c r="FE68" s="13">
        <f>IF('Données projet'!$A$218&gt;35,FE67+FD68-FM67,IF(A68&lt;'Données projet'!$A$218,$FB$205^A68,IF(A68='Données projet'!$A$218,'Données projet'!$B$218,FE67+FD68-FM67)))</f>
        <v>201.99999999999989</v>
      </c>
      <c r="FF68" s="18">
        <f>FE68*VLOOKUP('Données projet'!$B$16,Paramètres!$A$1:$I$89,3,0)*VLOOKUP('Données projet'!$B$16,Paramètres!$A$1:$I$89,5,0)</f>
        <v>176.46719999999993</v>
      </c>
      <c r="FG68" s="14">
        <f t="shared" si="47"/>
        <v>44.535298821989393</v>
      </c>
      <c r="FH68" s="22">
        <f t="shared" ref="FH68:FH131" si="76">(FF68+FG68)*0.475*44/12</f>
        <v>384.91268544829808</v>
      </c>
      <c r="FI68" s="60">
        <f t="shared" ref="FI68:FI131" si="77">FH68+(EZ68+FA68)*44/12</f>
        <v>648.85589156475328</v>
      </c>
      <c r="FJ68" s="60">
        <f ca="1">AVERAGE(OFFSET($FI$3,0,0,'Données projet'!$E$16+1,1))-AVERAGE(OFFSET($H$3,0,0,'Données projet'!$E$16+1,1))</f>
        <v>296.01124173332352</v>
      </c>
      <c r="FK68" s="60">
        <f t="shared" si="48"/>
        <v>315.50730924873733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185</v>
      </c>
      <c r="FX68" s="13">
        <f>VLOOKUP(A68,'Données projet'!$A$243:$I$263,9,0)</f>
        <v>6</v>
      </c>
      <c r="FY68" s="13">
        <f t="array" ref="FY68">INDEX(FX:FX,MIN(IF(ISNUMBER(FX68:FX264),ROW(FX68:FX264),"")))</f>
        <v>6</v>
      </c>
      <c r="FZ68" s="13">
        <f>IF('Données projet'!$A$244&gt;35,FZ67+FY68-GH67,IF(A68&lt;'Données projet'!$A$244,$FW$205^A68,IF(A68='Données projet'!$A$244,'Données projet'!$B$244,FZ67+FY68-GH67)))</f>
        <v>185</v>
      </c>
      <c r="GA68" s="18">
        <f>FZ68*VLOOKUP('Données projet'!$B$17,Paramètres!$A$1:$I$89,3,0)*VLOOKUP('Données projet'!$B$17,Paramètres!$A$1:$I$89,5,0)</f>
        <v>178.93200000000002</v>
      </c>
      <c r="GB68" s="14">
        <f t="shared" si="49"/>
        <v>45.084493609959594</v>
      </c>
      <c r="GC68" s="22">
        <f t="shared" ref="GC68:GC131" si="79">(GA68+GB68)*0.475*44/12</f>
        <v>390.16205970401296</v>
      </c>
      <c r="GD68" s="60">
        <f t="shared" ref="GD68:GD131" si="80">GC68+(FU68+FV68)*44/12</f>
        <v>654.10526582046816</v>
      </c>
      <c r="GE68" s="60">
        <f ca="1">AVERAGE(OFFSET($GD$3,0,0,'Données projet'!$E$17+1,1))-AVERAGE(OFFSET($H$3,0,0,'Données projet'!$E$17+1,1))</f>
        <v>391.18744390931187</v>
      </c>
      <c r="GF68" s="60">
        <f t="shared" si="50"/>
        <v>261.46982358454386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0.51693587711083788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0.51693587711083788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6.5</v>
      </c>
      <c r="N69" s="14">
        <f>IF('Données projet'!$A$36&gt;35,N68+M69-V68,IF(A69&lt;'Données projet'!$A$36,$K$205^A69,IF(A69='Données projet'!$A$36,'Données projet'!$B$36,N68+M69-V68)))</f>
        <v>214.50000000000006</v>
      </c>
      <c r="O69" s="14">
        <f>N69*VLOOKUP('Données projet'!$B$9,Paramètres!$A$1:$I$89,3,0)*VLOOKUP('Données projet'!$B$9,Paramètres!$A$1:$I$89,5,0)</f>
        <v>194.07960000000006</v>
      </c>
      <c r="P69" s="14">
        <f t="shared" ref="P69:P132" si="87">EXP(-1.0587+0.8836*LN(O69)+0.284)</f>
        <v>48.440776285484404</v>
      </c>
      <c r="Q69" s="22">
        <f t="shared" si="54"/>
        <v>422.38965536388542</v>
      </c>
      <c r="R69" s="60">
        <f t="shared" si="55"/>
        <v>686.84271448107256</v>
      </c>
      <c r="S69" s="60">
        <f ca="1">AVERAGE(OFFSET($R$3,0,0,'Données projet'!$E$9+1,1))-AVERAGE(OFFSET($H$3,0,0,'Données projet'!$E$9+1,1))</f>
        <v>469.15492079216403</v>
      </c>
      <c r="T69" s="60">
        <f t="shared" ref="T69:T132" si="88">$T$3</f>
        <v>250.47702091764884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6.5</v>
      </c>
      <c r="AI69" s="14">
        <f>IF('Données projet'!$A$62&gt;35,AI68+AH69-AQ68,IF(A69&lt;'Données projet'!$A$62,$AF$205^A69,IF(A69='Données projet'!$A$62,'Données projet'!$B$62,AI68+AH69-AQ68)))</f>
        <v>214.50000000000006</v>
      </c>
      <c r="AJ69" s="14">
        <f>AI69*VLOOKUP('Données projet'!$B$10,Paramètres!$A$1:$I$89,3,0)*VLOOKUP('Données projet'!$B$10,Paramètres!$A$1:$I$89,5,0)</f>
        <v>180.69480000000007</v>
      </c>
      <c r="AK69" s="14">
        <f t="shared" ref="AK69:AK132" si="89">EXP(-1.0587+0.8836*LN(AJ69)+0.284)</f>
        <v>45.47673168866379</v>
      </c>
      <c r="AL69" s="22">
        <f t="shared" si="58"/>
        <v>393.91541769108954</v>
      </c>
      <c r="AM69" s="60">
        <f t="shared" si="59"/>
        <v>658.36847680827668</v>
      </c>
      <c r="AN69" s="60">
        <f ca="1">AVERAGE(OFFSET($AM$3,0,0,'Données projet'!$E$10+1,1))-AVERAGE(OFFSET($H$3,0,0,'Données projet'!$E$10+1,1))</f>
        <v>442.49274132121275</v>
      </c>
      <c r="AO69" s="60">
        <f t="shared" ref="AO69:AO132" si="90">$AO$3</f>
        <v>237.37463556402756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205.40000000000012</v>
      </c>
      <c r="BE69" s="14">
        <f>BD69*VLOOKUP('Données projet'!$B$11,Paramètres!$A$1:$I$89,3,0)*VLOOKUP('Données projet'!$B$11,Paramètres!$A$1:$I$89,5,0)</f>
        <v>134.57808000000009</v>
      </c>
      <c r="BF69" s="14">
        <f t="shared" ref="BF69:BF132" si="91">EXP(-1.0587+0.8836*LN(BE69)+0.284)</f>
        <v>35.052078941231564</v>
      </c>
      <c r="BG69" s="22">
        <f t="shared" si="61"/>
        <v>295.43919348931178</v>
      </c>
      <c r="BH69" s="60">
        <f t="shared" si="62"/>
        <v>559.89225260649891</v>
      </c>
      <c r="BI69" s="60">
        <f ca="1">AVERAGE(OFFSET($BH$3,0,0,'Données projet'!$E$11+1,1))-AVERAGE(OFFSET($H$3,0,0,'Données projet'!$E$11+1,1))</f>
        <v>267.90768140488603</v>
      </c>
      <c r="BJ69" s="60">
        <f t="shared" ref="BJ69:BJ132" si="92">$BJ$3</f>
        <v>280.25465074992258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</v>
      </c>
      <c r="BY69" s="13">
        <f>IF('Données projet'!$A$114&gt;35,BY68+BX69-CG68,IF(A69&lt;'Données projet'!$A$114,$BV$205^A69,IF(A69='Données projet'!$A$114,'Données projet'!$B$114,BY68+BX69-CG68)))</f>
        <v>212.8000000000001</v>
      </c>
      <c r="BZ69" s="14">
        <f>BY69*VLOOKUP('Données projet'!$B$12,Paramètres!$A$1:$I$89,3,0)*VLOOKUP('Données projet'!$B$12,Paramètres!$A$1:$I$89,5,0)</f>
        <v>172.62336000000008</v>
      </c>
      <c r="CA69" s="14">
        <f t="shared" ref="CA69:CA132" si="93">EXP(-1.0587+0.8836*LN(BZ69)+0.284)</f>
        <v>43.677044279986113</v>
      </c>
      <c r="CB69" s="22">
        <f t="shared" si="64"/>
        <v>376.72320412097588</v>
      </c>
      <c r="CC69" s="60">
        <f t="shared" si="65"/>
        <v>641.17626323816296</v>
      </c>
      <c r="CD69" s="60">
        <f ca="1">AVERAGE(OFFSET($CC$3,0,0,'Données projet'!$E$12+1,1))-AVERAGE(OFFSET($H$3,0,0,'Données projet'!$E$12+1,1))</f>
        <v>308.6594206517259</v>
      </c>
      <c r="CE69" s="60">
        <f t="shared" ref="CE69:CE132" si="94">$CE$3</f>
        <v>258.90832875500325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197.94871794871784</v>
      </c>
      <c r="CU69" s="18">
        <f>CT69*VLOOKUP('Données projet'!$B$13,Paramètres!$A$1:$I$89,3,0)*VLOOKUP('Données projet'!$B$13,Paramètres!$A$1:$I$89,5,0)</f>
        <v>188.36799999999991</v>
      </c>
      <c r="CV69" s="14">
        <f t="shared" ref="CV69:CV132" si="95">EXP(-1.0587+0.8836*LN(CU69)+0.284)</f>
        <v>47.17895987093894</v>
      </c>
      <c r="CW69" s="22">
        <f t="shared" si="67"/>
        <v>410.24428844188515</v>
      </c>
      <c r="CX69" s="60">
        <f t="shared" si="68"/>
        <v>674.69734755907223</v>
      </c>
      <c r="CY69" s="60">
        <f ca="1">AVERAGE(OFFSET($CX$3,0,0,'Données projet'!$E$13+1,1))-AVERAGE(OFFSET($H$3,0,0,'Données projet'!$E$13+1,1))</f>
        <v>397.63792993520934</v>
      </c>
      <c r="CZ69" s="60">
        <f t="shared" ref="CZ69:CZ132" si="96">$CZ$3</f>
        <v>300.63705521148802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4.9999999999999947</v>
      </c>
      <c r="DO69" s="13">
        <f>IF('Données projet'!$A$166&gt;35,DO68+DN69-DW68,IF(A69&lt;'Données projet'!$A$166,$DL$205^A69,IF(A69='Données projet'!$A$166,'Données projet'!$B$166,DO68+DN69-DW68)))</f>
        <v>245.38461538461539</v>
      </c>
      <c r="DP69" s="18">
        <f>DO69*VLOOKUP('Données projet'!$B$14,Paramètres!$A$1:$I$89,3,0)*VLOOKUP('Données projet'!$B$14,Paramètres!$A$1:$I$89,5,0)</f>
        <v>164.60400000000001</v>
      </c>
      <c r="DQ69" s="14">
        <f t="shared" ref="DQ69:DQ132" si="97">EXP(-1.0587+0.8836*LN(DP69)+0.284)</f>
        <v>41.879239712742802</v>
      </c>
      <c r="DR69" s="22">
        <f t="shared" si="70"/>
        <v>359.62497583302707</v>
      </c>
      <c r="DS69" s="60">
        <f t="shared" si="71"/>
        <v>624.07803495021415</v>
      </c>
      <c r="DT69" s="60">
        <f ca="1">AVERAGE(OFFSET($DS$3,0,0,'Données projet'!$E$14+1,1))-AVERAGE(OFFSET($H$3,0,0,'Données projet'!$E$14+1,1))</f>
        <v>343.94240546037798</v>
      </c>
      <c r="DU69" s="60">
        <f t="shared" ref="DU69:DU132" si="98">$DU$3</f>
        <v>277.30931495079346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0.47169911320070379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0.47169911320070379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</v>
      </c>
      <c r="EJ69" s="13">
        <f>IF('Données projet'!$A$192&gt;35,EJ68+EI69-ER68,IF(A69&lt;'Données projet'!$A$192,$EG$205^A69,IF(A69='Données projet'!$A$192,'Données projet'!$B$192,EJ68+EI69-ER68)))</f>
        <v>255.99999999999977</v>
      </c>
      <c r="EK69" s="18">
        <f>EJ69*VLOOKUP('Données projet'!$B$15,Paramètres!$A$1:$I$89,3,0)*VLOOKUP('Données projet'!$B$15,Paramètres!$A$1:$I$89,5,0)</f>
        <v>199.67999999999984</v>
      </c>
      <c r="EL69" s="14">
        <f t="shared" ref="EL69:EL132" si="99">EXP(-1.0587+0.8836*LN(EK69)+0.284)</f>
        <v>49.673834858130768</v>
      </c>
      <c r="EM69" s="22">
        <f t="shared" si="73"/>
        <v>434.29126237791075</v>
      </c>
      <c r="EN69" s="60">
        <f t="shared" si="74"/>
        <v>698.74432149509789</v>
      </c>
      <c r="EO69" s="60">
        <f ca="1">AVERAGE(OFFSET($EN$3,0,0,'Données projet'!$E$15+1,1))-AVERAGE(OFFSET($H$3,0,0,'Données projet'!$E$15+1,1))</f>
        <v>308.76306523144956</v>
      </c>
      <c r="EP69" s="60">
        <f t="shared" ref="EP69:EP132" si="100">$EP$3</f>
        <v>283.28099819802776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</v>
      </c>
      <c r="FE69" s="13">
        <f>IF('Données projet'!$A$218&gt;35,FE68+FD69-FM68,IF(A69&lt;'Données projet'!$A$218,$FB$205^A69,IF(A69='Données projet'!$A$218,'Données projet'!$B$218,FE68+FD69-FM68)))</f>
        <v>204.99999999999989</v>
      </c>
      <c r="FF69" s="18">
        <f>FE69*VLOOKUP('Données projet'!$B$16,Paramètres!$A$1:$I$89,3,0)*VLOOKUP('Données projet'!$B$16,Paramètres!$A$1:$I$89,5,0)</f>
        <v>179.08799999999991</v>
      </c>
      <c r="FG69" s="14">
        <f t="shared" ref="FG69:FG132" si="101">EXP(-1.0587+0.8836*LN(FF69)+0.284)</f>
        <v>45.119223023956835</v>
      </c>
      <c r="FH69" s="22">
        <f t="shared" si="76"/>
        <v>390.49424676672464</v>
      </c>
      <c r="FI69" s="60">
        <f t="shared" si="77"/>
        <v>654.94730588391167</v>
      </c>
      <c r="FJ69" s="60">
        <f ca="1">AVERAGE(OFFSET($FI$3,0,0,'Données projet'!$E$16+1,1))-AVERAGE(OFFSET($H$3,0,0,'Données projet'!$E$16+1,1))</f>
        <v>296.01124173332352</v>
      </c>
      <c r="FK69" s="60">
        <f t="shared" ref="FK69:FK132" si="102">$FK$3</f>
        <v>315.50730924873733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5.6</v>
      </c>
      <c r="FZ69" s="13">
        <f>IF('Données projet'!$A$244&gt;35,FZ68+FY69-GH68,IF(A69&lt;'Données projet'!$A$244,$FW$205^A69,IF(A69='Données projet'!$A$244,'Données projet'!$B$244,FZ68+FY69-GH68)))</f>
        <v>190.6</v>
      </c>
      <c r="GA69" s="18">
        <f>FZ69*VLOOKUP('Données projet'!$B$17,Paramètres!$A$1:$I$89,3,0)*VLOOKUP('Données projet'!$B$17,Paramètres!$A$1:$I$89,5,0)</f>
        <v>184.34832</v>
      </c>
      <c r="GB69" s="14">
        <f t="shared" ref="GB69:GB132" si="103">EXP(-1.0587+0.8836*LN(GA69)+0.284)</f>
        <v>46.288259174721468</v>
      </c>
      <c r="GC69" s="22">
        <f t="shared" si="79"/>
        <v>401.69204206263993</v>
      </c>
      <c r="GD69" s="60">
        <f t="shared" si="80"/>
        <v>666.14510117982695</v>
      </c>
      <c r="GE69" s="60">
        <f ca="1">AVERAGE(OFFSET($GD$3,0,0,'Données projet'!$E$17+1,1))-AVERAGE(OFFSET($H$3,0,0,'Données projet'!$E$17+1,1))</f>
        <v>391.18744390931187</v>
      </c>
      <c r="GF69" s="60">
        <f t="shared" ref="GF69:GF132" si="104">$GF$3</f>
        <v>261.46982358454386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0.50280023836676568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0.50280023836676568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6.5</v>
      </c>
      <c r="N70" s="14">
        <f>IF('Données projet'!$A$36&gt;35,N69+M70-V69,IF(A70&lt;'Données projet'!$A$36,$K$205^A70,IF(A70='Données projet'!$A$36,'Données projet'!$B$36,N69+M70-V69)))</f>
        <v>221.00000000000006</v>
      </c>
      <c r="O70" s="14">
        <f>N70*VLOOKUP('Données projet'!$B$9,Paramètres!$A$1:$I$89,3,0)*VLOOKUP('Données projet'!$B$9,Paramètres!$A$1:$I$89,5,0)</f>
        <v>199.96080000000006</v>
      </c>
      <c r="P70" s="14">
        <f t="shared" si="87"/>
        <v>49.735552653569265</v>
      </c>
      <c r="Q70" s="22">
        <f t="shared" si="54"/>
        <v>434.88781420496662</v>
      </c>
      <c r="R70" s="60">
        <f t="shared" si="55"/>
        <v>699.84188151318358</v>
      </c>
      <c r="S70" s="60">
        <f ca="1">AVERAGE(OFFSET($R$3,0,0,'Données projet'!$E$9+1,1))-AVERAGE(OFFSET($H$3,0,0,'Données projet'!$E$9+1,1))</f>
        <v>469.15492079216403</v>
      </c>
      <c r="T70" s="60">
        <f t="shared" si="88"/>
        <v>250.47702091764884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6.5</v>
      </c>
      <c r="AI70" s="14">
        <f>IF('Données projet'!$A$62&gt;35,AI69+AH70-AQ69,IF(A70&lt;'Données projet'!$A$62,$AF$205^A70,IF(A70='Données projet'!$A$62,'Données projet'!$B$62,AI69+AH70-AQ69)))</f>
        <v>221.00000000000006</v>
      </c>
      <c r="AJ70" s="14">
        <f>AI70*VLOOKUP('Données projet'!$B$10,Paramètres!$A$1:$I$89,3,0)*VLOOKUP('Données projet'!$B$10,Paramètres!$A$1:$I$89,5,0)</f>
        <v>186.17040000000006</v>
      </c>
      <c r="AK70" s="14">
        <f t="shared" si="89"/>
        <v>46.69228193379606</v>
      </c>
      <c r="AL70" s="22">
        <f t="shared" si="58"/>
        <v>405.56917103469488</v>
      </c>
      <c r="AM70" s="60">
        <f t="shared" si="59"/>
        <v>670.52323834291178</v>
      </c>
      <c r="AN70" s="60">
        <f ca="1">AVERAGE(OFFSET($AM$3,0,0,'Données projet'!$E$10+1,1))-AVERAGE(OFFSET($H$3,0,0,'Données projet'!$E$10+1,1))</f>
        <v>442.49274132121275</v>
      </c>
      <c r="AO70" s="60">
        <f t="shared" si="90"/>
        <v>237.37463556402756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209.80000000000013</v>
      </c>
      <c r="BE70" s="14">
        <f>BD70*VLOOKUP('Données projet'!$B$11,Paramètres!$A$1:$I$89,3,0)*VLOOKUP('Données projet'!$B$11,Paramètres!$A$1:$I$89,5,0)</f>
        <v>137.46096000000006</v>
      </c>
      <c r="BF70" s="14">
        <f t="shared" si="91"/>
        <v>35.714728952321281</v>
      </c>
      <c r="BG70" s="22">
        <f t="shared" si="61"/>
        <v>301.61432492529298</v>
      </c>
      <c r="BH70" s="60">
        <f t="shared" si="62"/>
        <v>566.56839223350994</v>
      </c>
      <c r="BI70" s="60">
        <f ca="1">AVERAGE(OFFSET($BH$3,0,0,'Données projet'!$E$11+1,1))-AVERAGE(OFFSET($H$3,0,0,'Données projet'!$E$11+1,1))</f>
        <v>267.90768140488603</v>
      </c>
      <c r="BJ70" s="60">
        <f t="shared" si="92"/>
        <v>280.25465074992258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</v>
      </c>
      <c r="BY70" s="13">
        <f>IF('Données projet'!$A$114&gt;35,BY69+BX70-CG69,IF(A70&lt;'Données projet'!$A$114,$BV$205^A70,IF(A70='Données projet'!$A$114,'Données projet'!$B$114,BY69+BX70-CG69)))</f>
        <v>217.60000000000011</v>
      </c>
      <c r="BZ70" s="14">
        <f>BY70*VLOOKUP('Données projet'!$B$12,Paramètres!$A$1:$I$89,3,0)*VLOOKUP('Données projet'!$B$12,Paramètres!$A$1:$I$89,5,0)</f>
        <v>176.51712000000009</v>
      </c>
      <c r="CA70" s="14">
        <f t="shared" si="93"/>
        <v>44.546430573680709</v>
      </c>
      <c r="CB70" s="22">
        <f t="shared" si="64"/>
        <v>385.0190172491607</v>
      </c>
      <c r="CC70" s="60">
        <f t="shared" si="65"/>
        <v>649.97308455737766</v>
      </c>
      <c r="CD70" s="60">
        <f ca="1">AVERAGE(OFFSET($CC$3,0,0,'Données projet'!$E$12+1,1))-AVERAGE(OFFSET($H$3,0,0,'Données projet'!$E$12+1,1))</f>
        <v>308.6594206517259</v>
      </c>
      <c r="CE70" s="60">
        <f t="shared" si="94"/>
        <v>258.90832875500325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202.30769230769221</v>
      </c>
      <c r="CU70" s="18">
        <f>CT70*VLOOKUP('Données projet'!$B$13,Paramètres!$A$1:$I$89,3,0)*VLOOKUP('Données projet'!$B$13,Paramètres!$A$1:$I$89,5,0)</f>
        <v>192.51599999999991</v>
      </c>
      <c r="CV70" s="14">
        <f t="shared" si="95"/>
        <v>48.095778128339838</v>
      </c>
      <c r="CW70" s="22">
        <f t="shared" si="67"/>
        <v>419.06551357352504</v>
      </c>
      <c r="CX70" s="60">
        <f t="shared" si="68"/>
        <v>684.01958088174194</v>
      </c>
      <c r="CY70" s="60">
        <f ca="1">AVERAGE(OFFSET($CX$3,0,0,'Données projet'!$E$13+1,1))-AVERAGE(OFFSET($H$3,0,0,'Données projet'!$E$13+1,1))</f>
        <v>397.63792993520934</v>
      </c>
      <c r="CZ70" s="60">
        <f t="shared" si="96"/>
        <v>300.63705521148802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4.9999999999999947</v>
      </c>
      <c r="DO70" s="13">
        <f>IF('Données projet'!$A$166&gt;35,DO69+DN70-DW69,IF(A70&lt;'Données projet'!$A$166,$DL$205^A70,IF(A70='Données projet'!$A$166,'Données projet'!$B$166,DO69+DN70-DW69)))</f>
        <v>250.38461538461539</v>
      </c>
      <c r="DP70" s="18">
        <f>DO70*VLOOKUP('Données projet'!$B$14,Paramètres!$A$1:$I$89,3,0)*VLOOKUP('Données projet'!$B$14,Paramètres!$A$1:$I$89,5,0)</f>
        <v>167.958</v>
      </c>
      <c r="DQ70" s="14">
        <f t="shared" si="97"/>
        <v>42.632362356023975</v>
      </c>
      <c r="DR70" s="22">
        <f t="shared" si="70"/>
        <v>366.77821443674173</v>
      </c>
      <c r="DS70" s="60">
        <f t="shared" si="71"/>
        <v>631.73228174495864</v>
      </c>
      <c r="DT70" s="60">
        <f ca="1">AVERAGE(OFFSET($DS$3,0,0,'Données projet'!$E$14+1,1))-AVERAGE(OFFSET($H$3,0,0,'Données projet'!$E$14+1,1))</f>
        <v>343.94240546037798</v>
      </c>
      <c r="DU70" s="60">
        <f t="shared" si="98"/>
        <v>277.30931495079346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0.45880047614465225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0.45880047614465225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</v>
      </c>
      <c r="EJ70" s="13">
        <f>IF('Données projet'!$A$192&gt;35,EJ69+EI70-ER69,IF(A70&lt;'Données projet'!$A$192,$EG$205^A70,IF(A70='Données projet'!$A$192,'Données projet'!$B$192,EJ69+EI70-ER69)))</f>
        <v>261.99999999999977</v>
      </c>
      <c r="EK70" s="18">
        <f>EJ70*VLOOKUP('Données projet'!$B$15,Paramètres!$A$1:$I$89,3,0)*VLOOKUP('Données projet'!$B$15,Paramètres!$A$1:$I$89,5,0)</f>
        <v>204.35999999999984</v>
      </c>
      <c r="EL70" s="14">
        <f t="shared" si="99"/>
        <v>50.701157790815166</v>
      </c>
      <c r="EM70" s="22">
        <f t="shared" si="73"/>
        <v>444.23151648566937</v>
      </c>
      <c r="EN70" s="60">
        <f t="shared" si="74"/>
        <v>709.18558379388628</v>
      </c>
      <c r="EO70" s="60">
        <f ca="1">AVERAGE(OFFSET($EN$3,0,0,'Données projet'!$E$15+1,1))-AVERAGE(OFFSET($H$3,0,0,'Données projet'!$E$15+1,1))</f>
        <v>308.76306523144956</v>
      </c>
      <c r="EP70" s="60">
        <f t="shared" si="100"/>
        <v>283.28099819802776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</v>
      </c>
      <c r="FE70" s="13">
        <f>IF('Données projet'!$A$218&gt;35,FE69+FD70-FM69,IF(A70&lt;'Données projet'!$A$218,$FB$205^A70,IF(A70='Données projet'!$A$218,'Données projet'!$B$218,FE69+FD70-FM69)))</f>
        <v>207.99999999999989</v>
      </c>
      <c r="FF70" s="18">
        <f>FE70*VLOOKUP('Données projet'!$B$16,Paramètres!$A$1:$I$89,3,0)*VLOOKUP('Données projet'!$B$16,Paramètres!$A$1:$I$89,5,0)</f>
        <v>181.70879999999991</v>
      </c>
      <c r="FG70" s="14">
        <f t="shared" si="101"/>
        <v>45.702153370067769</v>
      </c>
      <c r="FH70" s="22">
        <f t="shared" si="76"/>
        <v>396.07407711953448</v>
      </c>
      <c r="FI70" s="60">
        <f t="shared" si="77"/>
        <v>661.02814442775139</v>
      </c>
      <c r="FJ70" s="60">
        <f ca="1">AVERAGE(OFFSET($FI$3,0,0,'Données projet'!$E$16+1,1))-AVERAGE(OFFSET($H$3,0,0,'Données projet'!$E$16+1,1))</f>
        <v>296.01124173332352</v>
      </c>
      <c r="FK70" s="60">
        <f t="shared" si="102"/>
        <v>315.50730924873733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5.6</v>
      </c>
      <c r="FZ70" s="13">
        <f>IF('Données projet'!$A$244&gt;35,FZ69+FY70-GH69,IF(A70&lt;'Données projet'!$A$244,$FW$205^A70,IF(A70='Données projet'!$A$244,'Données projet'!$B$244,FZ69+FY70-GH69)))</f>
        <v>196.2</v>
      </c>
      <c r="GA70" s="18">
        <f>FZ70*VLOOKUP('Données projet'!$B$17,Paramètres!$A$1:$I$89,3,0)*VLOOKUP('Données projet'!$B$17,Paramètres!$A$1:$I$89,5,0)</f>
        <v>189.76463999999999</v>
      </c>
      <c r="GB70" s="14">
        <f t="shared" si="103"/>
        <v>47.48791434377042</v>
      </c>
      <c r="GC70" s="22">
        <f t="shared" si="79"/>
        <v>413.21486548206684</v>
      </c>
      <c r="GD70" s="60">
        <f t="shared" si="80"/>
        <v>678.16893279028375</v>
      </c>
      <c r="GE70" s="60">
        <f ca="1">AVERAGE(OFFSET($GD$3,0,0,'Données projet'!$E$17+1,1))-AVERAGE(OFFSET($H$3,0,0,'Données projet'!$E$17+1,1))</f>
        <v>391.18744390931187</v>
      </c>
      <c r="GF70" s="60">
        <f t="shared" si="104"/>
        <v>261.46982358454386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0.4890511394075111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0.4890511394075111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6.5</v>
      </c>
      <c r="N71" s="14">
        <f>IF('Données projet'!$A$36&gt;35,N70+M71-V70,IF(A71&lt;'Données projet'!$A$36,$K$205^A71,IF(A71='Données projet'!$A$36,'Données projet'!$B$36,N70+M71-V70)))</f>
        <v>227.50000000000006</v>
      </c>
      <c r="O71" s="14">
        <f>N71*VLOOKUP('Données projet'!$B$9,Paramètres!$A$1:$I$89,3,0)*VLOOKUP('Données projet'!$B$9,Paramètres!$A$1:$I$89,5,0)</f>
        <v>205.84200000000004</v>
      </c>
      <c r="P71" s="14">
        <f t="shared" si="87"/>
        <v>51.02590322155848</v>
      </c>
      <c r="Q71" s="22">
        <f t="shared" si="54"/>
        <v>447.37826477754771</v>
      </c>
      <c r="R71" s="60">
        <f t="shared" si="55"/>
        <v>712.82464890476649</v>
      </c>
      <c r="S71" s="60">
        <f ca="1">AVERAGE(OFFSET($R$3,0,0,'Données projet'!$E$9+1,1))-AVERAGE(OFFSET($H$3,0,0,'Données projet'!$E$9+1,1))</f>
        <v>469.15492079216403</v>
      </c>
      <c r="T71" s="60">
        <f t="shared" si="88"/>
        <v>250.47702091764884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6.5</v>
      </c>
      <c r="AI71" s="14">
        <f>IF('Données projet'!$A$62&gt;35,AI70+AH71-AQ70,IF(A71&lt;'Données projet'!$A$62,$AF$205^A71,IF(A71='Données projet'!$A$62,'Données projet'!$B$62,AI70+AH71-AQ70)))</f>
        <v>227.50000000000006</v>
      </c>
      <c r="AJ71" s="14">
        <f>AI71*VLOOKUP('Données projet'!$B$10,Paramètres!$A$1:$I$89,3,0)*VLOOKUP('Données projet'!$B$10,Paramètres!$A$1:$I$89,5,0)</f>
        <v>191.64600000000007</v>
      </c>
      <c r="AK71" s="14">
        <f t="shared" si="89"/>
        <v>47.903677189291635</v>
      </c>
      <c r="AL71" s="22">
        <f t="shared" si="58"/>
        <v>417.21568777134968</v>
      </c>
      <c r="AM71" s="60">
        <f t="shared" si="59"/>
        <v>682.66207189856846</v>
      </c>
      <c r="AN71" s="60">
        <f ca="1">AVERAGE(OFFSET($AM$3,0,0,'Données projet'!$E$10+1,1))-AVERAGE(OFFSET($H$3,0,0,'Données projet'!$E$10+1,1))</f>
        <v>442.49274132121275</v>
      </c>
      <c r="AO71" s="60">
        <f t="shared" si="90"/>
        <v>237.37463556402756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214.20000000000013</v>
      </c>
      <c r="BE71" s="14">
        <f>BD71*VLOOKUP('Données projet'!$B$11,Paramètres!$A$1:$I$89,3,0)*VLOOKUP('Données projet'!$B$11,Paramètres!$A$1:$I$89,5,0)</f>
        <v>140.34384000000009</v>
      </c>
      <c r="BF71" s="14">
        <f t="shared" si="91"/>
        <v>36.375763161759316</v>
      </c>
      <c r="BG71" s="22">
        <f t="shared" si="61"/>
        <v>307.78664217339764</v>
      </c>
      <c r="BH71" s="60">
        <f t="shared" si="62"/>
        <v>573.23302630061653</v>
      </c>
      <c r="BI71" s="60">
        <f ca="1">AVERAGE(OFFSET($BH$3,0,0,'Données projet'!$E$11+1,1))-AVERAGE(OFFSET($H$3,0,0,'Données projet'!$E$11+1,1))</f>
        <v>267.90768140488603</v>
      </c>
      <c r="BJ71" s="60">
        <f t="shared" si="92"/>
        <v>280.25465074992258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</v>
      </c>
      <c r="BY71" s="13">
        <f>IF('Données projet'!$A$114&gt;35,BY70+BX71-CG70,IF(A71&lt;'Données projet'!$A$114,$BV$205^A71,IF(A71='Données projet'!$A$114,'Données projet'!$B$114,BY70+BX71-CG70)))</f>
        <v>222.40000000000012</v>
      </c>
      <c r="BZ71" s="14">
        <f>BY71*VLOOKUP('Données projet'!$B$12,Paramètres!$A$1:$I$89,3,0)*VLOOKUP('Données projet'!$B$12,Paramètres!$A$1:$I$89,5,0)</f>
        <v>180.41088000000011</v>
      </c>
      <c r="CA71" s="14">
        <f t="shared" si="93"/>
        <v>45.413587262495575</v>
      </c>
      <c r="CB71" s="22">
        <f t="shared" si="64"/>
        <v>393.31094714884665</v>
      </c>
      <c r="CC71" s="60">
        <f t="shared" si="65"/>
        <v>658.75733127606554</v>
      </c>
      <c r="CD71" s="60">
        <f ca="1">AVERAGE(OFFSET($CC$3,0,0,'Données projet'!$E$12+1,1))-AVERAGE(OFFSET($H$3,0,0,'Données projet'!$E$12+1,1))</f>
        <v>308.6594206517259</v>
      </c>
      <c r="CE71" s="60">
        <f t="shared" si="94"/>
        <v>258.90832875500325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206.66666666666657</v>
      </c>
      <c r="CU71" s="18">
        <f>CT71*VLOOKUP('Données projet'!$B$13,Paramètres!$A$1:$I$89,3,0)*VLOOKUP('Données projet'!$B$13,Paramètres!$A$1:$I$89,5,0)</f>
        <v>196.6639999999999</v>
      </c>
      <c r="CV71" s="14">
        <f t="shared" si="95"/>
        <v>49.010299712644574</v>
      </c>
      <c r="CW71" s="22">
        <f t="shared" si="67"/>
        <v>427.88273866618914</v>
      </c>
      <c r="CX71" s="60">
        <f t="shared" si="68"/>
        <v>693.32912279340803</v>
      </c>
      <c r="CY71" s="60">
        <f ca="1">AVERAGE(OFFSET($CX$3,0,0,'Données projet'!$E$13+1,1))-AVERAGE(OFFSET($H$3,0,0,'Données projet'!$E$13+1,1))</f>
        <v>397.63792993520934</v>
      </c>
      <c r="CZ71" s="60">
        <f t="shared" si="96"/>
        <v>300.63705521148802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4.9999999999999947</v>
      </c>
      <c r="DO71" s="13">
        <f>IF('Données projet'!$A$166&gt;35,DO70+DN71-DW70,IF(A71&lt;'Données projet'!$A$166,$DL$205^A71,IF(A71='Données projet'!$A$166,'Données projet'!$B$166,DO70+DN71-DW70)))</f>
        <v>255.38461538461539</v>
      </c>
      <c r="DP71" s="18">
        <f>DO71*VLOOKUP('Données projet'!$B$14,Paramètres!$A$1:$I$89,3,0)*VLOOKUP('Données projet'!$B$14,Paramètres!$A$1:$I$89,5,0)</f>
        <v>171.31200000000001</v>
      </c>
      <c r="DQ71" s="14">
        <f t="shared" si="97"/>
        <v>43.383736333098376</v>
      </c>
      <c r="DR71" s="22">
        <f t="shared" si="70"/>
        <v>373.92840744681303</v>
      </c>
      <c r="DS71" s="60">
        <f t="shared" si="71"/>
        <v>639.37479157403186</v>
      </c>
      <c r="DT71" s="60">
        <f ca="1">AVERAGE(OFFSET($DS$3,0,0,'Données projet'!$E$14+1,1))-AVERAGE(OFFSET($H$3,0,0,'Données projet'!$E$14+1,1))</f>
        <v>343.94240546037798</v>
      </c>
      <c r="DU71" s="60">
        <f t="shared" si="98"/>
        <v>277.30931495079346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0.44625455299720829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0.44625455299720829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</v>
      </c>
      <c r="EJ71" s="13">
        <f>IF('Données projet'!$A$192&gt;35,EJ70+EI71-ER70,IF(A71&lt;'Données projet'!$A$192,$EG$205^A71,IF(A71='Données projet'!$A$192,'Données projet'!$B$192,EJ70+EI71-ER70)))</f>
        <v>267.99999999999977</v>
      </c>
      <c r="EK71" s="18">
        <f>EJ71*VLOOKUP('Données projet'!$B$15,Paramètres!$A$1:$I$89,3,0)*VLOOKUP('Données projet'!$B$15,Paramètres!$A$1:$I$89,5,0)</f>
        <v>209.03999999999982</v>
      </c>
      <c r="EL71" s="14">
        <f t="shared" si="99"/>
        <v>51.725745635299404</v>
      </c>
      <c r="EM71" s="22">
        <f t="shared" si="73"/>
        <v>454.16700698147952</v>
      </c>
      <c r="EN71" s="60">
        <f t="shared" si="74"/>
        <v>719.61339110869835</v>
      </c>
      <c r="EO71" s="60">
        <f ca="1">AVERAGE(OFFSET($EN$3,0,0,'Données projet'!$E$15+1,1))-AVERAGE(OFFSET($H$3,0,0,'Données projet'!$E$15+1,1))</f>
        <v>308.76306523144956</v>
      </c>
      <c r="EP71" s="60">
        <f t="shared" si="100"/>
        <v>283.28099819802776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</v>
      </c>
      <c r="FE71" s="13">
        <f>IF('Données projet'!$A$218&gt;35,FE70+FD71-FM70,IF(A71&lt;'Données projet'!$A$218,$FB$205^A71,IF(A71='Données projet'!$A$218,'Données projet'!$B$218,FE70+FD71-FM70)))</f>
        <v>210.99999999999989</v>
      </c>
      <c r="FF71" s="18">
        <f>FE71*VLOOKUP('Données projet'!$B$16,Paramètres!$A$1:$I$89,3,0)*VLOOKUP('Données projet'!$B$16,Paramètres!$A$1:$I$89,5,0)</f>
        <v>184.32959999999994</v>
      </c>
      <c r="FG71" s="14">
        <f t="shared" si="101"/>
        <v>46.284105851003062</v>
      </c>
      <c r="FH71" s="22">
        <f t="shared" si="76"/>
        <v>401.65220435716355</v>
      </c>
      <c r="FI71" s="60">
        <f t="shared" si="77"/>
        <v>667.09858848438239</v>
      </c>
      <c r="FJ71" s="60">
        <f ca="1">AVERAGE(OFFSET($FI$3,0,0,'Données projet'!$E$16+1,1))-AVERAGE(OFFSET($H$3,0,0,'Données projet'!$E$16+1,1))</f>
        <v>296.01124173332352</v>
      </c>
      <c r="FK71" s="60">
        <f t="shared" si="102"/>
        <v>315.50730924873733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5.6</v>
      </c>
      <c r="FZ71" s="13">
        <f>IF('Données projet'!$A$244&gt;35,FZ70+FY71-GH70,IF(A71&lt;'Données projet'!$A$244,$FW$205^A71,IF(A71='Données projet'!$A$244,'Données projet'!$B$244,FZ70+FY71-GH70)))</f>
        <v>201.79999999999998</v>
      </c>
      <c r="GA71" s="18">
        <f>FZ71*VLOOKUP('Données projet'!$B$17,Paramètres!$A$1:$I$89,3,0)*VLOOKUP('Données projet'!$B$17,Paramètres!$A$1:$I$89,5,0)</f>
        <v>195.18095999999997</v>
      </c>
      <c r="GB71" s="14">
        <f t="shared" si="103"/>
        <v>48.683589911992144</v>
      </c>
      <c r="GC71" s="22">
        <f t="shared" si="79"/>
        <v>424.73075776338629</v>
      </c>
      <c r="GD71" s="60">
        <f t="shared" si="80"/>
        <v>690.17714189060507</v>
      </c>
      <c r="GE71" s="60">
        <f ca="1">AVERAGE(OFFSET($GD$3,0,0,'Données projet'!$E$17+1,1))-AVERAGE(OFFSET($H$3,0,0,'Données projet'!$E$17+1,1))</f>
        <v>391.18744390931187</v>
      </c>
      <c r="GF71" s="60">
        <f t="shared" si="104"/>
        <v>261.46982358454386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0.47567801028233103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0.47567801028233103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6.5</v>
      </c>
      <c r="N72" s="14">
        <f>IF('Données projet'!$A$36&gt;35,N71+M72-V71,IF(A72&lt;'Données projet'!$A$36,$K$205^A72,IF(A72='Données projet'!$A$36,'Données projet'!$B$36,N71+M72-V71)))</f>
        <v>234.00000000000006</v>
      </c>
      <c r="O72" s="14">
        <f>N72*VLOOKUP('Données projet'!$B$9,Paramètres!$A$1:$I$89,3,0)*VLOOKUP('Données projet'!$B$9,Paramètres!$A$1:$I$89,5,0)</f>
        <v>211.72320000000005</v>
      </c>
      <c r="P72" s="14">
        <f t="shared" si="87"/>
        <v>52.311968964212078</v>
      </c>
      <c r="Q72" s="22">
        <f t="shared" si="54"/>
        <v>459.86125261266943</v>
      </c>
      <c r="R72" s="60">
        <f t="shared" si="55"/>
        <v>725.79141296273599</v>
      </c>
      <c r="S72" s="60">
        <f ca="1">AVERAGE(OFFSET($R$3,0,0,'Données projet'!$E$9+1,1))-AVERAGE(OFFSET($H$3,0,0,'Données projet'!$E$9+1,1))</f>
        <v>469.15492079216403</v>
      </c>
      <c r="T72" s="60">
        <f t="shared" si="88"/>
        <v>250.47702091764884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6.5</v>
      </c>
      <c r="AI72" s="14">
        <f>IF('Données projet'!$A$62&gt;35,AI71+AH72-AQ71,IF(A72&lt;'Données projet'!$A$62,$AF$205^A72,IF(A72='Données projet'!$A$62,'Données projet'!$B$62,AI71+AH72-AQ71)))</f>
        <v>234.00000000000006</v>
      </c>
      <c r="AJ72" s="14">
        <f>AI72*VLOOKUP('Données projet'!$B$10,Paramètres!$A$1:$I$89,3,0)*VLOOKUP('Données projet'!$B$10,Paramètres!$A$1:$I$89,5,0)</f>
        <v>197.12160000000009</v>
      </c>
      <c r="AK72" s="14">
        <f t="shared" si="89"/>
        <v>49.111049803800448</v>
      </c>
      <c r="AL72" s="22">
        <f t="shared" si="58"/>
        <v>428.85519840828584</v>
      </c>
      <c r="AM72" s="60">
        <f t="shared" si="59"/>
        <v>694.78535875835246</v>
      </c>
      <c r="AN72" s="60">
        <f ca="1">AVERAGE(OFFSET($AM$3,0,0,'Données projet'!$E$10+1,1))-AVERAGE(OFFSET($H$3,0,0,'Données projet'!$E$10+1,1))</f>
        <v>442.49274132121275</v>
      </c>
      <c r="AO72" s="60">
        <f t="shared" si="90"/>
        <v>237.37463556402756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218.60000000000014</v>
      </c>
      <c r="BE72" s="14">
        <f>BD72*VLOOKUP('Données projet'!$B$11,Paramètres!$A$1:$I$89,3,0)*VLOOKUP('Données projet'!$B$11,Paramètres!$A$1:$I$89,5,0)</f>
        <v>143.22672000000009</v>
      </c>
      <c r="BF72" s="14">
        <f t="shared" si="91"/>
        <v>37.035218585047694</v>
      </c>
      <c r="BG72" s="22">
        <f t="shared" si="61"/>
        <v>313.95620970229157</v>
      </c>
      <c r="BH72" s="60">
        <f t="shared" si="62"/>
        <v>579.88637005235819</v>
      </c>
      <c r="BI72" s="60">
        <f ca="1">AVERAGE(OFFSET($BH$3,0,0,'Données projet'!$E$11+1,1))-AVERAGE(OFFSET($H$3,0,0,'Données projet'!$E$11+1,1))</f>
        <v>267.90768140488603</v>
      </c>
      <c r="BJ72" s="60">
        <f t="shared" si="92"/>
        <v>280.25465074992258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</v>
      </c>
      <c r="BY72" s="13">
        <f>IF('Données projet'!$A$114&gt;35,BY71+BX72-CG71,IF(A72&lt;'Données projet'!$A$114,$BV$205^A72,IF(A72='Données projet'!$A$114,'Données projet'!$B$114,BY71+BX72-CG71)))</f>
        <v>227.20000000000013</v>
      </c>
      <c r="BZ72" s="14">
        <f>BY72*VLOOKUP('Données projet'!$B$12,Paramètres!$A$1:$I$89,3,0)*VLOOKUP('Données projet'!$B$12,Paramètres!$A$1:$I$89,5,0)</f>
        <v>184.30464000000012</v>
      </c>
      <c r="CA72" s="14">
        <f t="shared" si="93"/>
        <v>46.278568009669833</v>
      </c>
      <c r="CB72" s="22">
        <f t="shared" si="64"/>
        <v>401.59908728350848</v>
      </c>
      <c r="CC72" s="60">
        <f t="shared" si="65"/>
        <v>667.5292476335751</v>
      </c>
      <c r="CD72" s="60">
        <f ca="1">AVERAGE(OFFSET($CC$3,0,0,'Données projet'!$E$12+1,1))-AVERAGE(OFFSET($H$3,0,0,'Données projet'!$E$12+1,1))</f>
        <v>308.6594206517259</v>
      </c>
      <c r="CE72" s="60">
        <f t="shared" si="94"/>
        <v>258.90832875500325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211.02564102564094</v>
      </c>
      <c r="CU72" s="18">
        <f>CT72*VLOOKUP('Données projet'!$B$13,Paramètres!$A$1:$I$89,3,0)*VLOOKUP('Données projet'!$B$13,Paramètres!$A$1:$I$89,5,0)</f>
        <v>200.81199999999993</v>
      </c>
      <c r="CV72" s="14">
        <f t="shared" si="95"/>
        <v>49.922578645138138</v>
      </c>
      <c r="CW72" s="22">
        <f t="shared" si="67"/>
        <v>436.69605780694877</v>
      </c>
      <c r="CX72" s="60">
        <f t="shared" si="68"/>
        <v>702.62621815701527</v>
      </c>
      <c r="CY72" s="60">
        <f ca="1">AVERAGE(OFFSET($CX$3,0,0,'Données projet'!$E$13+1,1))-AVERAGE(OFFSET($H$3,0,0,'Données projet'!$E$13+1,1))</f>
        <v>397.63792993520934</v>
      </c>
      <c r="CZ72" s="60">
        <f t="shared" si="96"/>
        <v>300.63705521148802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4.9999999999999947</v>
      </c>
      <c r="DO72" s="13">
        <f>IF('Données projet'!$A$166&gt;35,DO71+DN72-DW71,IF(A72&lt;'Données projet'!$A$166,$DL$205^A72,IF(A72='Données projet'!$A$166,'Données projet'!$B$166,DO71+DN72-DW71)))</f>
        <v>260.38461538461536</v>
      </c>
      <c r="DP72" s="18">
        <f>DO72*VLOOKUP('Données projet'!$B$14,Paramètres!$A$1:$I$89,3,0)*VLOOKUP('Données projet'!$B$14,Paramètres!$A$1:$I$89,5,0)</f>
        <v>174.666</v>
      </c>
      <c r="DQ72" s="14">
        <f t="shared" si="97"/>
        <v>44.133399826367565</v>
      </c>
      <c r="DR72" s="22">
        <f t="shared" si="70"/>
        <v>381.07562136425685</v>
      </c>
      <c r="DS72" s="60">
        <f t="shared" si="71"/>
        <v>647.00578171432335</v>
      </c>
      <c r="DT72" s="60">
        <f ca="1">AVERAGE(OFFSET($DS$3,0,0,'Données projet'!$E$14+1,1))-AVERAGE(OFFSET($H$3,0,0,'Données projet'!$E$14+1,1))</f>
        <v>343.94240546037798</v>
      </c>
      <c r="DU72" s="60">
        <f t="shared" si="98"/>
        <v>277.30931495079346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0.4340516987779926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0.4340516987779926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</v>
      </c>
      <c r="EJ72" s="13">
        <f>IF('Données projet'!$A$192&gt;35,EJ71+EI72-ER71,IF(A72&lt;'Données projet'!$A$192,$EG$205^A72,IF(A72='Données projet'!$A$192,'Données projet'!$B$192,EJ71+EI72-ER71)))</f>
        <v>273.99999999999977</v>
      </c>
      <c r="EK72" s="18">
        <f>EJ72*VLOOKUP('Données projet'!$B$15,Paramètres!$A$1:$I$89,3,0)*VLOOKUP('Données projet'!$B$15,Paramètres!$A$1:$I$89,5,0)</f>
        <v>213.71999999999983</v>
      </c>
      <c r="EL72" s="14">
        <f t="shared" si="99"/>
        <v>52.747666674989134</v>
      </c>
      <c r="EM72" s="22">
        <f t="shared" si="73"/>
        <v>464.09785279227236</v>
      </c>
      <c r="EN72" s="60">
        <f t="shared" si="74"/>
        <v>730.02801314233898</v>
      </c>
      <c r="EO72" s="60">
        <f ca="1">AVERAGE(OFFSET($EN$3,0,0,'Données projet'!$E$15+1,1))-AVERAGE(OFFSET($H$3,0,0,'Données projet'!$E$15+1,1))</f>
        <v>308.76306523144956</v>
      </c>
      <c r="EP72" s="60">
        <f t="shared" si="100"/>
        <v>283.28099819802776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</v>
      </c>
      <c r="FE72" s="13">
        <f>IF('Données projet'!$A$218&gt;35,FE71+FD72-FM71,IF(A72&lt;'Données projet'!$A$218,$FB$205^A72,IF(A72='Données projet'!$A$218,'Données projet'!$B$218,FE71+FD72-FM71)))</f>
        <v>213.99999999999989</v>
      </c>
      <c r="FF72" s="18">
        <f>FE72*VLOOKUP('Données projet'!$B$16,Paramètres!$A$1:$I$89,3,0)*VLOOKUP('Données projet'!$B$16,Paramètres!$A$1:$I$89,5,0)</f>
        <v>186.95039999999992</v>
      </c>
      <c r="FG72" s="14">
        <f t="shared" si="101"/>
        <v>46.86509597661761</v>
      </c>
      <c r="FH72" s="22">
        <f t="shared" si="76"/>
        <v>407.22865549260882</v>
      </c>
      <c r="FI72" s="60">
        <f t="shared" si="77"/>
        <v>673.15881584267538</v>
      </c>
      <c r="FJ72" s="60">
        <f ca="1">AVERAGE(OFFSET($FI$3,0,0,'Données projet'!$E$16+1,1))-AVERAGE(OFFSET($H$3,0,0,'Données projet'!$E$16+1,1))</f>
        <v>296.01124173332352</v>
      </c>
      <c r="FK72" s="60">
        <f t="shared" si="102"/>
        <v>315.50730924873733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5.6</v>
      </c>
      <c r="FZ72" s="13">
        <f>IF('Données projet'!$A$244&gt;35,FZ71+FY72-GH71,IF(A72&lt;'Données projet'!$A$244,$FW$205^A72,IF(A72='Données projet'!$A$244,'Données projet'!$B$244,FZ71+FY72-GH71)))</f>
        <v>207.39999999999998</v>
      </c>
      <c r="GA72" s="18">
        <f>FZ72*VLOOKUP('Données projet'!$B$17,Paramètres!$A$1:$I$89,3,0)*VLOOKUP('Données projet'!$B$17,Paramètres!$A$1:$I$89,5,0)</f>
        <v>200.59727999999998</v>
      </c>
      <c r="GB72" s="14">
        <f t="shared" si="103"/>
        <v>49.875409002023019</v>
      </c>
      <c r="GC72" s="22">
        <f t="shared" si="79"/>
        <v>436.23993334519008</v>
      </c>
      <c r="GD72" s="60">
        <f t="shared" si="80"/>
        <v>702.17009369525658</v>
      </c>
      <c r="GE72" s="60">
        <f ca="1">AVERAGE(OFFSET($GD$3,0,0,'Données projet'!$E$17+1,1))-AVERAGE(OFFSET($H$3,0,0,'Données projet'!$E$17+1,1))</f>
        <v>391.18744390931187</v>
      </c>
      <c r="GF72" s="60">
        <f t="shared" si="104"/>
        <v>261.46982358454386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0.46267057007634133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0.46267057007634133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6.5</v>
      </c>
      <c r="N73" s="14">
        <f>IF('Données projet'!$A$36&gt;35,N72+M73-V72,IF(A73&lt;'Données projet'!$A$36,$K$205^A73,IF(A73='Données projet'!$A$36,'Données projet'!$B$36,N72+M73-V72)))</f>
        <v>240.50000000000006</v>
      </c>
      <c r="O73" s="14">
        <f>N73*VLOOKUP('Données projet'!$B$9,Paramètres!$A$1:$I$89,3,0)*VLOOKUP('Données projet'!$B$9,Paramètres!$A$1:$I$89,5,0)</f>
        <v>217.60440000000006</v>
      </c>
      <c r="P73" s="14">
        <f t="shared" si="87"/>
        <v>53.593882578706406</v>
      </c>
      <c r="Q73" s="22">
        <f t="shared" si="54"/>
        <v>472.33700882458038</v>
      </c>
      <c r="R73" s="60">
        <f t="shared" si="55"/>
        <v>738.74255296158981</v>
      </c>
      <c r="S73" s="60">
        <f ca="1">AVERAGE(OFFSET($R$3,0,0,'Données projet'!$E$9+1,1))-AVERAGE(OFFSET($H$3,0,0,'Données projet'!$E$9+1,1))</f>
        <v>469.15492079216403</v>
      </c>
      <c r="T73" s="60">
        <f t="shared" si="88"/>
        <v>250.47702091764884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6.5</v>
      </c>
      <c r="AI73" s="14">
        <f>IF('Données projet'!$A$62&gt;35,AI72+AH73-AQ72,IF(A73&lt;'Données projet'!$A$62,$AF$205^A73,IF(A73='Données projet'!$A$62,'Données projet'!$B$62,AI72+AH73-AQ72)))</f>
        <v>240.50000000000006</v>
      </c>
      <c r="AJ73" s="14">
        <f>AI73*VLOOKUP('Données projet'!$B$10,Paramètres!$A$1:$I$89,3,0)*VLOOKUP('Données projet'!$B$10,Paramètres!$A$1:$I$89,5,0)</f>
        <v>202.59720000000007</v>
      </c>
      <c r="AK73" s="14">
        <f t="shared" si="89"/>
        <v>50.314524354885847</v>
      </c>
      <c r="AL73" s="22">
        <f t="shared" si="58"/>
        <v>440.48791991809298</v>
      </c>
      <c r="AM73" s="60">
        <f t="shared" si="59"/>
        <v>706.89346405510241</v>
      </c>
      <c r="AN73" s="60">
        <f ca="1">AVERAGE(OFFSET($AM$3,0,0,'Données projet'!$E$10+1,1))-AVERAGE(OFFSET($H$3,0,0,'Données projet'!$E$10+1,1))</f>
        <v>442.49274132121275</v>
      </c>
      <c r="AO73" s="60">
        <f t="shared" si="90"/>
        <v>237.37463556402756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223.00000000000014</v>
      </c>
      <c r="BE73" s="14">
        <f>BD73*VLOOKUP('Données projet'!$B$11,Paramètres!$A$1:$I$89,3,0)*VLOOKUP('Données projet'!$B$11,Paramètres!$A$1:$I$89,5,0)</f>
        <v>146.10960000000009</v>
      </c>
      <c r="BF73" s="14">
        <f t="shared" si="91"/>
        <v>37.693130662388469</v>
      </c>
      <c r="BG73" s="22">
        <f t="shared" si="61"/>
        <v>320.12308923699339</v>
      </c>
      <c r="BH73" s="60">
        <f t="shared" si="62"/>
        <v>586.52863337400288</v>
      </c>
      <c r="BI73" s="60">
        <f ca="1">AVERAGE(OFFSET($BH$3,0,0,'Données projet'!$E$11+1,1))-AVERAGE(OFFSET($H$3,0,0,'Données projet'!$E$11+1,1))</f>
        <v>267.90768140488603</v>
      </c>
      <c r="BJ73" s="60">
        <f t="shared" si="92"/>
        <v>280.25465074992258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232</v>
      </c>
      <c r="BW73" s="13">
        <f>VLOOKUP(A73,'Données projet'!$A$113:$I$133,9,0)</f>
        <v>4.8</v>
      </c>
      <c r="BX73" s="13">
        <f t="array" ref="BX73">INDEX(BW:BW,MIN(IF(ISNUMBER(BW73:BW269),ROW(BW73:BW269),"")))</f>
        <v>4.8</v>
      </c>
      <c r="BY73" s="13">
        <f>IF('Données projet'!$A$114&gt;35,BY72+BX73-CG72,IF(A73&lt;'Données projet'!$A$114,$BV$205^A73,IF(A73='Données projet'!$A$114,'Données projet'!$B$114,BY72+BX73-CG72)))</f>
        <v>232.00000000000014</v>
      </c>
      <c r="BZ73" s="14">
        <f>BY73*VLOOKUP('Données projet'!$B$12,Paramètres!$A$1:$I$89,3,0)*VLOOKUP('Données projet'!$B$12,Paramètres!$A$1:$I$89,5,0)</f>
        <v>188.19840000000011</v>
      </c>
      <c r="CA73" s="14">
        <f t="shared" si="93"/>
        <v>47.141424081428056</v>
      </c>
      <c r="CB73" s="22">
        <f t="shared" si="64"/>
        <v>409.88352694182072</v>
      </c>
      <c r="CC73" s="60">
        <f t="shared" si="65"/>
        <v>676.28907107883015</v>
      </c>
      <c r="CD73" s="60">
        <f ca="1">AVERAGE(OFFSET($CC$3,0,0,'Données projet'!$E$12+1,1))-AVERAGE(OFFSET($H$3,0,0,'Données projet'!$E$12+1,1))</f>
        <v>308.6594206517259</v>
      </c>
      <c r="CE73" s="60">
        <f t="shared" si="94"/>
        <v>258.90832875500325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215.38461538461539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215.3846153846153</v>
      </c>
      <c r="CU73" s="18">
        <f>CT73*VLOOKUP('Données projet'!$B$13,Paramètres!$A$1:$I$89,3,0)*VLOOKUP('Données projet'!$B$13,Paramètres!$A$1:$I$89,5,0)</f>
        <v>204.95999999999992</v>
      </c>
      <c r="CV73" s="14">
        <f t="shared" si="95"/>
        <v>50.832666587809335</v>
      </c>
      <c r="CW73" s="22">
        <f t="shared" si="67"/>
        <v>445.50556097376779</v>
      </c>
      <c r="CX73" s="60">
        <f t="shared" si="68"/>
        <v>711.91110511077727</v>
      </c>
      <c r="CY73" s="60">
        <f ca="1">AVERAGE(OFFSET($CX$3,0,0,'Données projet'!$E$13+1,1))-AVERAGE(OFFSET($H$3,0,0,'Données projet'!$E$13+1,1))</f>
        <v>397.63792993520934</v>
      </c>
      <c r="CZ73" s="60">
        <f t="shared" si="96"/>
        <v>300.63705521148802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28.846153846153847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265.38461538461536</v>
      </c>
      <c r="DM73" s="13">
        <f>VLOOKUP(A73,'Données projet'!$A$165:$I$185,9,0)</f>
        <v>4.9999999999999947</v>
      </c>
      <c r="DN73" s="13">
        <f t="array" ref="DN73">INDEX(DM:DM,MIN(IF(ISNUMBER(DM73:DM269),ROW(DM73:DM269),"")))</f>
        <v>4.9999999999999947</v>
      </c>
      <c r="DO73" s="13">
        <f>IF('Données projet'!$A$166&gt;35,DO72+DN73-DW72,IF(A73&lt;'Données projet'!$A$166,$DL$205^A73,IF(A73='Données projet'!$A$166,'Données projet'!$B$166,DO72+DN73-DW72)))</f>
        <v>265.38461538461536</v>
      </c>
      <c r="DP73" s="18">
        <f>DO73*VLOOKUP('Données projet'!$B$14,Paramètres!$A$1:$I$89,3,0)*VLOOKUP('Données projet'!$B$14,Paramètres!$A$1:$I$89,5,0)</f>
        <v>178.01999999999998</v>
      </c>
      <c r="DQ73" s="14">
        <f t="shared" si="97"/>
        <v>44.881389467952083</v>
      </c>
      <c r="DR73" s="22">
        <f t="shared" si="70"/>
        <v>388.21991999001648</v>
      </c>
      <c r="DS73" s="60">
        <f t="shared" si="71"/>
        <v>654.62546412702591</v>
      </c>
      <c r="DT73" s="60">
        <f ca="1">AVERAGE(OFFSET($DS$3,0,0,'Données projet'!$E$14+1,1))-AVERAGE(OFFSET($H$3,0,0,'Données projet'!$E$14+1,1))</f>
        <v>343.94240546037798</v>
      </c>
      <c r="DU73" s="60">
        <f t="shared" si="98"/>
        <v>277.30931495079346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27.564102564102562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0.42218253224912161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0.42218253224912161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280</v>
      </c>
      <c r="EH73" s="13">
        <f>VLOOKUP(A73,'Données projet'!$A$191:$I$211,9,0)</f>
        <v>6</v>
      </c>
      <c r="EI73" s="13">
        <f t="array" ref="EI73">INDEX(EH:EH,MIN(IF(ISNUMBER(EH73:EH269),ROW(EH73:EH269),"")))</f>
        <v>6</v>
      </c>
      <c r="EJ73" s="13">
        <f>IF('Données projet'!$A$192&gt;35,EJ72+EI73-ER72,IF(A73&lt;'Données projet'!$A$192,$EG$205^A73,IF(A73='Données projet'!$A$192,'Données projet'!$B$192,EJ72+EI73-ER72)))</f>
        <v>279.99999999999977</v>
      </c>
      <c r="EK73" s="18">
        <f>EJ73*VLOOKUP('Données projet'!$B$15,Paramètres!$A$1:$I$89,3,0)*VLOOKUP('Données projet'!$B$15,Paramètres!$A$1:$I$89,5,0)</f>
        <v>218.39999999999984</v>
      </c>
      <c r="EL73" s="14">
        <f t="shared" si="99"/>
        <v>53.766986031998471</v>
      </c>
      <c r="EM73" s="22">
        <f t="shared" si="73"/>
        <v>474.02416733906375</v>
      </c>
      <c r="EN73" s="60">
        <f t="shared" si="74"/>
        <v>740.42971147607318</v>
      </c>
      <c r="EO73" s="60">
        <f ca="1">AVERAGE(OFFSET($EN$3,0,0,'Données projet'!$E$15+1,1))-AVERAGE(OFFSET($H$3,0,0,'Données projet'!$E$15+1,1))</f>
        <v>308.76306523144956</v>
      </c>
      <c r="EP73" s="60">
        <f t="shared" si="100"/>
        <v>283.28099819802776</v>
      </c>
      <c r="EQ73" s="16">
        <f>IF(ISNA(VLOOKUP(A73,'Données projet'!$A$191:$I$211,3,0)),0,VLOOKUP(A73,'Données projet'!$A$191:$I$211,3,0))</f>
        <v>10</v>
      </c>
      <c r="ER73" s="16">
        <f>IF(ISNA(VLOOKUP(A73,'Données projet'!$A$191:$I$211,4,0)),0,VLOOKUP(A73,'Données projet'!$A$191:$I$211,4,0))</f>
        <v>20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217</v>
      </c>
      <c r="FC73" s="13">
        <f>VLOOKUP(A73,'Données projet'!$A$217:$I$237,9,0)</f>
        <v>3</v>
      </c>
      <c r="FD73" s="13">
        <f t="array" ref="FD73">INDEX(FC:FC,MIN(IF(ISNUMBER(FC73:FC269),ROW(FC73:FC269),"")))</f>
        <v>3</v>
      </c>
      <c r="FE73" s="13">
        <f>IF('Données projet'!$A$218&gt;35,FE72+FD73-FM72,IF(A73&lt;'Données projet'!$A$218,$FB$205^A73,IF(A73='Données projet'!$A$218,'Données projet'!$B$218,FE72+FD73-FM72)))</f>
        <v>216.99999999999989</v>
      </c>
      <c r="FF73" s="18">
        <f>FE73*VLOOKUP('Données projet'!$B$16,Paramètres!$A$1:$I$89,3,0)*VLOOKUP('Données projet'!$B$16,Paramètres!$A$1:$I$89,5,0)</f>
        <v>189.57119999999995</v>
      </c>
      <c r="FG73" s="14">
        <f t="shared" si="101"/>
        <v>47.44513879693244</v>
      </c>
      <c r="FH73" s="22">
        <f t="shared" si="76"/>
        <v>412.80345673799053</v>
      </c>
      <c r="FI73" s="60">
        <f t="shared" si="77"/>
        <v>679.20900087500002</v>
      </c>
      <c r="FJ73" s="60">
        <f ca="1">AVERAGE(OFFSET($FI$3,0,0,'Données projet'!$E$16+1,1))-AVERAGE(OFFSET($H$3,0,0,'Données projet'!$E$16+1,1))</f>
        <v>296.01124173332352</v>
      </c>
      <c r="FK73" s="60">
        <f t="shared" si="102"/>
        <v>315.50730924873733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16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213</v>
      </c>
      <c r="FX73" s="13">
        <f>VLOOKUP(A73,'Données projet'!$A$243:$I$263,9,0)</f>
        <v>5.6</v>
      </c>
      <c r="FY73" s="13">
        <f t="array" ref="FY73">INDEX(FX:FX,MIN(IF(ISNUMBER(FX73:FX269),ROW(FX73:FX269),"")))</f>
        <v>5.6</v>
      </c>
      <c r="FZ73" s="13">
        <f>IF('Données projet'!$A$244&gt;35,FZ72+FY73-GH72,IF(A73&lt;'Données projet'!$A$244,$FW$205^A73,IF(A73='Données projet'!$A$244,'Données projet'!$B$244,FZ72+FY73-GH72)))</f>
        <v>212.99999999999997</v>
      </c>
      <c r="GA73" s="18">
        <f>FZ73*VLOOKUP('Données projet'!$B$17,Paramètres!$A$1:$I$89,3,0)*VLOOKUP('Données projet'!$B$17,Paramètres!$A$1:$I$89,5,0)</f>
        <v>206.01359999999997</v>
      </c>
      <c r="GB73" s="14">
        <f t="shared" si="103"/>
        <v>51.063487709141434</v>
      </c>
      <c r="GC73" s="22">
        <f t="shared" si="79"/>
        <v>447.74259442675452</v>
      </c>
      <c r="GD73" s="60">
        <f t="shared" si="80"/>
        <v>714.14813856376395</v>
      </c>
      <c r="GE73" s="60">
        <f ca="1">AVERAGE(OFFSET($GD$3,0,0,'Données projet'!$E$17+1,1))-AVERAGE(OFFSET($H$3,0,0,'Données projet'!$E$17+1,1))</f>
        <v>391.18744390931187</v>
      </c>
      <c r="GF73" s="60">
        <f t="shared" si="104"/>
        <v>261.46982358454386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36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0.45001881900681595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0.45001881900681595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6.5</v>
      </c>
      <c r="N74" s="14">
        <f>IF('Données projet'!$A$36&gt;35,N73+M74-V73,IF(A74&lt;'Données projet'!$A$36,$K$205^A74,IF(A74='Données projet'!$A$36,'Données projet'!$B$36,N73+M74-V73)))</f>
        <v>247.00000000000006</v>
      </c>
      <c r="O74" s="14">
        <f>N74*VLOOKUP('Données projet'!$B$9,Paramètres!$A$1:$I$89,3,0)*VLOOKUP('Données projet'!$B$9,Paramètres!$A$1:$I$89,5,0)</f>
        <v>223.48560000000003</v>
      </c>
      <c r="P74" s="14">
        <f t="shared" si="87"/>
        <v>54.87176918107798</v>
      </c>
      <c r="Q74" s="22">
        <f t="shared" si="54"/>
        <v>484.80575132371087</v>
      </c>
      <c r="R74" s="60">
        <f t="shared" si="55"/>
        <v>751.67843240175876</v>
      </c>
      <c r="S74" s="60">
        <f ca="1">AVERAGE(OFFSET($R$3,0,0,'Données projet'!$E$9+1,1))-AVERAGE(OFFSET($H$3,0,0,'Données projet'!$E$9+1,1))</f>
        <v>469.15492079216403</v>
      </c>
      <c r="T74" s="60">
        <f t="shared" si="88"/>
        <v>250.47702091764884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6.5</v>
      </c>
      <c r="AI74" s="14">
        <f>IF('Données projet'!$A$62&gt;35,AI73+AH74-AQ73,IF(A74&lt;'Données projet'!$A$62,$AF$205^A74,IF(A74='Données projet'!$A$62,'Données projet'!$B$62,AI73+AH74-AQ73)))</f>
        <v>247.00000000000006</v>
      </c>
      <c r="AJ74" s="14">
        <f>AI74*VLOOKUP('Données projet'!$B$10,Paramètres!$A$1:$I$89,3,0)*VLOOKUP('Données projet'!$B$10,Paramètres!$A$1:$I$89,5,0)</f>
        <v>208.07280000000009</v>
      </c>
      <c r="AK74" s="14">
        <f t="shared" si="89"/>
        <v>51.514218302854367</v>
      </c>
      <c r="AL74" s="22">
        <f t="shared" si="58"/>
        <v>452.11405687747151</v>
      </c>
      <c r="AM74" s="60">
        <f t="shared" si="59"/>
        <v>718.9867379555194</v>
      </c>
      <c r="AN74" s="60">
        <f ca="1">AVERAGE(OFFSET($AM$3,0,0,'Données projet'!$E$10+1,1))-AVERAGE(OFFSET($H$3,0,0,'Données projet'!$E$10+1,1))</f>
        <v>442.49274132121275</v>
      </c>
      <c r="AO74" s="60">
        <f t="shared" si="90"/>
        <v>237.37463556402756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192.00000000000014</v>
      </c>
      <c r="BE74" s="14">
        <f>BD74*VLOOKUP('Données projet'!$B$11,Paramètres!$A$1:$I$89,3,0)*VLOOKUP('Données projet'!$B$11,Paramètres!$A$1:$I$89,5,0)</f>
        <v>125.7984000000001</v>
      </c>
      <c r="BF74" s="14">
        <f t="shared" si="91"/>
        <v>33.023644363399953</v>
      </c>
      <c r="BG74" s="22">
        <f t="shared" si="61"/>
        <v>276.61506059958839</v>
      </c>
      <c r="BH74" s="60">
        <f t="shared" si="62"/>
        <v>543.48774167763634</v>
      </c>
      <c r="BI74" s="60">
        <f ca="1">AVERAGE(OFFSET($BH$3,0,0,'Données projet'!$E$11+1,1))-AVERAGE(OFFSET($H$3,0,0,'Données projet'!$E$11+1,1))</f>
        <v>267.90768140488603</v>
      </c>
      <c r="BJ74" s="60">
        <f t="shared" si="92"/>
        <v>280.25465074992258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4.5999999999999996</v>
      </c>
      <c r="BY74" s="13">
        <f>IF('Données projet'!$A$114&gt;35,BY73+BX74-CG73,IF(A74&lt;'Données projet'!$A$114,$BV$205^A74,IF(A74='Données projet'!$A$114,'Données projet'!$B$114,BY73+BX74-CG73)))</f>
        <v>208.60000000000014</v>
      </c>
      <c r="BZ74" s="14">
        <f>BY74*VLOOKUP('Données projet'!$B$12,Paramètres!$A$1:$I$89,3,0)*VLOOKUP('Données projet'!$B$12,Paramètres!$A$1:$I$89,5,0)</f>
        <v>169.21632000000014</v>
      </c>
      <c r="CA74" s="14">
        <f t="shared" si="93"/>
        <v>42.91445816325745</v>
      </c>
      <c r="CB74" s="22">
        <f t="shared" si="64"/>
        <v>369.46110530100697</v>
      </c>
      <c r="CC74" s="60">
        <f t="shared" si="65"/>
        <v>636.33378637905491</v>
      </c>
      <c r="CD74" s="60">
        <f ca="1">AVERAGE(OFFSET($CC$3,0,0,'Données projet'!$E$12+1,1))-AVERAGE(OFFSET($H$3,0,0,'Données projet'!$E$12+1,1))</f>
        <v>308.6594206517259</v>
      </c>
      <c r="CE74" s="60">
        <f t="shared" si="94"/>
        <v>258.90832875500325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4.2307692307692264</v>
      </c>
      <c r="CT74" s="13">
        <f>IF('Données projet'!$A$140&gt;35,CT73+CS74-DB73,IF(A74&lt;'Données projet'!$A$140,$CQ$205^A74,IF(A74='Données projet'!$A$140,'Données projet'!$B$140,CT73+CS74-DB73)))</f>
        <v>190.76923076923069</v>
      </c>
      <c r="CU74" s="18">
        <f>CT74*VLOOKUP('Données projet'!$B$13,Paramètres!$A$1:$I$89,3,0)*VLOOKUP('Données projet'!$B$13,Paramètres!$A$1:$I$89,5,0)</f>
        <v>181.53599999999992</v>
      </c>
      <c r="CV74" s="14">
        <f t="shared" si="95"/>
        <v>45.663748686335502</v>
      </c>
      <c r="CW74" s="22">
        <f t="shared" si="67"/>
        <v>395.70622896203417</v>
      </c>
      <c r="CX74" s="60">
        <f t="shared" si="68"/>
        <v>662.57891004008206</v>
      </c>
      <c r="CY74" s="60">
        <f ca="1">AVERAGE(OFFSET($CX$3,0,0,'Données projet'!$E$13+1,1))-AVERAGE(OFFSET($H$3,0,0,'Données projet'!$E$13+1,1))</f>
        <v>397.63792993520934</v>
      </c>
      <c r="CZ74" s="60">
        <f t="shared" si="96"/>
        <v>300.63705521148802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4.6153846153846247</v>
      </c>
      <c r="DO74" s="13">
        <f>IF('Données projet'!$A$166&gt;35,DO73+DN74-DW73,IF(A74&lt;'Données projet'!$A$166,$DL$205^A74,IF(A74='Données projet'!$A$166,'Données projet'!$B$166,DO73+DN74-DW73)))</f>
        <v>242.43589743589743</v>
      </c>
      <c r="DP74" s="18">
        <f>DO74*VLOOKUP('Données projet'!$B$14,Paramètres!$A$1:$I$89,3,0)*VLOOKUP('Données projet'!$B$14,Paramètres!$A$1:$I$89,5,0)</f>
        <v>162.626</v>
      </c>
      <c r="DQ74" s="14">
        <f t="shared" si="97"/>
        <v>41.43425469159893</v>
      </c>
      <c r="DR74" s="22">
        <f t="shared" si="70"/>
        <v>355.40494358786822</v>
      </c>
      <c r="DS74" s="60">
        <f t="shared" si="71"/>
        <v>622.27762466591616</v>
      </c>
      <c r="DT74" s="60">
        <f ca="1">AVERAGE(OFFSET($DS$3,0,0,'Données projet'!$E$14+1,1))-AVERAGE(OFFSET($H$3,0,0,'Données projet'!$E$14+1,1))</f>
        <v>343.94240546037798</v>
      </c>
      <c r="DU74" s="60">
        <f t="shared" si="98"/>
        <v>277.30931495079346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0.41063792870315491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0.41063792870315491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5.2</v>
      </c>
      <c r="EJ74" s="13">
        <f>IF('Données projet'!$A$192&gt;35,EJ73+EI74-ER73,IF(A74&lt;'Données projet'!$A$192,$EG$205^A74,IF(A74='Données projet'!$A$192,'Données projet'!$B$192,EJ73+EI74-ER73)))</f>
        <v>265.19999999999976</v>
      </c>
      <c r="EK74" s="18">
        <f>EJ74*VLOOKUP('Données projet'!$B$15,Paramètres!$A$1:$I$89,3,0)*VLOOKUP('Données projet'!$B$15,Paramètres!$A$1:$I$89,5,0)</f>
        <v>206.85599999999982</v>
      </c>
      <c r="EL74" s="14">
        <f t="shared" si="99"/>
        <v>51.247940588293027</v>
      </c>
      <c r="EM74" s="22">
        <f t="shared" si="73"/>
        <v>449.53102985794334</v>
      </c>
      <c r="EN74" s="60">
        <f t="shared" si="74"/>
        <v>716.40371093599128</v>
      </c>
      <c r="EO74" s="60">
        <f ca="1">AVERAGE(OFFSET($EN$3,0,0,'Données projet'!$E$15+1,1))-AVERAGE(OFFSET($H$3,0,0,'Données projet'!$E$15+1,1))</f>
        <v>308.76306523144956</v>
      </c>
      <c r="EP74" s="60">
        <f t="shared" si="100"/>
        <v>283.28099819802776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2.6</v>
      </c>
      <c r="FE74" s="13">
        <f>IF('Données projet'!$A$218&gt;35,FE73+FD74-FM73,IF(A74&lt;'Données projet'!$A$218,$FB$205^A74,IF(A74='Données projet'!$A$218,'Données projet'!$B$218,FE73+FD74-FM73)))</f>
        <v>203.59999999999988</v>
      </c>
      <c r="FF74" s="18">
        <f>FE74*VLOOKUP('Données projet'!$B$16,Paramètres!$A$1:$I$89,3,0)*VLOOKUP('Données projet'!$B$16,Paramètres!$A$1:$I$89,5,0)</f>
        <v>177.86495999999994</v>
      </c>
      <c r="FG74" s="14">
        <f t="shared" si="101"/>
        <v>44.846849734353725</v>
      </c>
      <c r="FH74" s="22">
        <f t="shared" si="76"/>
        <v>387.8897352873326</v>
      </c>
      <c r="FI74" s="60">
        <f t="shared" si="77"/>
        <v>654.76241636538055</v>
      </c>
      <c r="FJ74" s="60">
        <f ca="1">AVERAGE(OFFSET($FI$3,0,0,'Données projet'!$E$16+1,1))-AVERAGE(OFFSET($H$3,0,0,'Données projet'!$E$16+1,1))</f>
        <v>296.01124173332352</v>
      </c>
      <c r="FK74" s="60">
        <f t="shared" si="102"/>
        <v>315.50730924873733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5.4</v>
      </c>
      <c r="FZ74" s="13">
        <f>IF('Données projet'!$A$244&gt;35,FZ73+FY74-GH73,IF(A74&lt;'Données projet'!$A$244,$FW$205^A74,IF(A74='Données projet'!$A$244,'Données projet'!$B$244,FZ73+FY74-GH73)))</f>
        <v>182.39999999999998</v>
      </c>
      <c r="GA74" s="18">
        <f>FZ74*VLOOKUP('Données projet'!$B$17,Paramètres!$A$1:$I$89,3,0)*VLOOKUP('Données projet'!$B$17,Paramètres!$A$1:$I$89,5,0)</f>
        <v>176.41727999999998</v>
      </c>
      <c r="GB74" s="14">
        <f t="shared" si="103"/>
        <v>44.524166703747255</v>
      </c>
      <c r="GC74" s="22">
        <f t="shared" si="79"/>
        <v>384.8063530090264</v>
      </c>
      <c r="GD74" s="60">
        <f t="shared" si="80"/>
        <v>651.67903408707434</v>
      </c>
      <c r="GE74" s="60">
        <f ca="1">AVERAGE(OFFSET($GD$3,0,0,'Données projet'!$E$17+1,1))-AVERAGE(OFFSET($H$3,0,0,'Données projet'!$E$17+1,1))</f>
        <v>391.18744390931187</v>
      </c>
      <c r="GF74" s="60">
        <f t="shared" si="104"/>
        <v>261.46982358454386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0.43771303073561341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0.43771303073561341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6.5</v>
      </c>
      <c r="N75" s="14">
        <f>IF('Données projet'!$A$36&gt;35,N74+M75-V74,IF(A75&lt;'Données projet'!$A$36,$K$205^A75,IF(A75='Données projet'!$A$36,'Données projet'!$B$36,N74+M75-V74)))</f>
        <v>253.50000000000006</v>
      </c>
      <c r="O75" s="14">
        <f>N75*VLOOKUP('Données projet'!$B$9,Paramètres!$A$1:$I$89,3,0)*VLOOKUP('Données projet'!$B$9,Paramètres!$A$1:$I$89,5,0)</f>
        <v>229.36680000000004</v>
      </c>
      <c r="P75" s="14">
        <f t="shared" si="87"/>
        <v>56.14574692729505</v>
      </c>
      <c r="Q75" s="22">
        <f t="shared" si="54"/>
        <v>497.26768589837224</v>
      </c>
      <c r="R75" s="60">
        <f t="shared" si="55"/>
        <v>764.59940013589335</v>
      </c>
      <c r="S75" s="60">
        <f ca="1">AVERAGE(OFFSET($R$3,0,0,'Données projet'!$E$9+1,1))-AVERAGE(OFFSET($H$3,0,0,'Données projet'!$E$9+1,1))</f>
        <v>469.15492079216403</v>
      </c>
      <c r="T75" s="60">
        <f t="shared" si="88"/>
        <v>250.47702091764884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6.5</v>
      </c>
      <c r="AI75" s="14">
        <f>IF('Données projet'!$A$62&gt;35,AI74+AH75-AQ74,IF(A75&lt;'Données projet'!$A$62,$AF$205^A75,IF(A75='Données projet'!$A$62,'Données projet'!$B$62,AI74+AH75-AQ74)))</f>
        <v>253.50000000000006</v>
      </c>
      <c r="AJ75" s="14">
        <f>AI75*VLOOKUP('Données projet'!$B$10,Paramètres!$A$1:$I$89,3,0)*VLOOKUP('Données projet'!$B$10,Paramètres!$A$1:$I$89,5,0)</f>
        <v>213.54840000000007</v>
      </c>
      <c r="AK75" s="14">
        <f t="shared" si="89"/>
        <v>52.710242573823848</v>
      </c>
      <c r="AL75" s="22">
        <f t="shared" si="58"/>
        <v>463.73380248274333</v>
      </c>
      <c r="AM75" s="60">
        <f t="shared" si="59"/>
        <v>731.06551672026444</v>
      </c>
      <c r="AN75" s="60">
        <f ca="1">AVERAGE(OFFSET($AM$3,0,0,'Données projet'!$E$10+1,1))-AVERAGE(OFFSET($H$3,0,0,'Données projet'!$E$10+1,1))</f>
        <v>442.49274132121275</v>
      </c>
      <c r="AO75" s="60">
        <f t="shared" si="90"/>
        <v>237.37463556402756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196.00000000000014</v>
      </c>
      <c r="BE75" s="14">
        <f>BD75*VLOOKUP('Données projet'!$B$11,Paramètres!$A$1:$I$89,3,0)*VLOOKUP('Données projet'!$B$11,Paramètres!$A$1:$I$89,5,0)</f>
        <v>128.41920000000007</v>
      </c>
      <c r="BF75" s="14">
        <f t="shared" si="91"/>
        <v>33.630823177860762</v>
      </c>
      <c r="BG75" s="22">
        <f t="shared" si="61"/>
        <v>282.23712370144091</v>
      </c>
      <c r="BH75" s="60">
        <f t="shared" si="62"/>
        <v>549.56883793896202</v>
      </c>
      <c r="BI75" s="60">
        <f ca="1">AVERAGE(OFFSET($BH$3,0,0,'Données projet'!$E$11+1,1))-AVERAGE(OFFSET($H$3,0,0,'Données projet'!$E$11+1,1))</f>
        <v>267.90768140488603</v>
      </c>
      <c r="BJ75" s="60">
        <f t="shared" si="92"/>
        <v>280.25465074992258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4.5999999999999996</v>
      </c>
      <c r="BY75" s="13">
        <f>IF('Données projet'!$A$114&gt;35,BY74+BX75-CG74,IF(A75&lt;'Données projet'!$A$114,$BV$205^A75,IF(A75='Données projet'!$A$114,'Données projet'!$B$114,BY74+BX75-CG74)))</f>
        <v>213.20000000000013</v>
      </c>
      <c r="BZ75" s="14">
        <f>BY75*VLOOKUP('Données projet'!$B$12,Paramètres!$A$1:$I$89,3,0)*VLOOKUP('Données projet'!$B$12,Paramètres!$A$1:$I$89,5,0)</f>
        <v>172.94784000000013</v>
      </c>
      <c r="CA75" s="14">
        <f t="shared" si="93"/>
        <v>43.749579650768077</v>
      </c>
      <c r="CB75" s="22">
        <f t="shared" si="64"/>
        <v>377.41467255842127</v>
      </c>
      <c r="CC75" s="60">
        <f t="shared" si="65"/>
        <v>644.74638679594239</v>
      </c>
      <c r="CD75" s="60">
        <f ca="1">AVERAGE(OFFSET($CC$3,0,0,'Données projet'!$E$12+1,1))-AVERAGE(OFFSET($H$3,0,0,'Données projet'!$E$12+1,1))</f>
        <v>308.6594206517259</v>
      </c>
      <c r="CE75" s="60">
        <f t="shared" si="94"/>
        <v>258.90832875500325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4.2307692307692264</v>
      </c>
      <c r="CT75" s="13">
        <f>IF('Données projet'!$A$140&gt;35,CT74+CS75-DB74,IF(A75&lt;'Données projet'!$A$140,$CQ$205^A75,IF(A75='Données projet'!$A$140,'Données projet'!$B$140,CT74+CS75-DB74)))</f>
        <v>194.99999999999991</v>
      </c>
      <c r="CU75" s="18">
        <f>CT75*VLOOKUP('Données projet'!$B$13,Paramètres!$A$1:$I$89,3,0)*VLOOKUP('Données projet'!$B$13,Paramètres!$A$1:$I$89,5,0)</f>
        <v>185.56199999999993</v>
      </c>
      <c r="CV75" s="14">
        <f t="shared" si="95"/>
        <v>46.557428480028548</v>
      </c>
      <c r="CW75" s="22">
        <f t="shared" si="67"/>
        <v>404.27467126938291</v>
      </c>
      <c r="CX75" s="60">
        <f t="shared" si="68"/>
        <v>671.60638550690396</v>
      </c>
      <c r="CY75" s="60">
        <f ca="1">AVERAGE(OFFSET($CX$3,0,0,'Données projet'!$E$13+1,1))-AVERAGE(OFFSET($H$3,0,0,'Données projet'!$E$13+1,1))</f>
        <v>397.63792993520934</v>
      </c>
      <c r="CZ75" s="60">
        <f t="shared" si="96"/>
        <v>300.63705521148802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4.6153846153846247</v>
      </c>
      <c r="DO75" s="13">
        <f>IF('Données projet'!$A$166&gt;35,DO74+DN75-DW74,IF(A75&lt;'Données projet'!$A$166,$DL$205^A75,IF(A75='Données projet'!$A$166,'Données projet'!$B$166,DO74+DN75-DW74)))</f>
        <v>247.05128205128204</v>
      </c>
      <c r="DP75" s="18">
        <f>DO75*VLOOKUP('Données projet'!$B$14,Paramètres!$A$1:$I$89,3,0)*VLOOKUP('Données projet'!$B$14,Paramètres!$A$1:$I$89,5,0)</f>
        <v>165.72199999999998</v>
      </c>
      <c r="DQ75" s="14">
        <f t="shared" si="97"/>
        <v>42.130477313738041</v>
      </c>
      <c r="DR75" s="22">
        <f t="shared" si="70"/>
        <v>362.00973132142695</v>
      </c>
      <c r="DS75" s="60">
        <f t="shared" si="71"/>
        <v>629.34144555894807</v>
      </c>
      <c r="DT75" s="60">
        <f ca="1">AVERAGE(OFFSET($DS$3,0,0,'Données projet'!$E$14+1,1))-AVERAGE(OFFSET($H$3,0,0,'Données projet'!$E$14+1,1))</f>
        <v>343.94240546037798</v>
      </c>
      <c r="DU75" s="60">
        <f t="shared" si="98"/>
        <v>277.30931495079346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0.39940901294825698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0.39940901294825698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5.2</v>
      </c>
      <c r="EJ75" s="13">
        <f>IF('Données projet'!$A$192&gt;35,EJ74+EI75-ER74,IF(A75&lt;'Données projet'!$A$192,$EG$205^A75,IF(A75='Données projet'!$A$192,'Données projet'!$B$192,EJ74+EI75-ER74)))</f>
        <v>270.39999999999975</v>
      </c>
      <c r="EK75" s="18">
        <f>EJ75*VLOOKUP('Données projet'!$B$15,Paramètres!$A$1:$I$89,3,0)*VLOOKUP('Données projet'!$B$15,Paramètres!$A$1:$I$89,5,0)</f>
        <v>210.91199999999981</v>
      </c>
      <c r="EL75" s="14">
        <f t="shared" si="99"/>
        <v>52.134830352456738</v>
      </c>
      <c r="EM75" s="22">
        <f t="shared" si="73"/>
        <v>458.13989619719513</v>
      </c>
      <c r="EN75" s="60">
        <f t="shared" si="74"/>
        <v>725.47161043471624</v>
      </c>
      <c r="EO75" s="60">
        <f ca="1">AVERAGE(OFFSET($EN$3,0,0,'Données projet'!$E$15+1,1))-AVERAGE(OFFSET($H$3,0,0,'Données projet'!$E$15+1,1))</f>
        <v>308.76306523144956</v>
      </c>
      <c r="EP75" s="60">
        <f t="shared" si="100"/>
        <v>283.28099819802776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2.6</v>
      </c>
      <c r="FE75" s="13">
        <f>IF('Données projet'!$A$218&gt;35,FE74+FD75-FM74,IF(A75&lt;'Données projet'!$A$218,$FB$205^A75,IF(A75='Données projet'!$A$218,'Données projet'!$B$218,FE74+FD75-FM74)))</f>
        <v>206.19999999999987</v>
      </c>
      <c r="FF75" s="18">
        <f>FE75*VLOOKUP('Données projet'!$B$16,Paramètres!$A$1:$I$89,3,0)*VLOOKUP('Données projet'!$B$16,Paramètres!$A$1:$I$89,5,0)</f>
        <v>180.1363199999999</v>
      </c>
      <c r="FG75" s="14">
        <f t="shared" si="101"/>
        <v>45.352513518602102</v>
      </c>
      <c r="FH75" s="22">
        <f t="shared" si="76"/>
        <v>392.72638504489845</v>
      </c>
      <c r="FI75" s="60">
        <f t="shared" si="77"/>
        <v>660.05809928241956</v>
      </c>
      <c r="FJ75" s="60">
        <f ca="1">AVERAGE(OFFSET($FI$3,0,0,'Données projet'!$E$16+1,1))-AVERAGE(OFFSET($H$3,0,0,'Données projet'!$E$16+1,1))</f>
        <v>296.01124173332352</v>
      </c>
      <c r="FK75" s="60">
        <f t="shared" si="102"/>
        <v>315.50730924873733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5.4</v>
      </c>
      <c r="FZ75" s="13">
        <f>IF('Données projet'!$A$244&gt;35,FZ74+FY75-GH74,IF(A75&lt;'Données projet'!$A$244,$FW$205^A75,IF(A75='Données projet'!$A$244,'Données projet'!$B$244,FZ74+FY75-GH74)))</f>
        <v>187.79999999999998</v>
      </c>
      <c r="GA75" s="18">
        <f>FZ75*VLOOKUP('Données projet'!$B$17,Paramètres!$A$1:$I$89,3,0)*VLOOKUP('Données projet'!$B$17,Paramètres!$A$1:$I$89,5,0)</f>
        <v>181.64016000000001</v>
      </c>
      <c r="GB75" s="14">
        <f t="shared" si="103"/>
        <v>45.686898685414505</v>
      </c>
      <c r="GC75" s="22">
        <f t="shared" si="79"/>
        <v>395.92796054376362</v>
      </c>
      <c r="GD75" s="60">
        <f t="shared" si="80"/>
        <v>663.25967478128473</v>
      </c>
      <c r="GE75" s="60">
        <f ca="1">AVERAGE(OFFSET($GD$3,0,0,'Données projet'!$E$17+1,1))-AVERAGE(OFFSET($H$3,0,0,'Données projet'!$E$17+1,1))</f>
        <v>391.18744390931187</v>
      </c>
      <c r="GF75" s="60">
        <f t="shared" si="104"/>
        <v>261.46982358454386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0.42574374489182015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0.42574374489182015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6.5</v>
      </c>
      <c r="N76" s="14">
        <f>IF('Données projet'!$A$36&gt;35,N75+M76-V75,IF(A76&lt;'Données projet'!$A$36,$K$205^A76,IF(A76='Données projet'!$A$36,'Données projet'!$B$36,N75+M76-V75)))</f>
        <v>260.00000000000006</v>
      </c>
      <c r="O76" s="14">
        <f>N76*VLOOKUP('Données projet'!$B$9,Paramètres!$A$1:$I$89,3,0)*VLOOKUP('Données projet'!$B$9,Paramètres!$A$1:$I$89,5,0)</f>
        <v>235.24800000000002</v>
      </c>
      <c r="P76" s="14">
        <f t="shared" si="87"/>
        <v>57.41592756883739</v>
      </c>
      <c r="Q76" s="22">
        <f t="shared" si="54"/>
        <v>509.72300718239177</v>
      </c>
      <c r="R76" s="60">
        <f t="shared" si="55"/>
        <v>777.50579138031355</v>
      </c>
      <c r="S76" s="60">
        <f ca="1">AVERAGE(OFFSET($R$3,0,0,'Données projet'!$E$9+1,1))-AVERAGE(OFFSET($H$3,0,0,'Données projet'!$E$9+1,1))</f>
        <v>469.15492079216403</v>
      </c>
      <c r="T76" s="60">
        <f t="shared" si="88"/>
        <v>250.47702091764884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6.5</v>
      </c>
      <c r="AI76" s="14">
        <f>IF('Données projet'!$A$62&gt;35,AI75+AH76-AQ75,IF(A76&lt;'Données projet'!$A$62,$AF$205^A76,IF(A76='Données projet'!$A$62,'Données projet'!$B$62,AI75+AH76-AQ75)))</f>
        <v>260.00000000000006</v>
      </c>
      <c r="AJ76" s="14">
        <f>AI76*VLOOKUP('Données projet'!$B$10,Paramètres!$A$1:$I$89,3,0)*VLOOKUP('Données projet'!$B$10,Paramètres!$A$1:$I$89,5,0)</f>
        <v>219.02400000000006</v>
      </c>
      <c r="AK76" s="14">
        <f t="shared" si="89"/>
        <v>53.902702081308355</v>
      </c>
      <c r="AL76" s="22">
        <f t="shared" si="58"/>
        <v>475.34733945827878</v>
      </c>
      <c r="AM76" s="60">
        <f t="shared" si="59"/>
        <v>743.13012365620057</v>
      </c>
      <c r="AN76" s="60">
        <f ca="1">AVERAGE(OFFSET($AM$3,0,0,'Données projet'!$E$10+1,1))-AVERAGE(OFFSET($H$3,0,0,'Données projet'!$E$10+1,1))</f>
        <v>442.49274132121275</v>
      </c>
      <c r="AO76" s="60">
        <f t="shared" si="90"/>
        <v>237.37463556402756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200.00000000000014</v>
      </c>
      <c r="BE76" s="14">
        <f>BD76*VLOOKUP('Données projet'!$B$11,Paramètres!$A$1:$I$89,3,0)*VLOOKUP('Données projet'!$B$11,Paramètres!$A$1:$I$89,5,0)</f>
        <v>131.04000000000011</v>
      </c>
      <c r="BF76" s="14">
        <f t="shared" si="91"/>
        <v>34.236561238949953</v>
      </c>
      <c r="BG76" s="22">
        <f t="shared" si="61"/>
        <v>287.8566774911713</v>
      </c>
      <c r="BH76" s="60">
        <f t="shared" si="62"/>
        <v>555.63946168909308</v>
      </c>
      <c r="BI76" s="60">
        <f ca="1">AVERAGE(OFFSET($BH$3,0,0,'Données projet'!$E$11+1,1))-AVERAGE(OFFSET($H$3,0,0,'Données projet'!$E$11+1,1))</f>
        <v>267.90768140488603</v>
      </c>
      <c r="BJ76" s="60">
        <f t="shared" si="92"/>
        <v>280.25465074992258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4.5999999999999996</v>
      </c>
      <c r="BY76" s="13">
        <f>IF('Données projet'!$A$114&gt;35,BY75+BX76-CG75,IF(A76&lt;'Données projet'!$A$114,$BV$205^A76,IF(A76='Données projet'!$A$114,'Données projet'!$B$114,BY75+BX76-CG75)))</f>
        <v>217.80000000000013</v>
      </c>
      <c r="BZ76" s="14">
        <f>BY76*VLOOKUP('Données projet'!$B$12,Paramètres!$A$1:$I$89,3,0)*VLOOKUP('Données projet'!$B$12,Paramètres!$A$1:$I$89,5,0)</f>
        <v>176.67936000000012</v>
      </c>
      <c r="CA76" s="14">
        <f t="shared" si="93"/>
        <v>44.5826062365838</v>
      </c>
      <c r="CB76" s="22">
        <f t="shared" si="64"/>
        <v>385.36459119538364</v>
      </c>
      <c r="CC76" s="60">
        <f t="shared" si="65"/>
        <v>653.14737539330542</v>
      </c>
      <c r="CD76" s="60">
        <f ca="1">AVERAGE(OFFSET($CC$3,0,0,'Données projet'!$E$12+1,1))-AVERAGE(OFFSET($H$3,0,0,'Données projet'!$E$12+1,1))</f>
        <v>308.6594206517259</v>
      </c>
      <c r="CE76" s="60">
        <f t="shared" si="94"/>
        <v>258.90832875500325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4.2307692307692264</v>
      </c>
      <c r="CT76" s="13">
        <f>IF('Données projet'!$A$140&gt;35,CT75+CS76-DB75,IF(A76&lt;'Données projet'!$A$140,$CQ$205^A76,IF(A76='Données projet'!$A$140,'Données projet'!$B$140,CT75+CS76-DB75)))</f>
        <v>199.23076923076914</v>
      </c>
      <c r="CU76" s="18">
        <f>CT76*VLOOKUP('Données projet'!$B$13,Paramètres!$A$1:$I$89,3,0)*VLOOKUP('Données projet'!$B$13,Paramètres!$A$1:$I$89,5,0)</f>
        <v>189.58799999999991</v>
      </c>
      <c r="CV76" s="14">
        <f t="shared" si="95"/>
        <v>47.44885399619001</v>
      </c>
      <c r="CW76" s="22">
        <f t="shared" si="67"/>
        <v>412.83918737669734</v>
      </c>
      <c r="CX76" s="60">
        <f t="shared" si="68"/>
        <v>680.62197157461912</v>
      </c>
      <c r="CY76" s="60">
        <f ca="1">AVERAGE(OFFSET($CX$3,0,0,'Données projet'!$E$13+1,1))-AVERAGE(OFFSET($H$3,0,0,'Données projet'!$E$13+1,1))</f>
        <v>397.63792993520934</v>
      </c>
      <c r="CZ76" s="60">
        <f t="shared" si="96"/>
        <v>300.63705521148802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4.6153846153846247</v>
      </c>
      <c r="DO76" s="13">
        <f>IF('Données projet'!$A$166&gt;35,DO75+DN76-DW75,IF(A76&lt;'Données projet'!$A$166,$DL$205^A76,IF(A76='Données projet'!$A$166,'Données projet'!$B$166,DO75+DN76-DW75)))</f>
        <v>251.66666666666666</v>
      </c>
      <c r="DP76" s="18">
        <f>DO76*VLOOKUP('Données projet'!$B$14,Paramètres!$A$1:$I$89,3,0)*VLOOKUP('Données projet'!$B$14,Paramètres!$A$1:$I$89,5,0)</f>
        <v>168.81799999999998</v>
      </c>
      <c r="DQ76" s="14">
        <f t="shared" si="97"/>
        <v>42.825187501685285</v>
      </c>
      <c r="DR76" s="22">
        <f t="shared" si="70"/>
        <v>368.61188489876849</v>
      </c>
      <c r="DS76" s="60">
        <f t="shared" si="71"/>
        <v>636.39466909669022</v>
      </c>
      <c r="DT76" s="60">
        <f ca="1">AVERAGE(OFFSET($DS$3,0,0,'Données projet'!$E$14+1,1))-AVERAGE(OFFSET($H$3,0,0,'Données projet'!$E$14+1,1))</f>
        <v>343.94240546037798</v>
      </c>
      <c r="DU76" s="60">
        <f t="shared" si="98"/>
        <v>277.30931495079346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0.38848715248517979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0.38848715248517979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5.2</v>
      </c>
      <c r="EJ76" s="13">
        <f>IF('Données projet'!$A$192&gt;35,EJ75+EI76-ER75,IF(A76&lt;'Données projet'!$A$192,$EG$205^A76,IF(A76='Données projet'!$A$192,'Données projet'!$B$192,EJ75+EI76-ER75)))</f>
        <v>275.59999999999974</v>
      </c>
      <c r="EK76" s="18">
        <f>EJ76*VLOOKUP('Données projet'!$B$15,Paramètres!$A$1:$I$89,3,0)*VLOOKUP('Données projet'!$B$15,Paramètres!$A$1:$I$89,5,0)</f>
        <v>214.96799999999979</v>
      </c>
      <c r="EL76" s="14">
        <f t="shared" si="99"/>
        <v>53.019736939092944</v>
      </c>
      <c r="EM76" s="22">
        <f t="shared" si="73"/>
        <v>466.74530850225307</v>
      </c>
      <c r="EN76" s="60">
        <f t="shared" si="74"/>
        <v>734.52809270017485</v>
      </c>
      <c r="EO76" s="60">
        <f ca="1">AVERAGE(OFFSET($EN$3,0,0,'Données projet'!$E$15+1,1))-AVERAGE(OFFSET($H$3,0,0,'Données projet'!$E$15+1,1))</f>
        <v>308.76306523144956</v>
      </c>
      <c r="EP76" s="60">
        <f t="shared" si="100"/>
        <v>283.28099819802776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2.6</v>
      </c>
      <c r="FE76" s="13">
        <f>IF('Données projet'!$A$218&gt;35,FE75+FD76-FM75,IF(A76&lt;'Données projet'!$A$218,$FB$205^A76,IF(A76='Données projet'!$A$218,'Données projet'!$B$218,FE75+FD76-FM75)))</f>
        <v>208.79999999999987</v>
      </c>
      <c r="FF76" s="18">
        <f>FE76*VLOOKUP('Données projet'!$B$16,Paramètres!$A$1:$I$89,3,0)*VLOOKUP('Données projet'!$B$16,Paramètres!$A$1:$I$89,5,0)</f>
        <v>182.40767999999991</v>
      </c>
      <c r="FG76" s="14">
        <f t="shared" si="101"/>
        <v>45.857435663065921</v>
      </c>
      <c r="FH76" s="22">
        <f t="shared" si="76"/>
        <v>397.56174311317301</v>
      </c>
      <c r="FI76" s="60">
        <f t="shared" si="77"/>
        <v>665.34452731109479</v>
      </c>
      <c r="FJ76" s="60">
        <f ca="1">AVERAGE(OFFSET($FI$3,0,0,'Données projet'!$E$16+1,1))-AVERAGE(OFFSET($H$3,0,0,'Données projet'!$E$16+1,1))</f>
        <v>296.01124173332352</v>
      </c>
      <c r="FK76" s="60">
        <f t="shared" si="102"/>
        <v>315.50730924873733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5.4</v>
      </c>
      <c r="FZ76" s="13">
        <f>IF('Données projet'!$A$244&gt;35,FZ75+FY76-GH75,IF(A76&lt;'Données projet'!$A$244,$FW$205^A76,IF(A76='Données projet'!$A$244,'Données projet'!$B$244,FZ75+FY76-GH75)))</f>
        <v>193.2</v>
      </c>
      <c r="GA76" s="18">
        <f>FZ76*VLOOKUP('Données projet'!$B$17,Paramètres!$A$1:$I$89,3,0)*VLOOKUP('Données projet'!$B$17,Paramètres!$A$1:$I$89,5,0)</f>
        <v>186.86303999999998</v>
      </c>
      <c r="GB76" s="14">
        <f t="shared" si="103"/>
        <v>46.845744983534466</v>
      </c>
      <c r="GC76" s="22">
        <f t="shared" si="79"/>
        <v>407.04280051298912</v>
      </c>
      <c r="GD76" s="60">
        <f t="shared" si="80"/>
        <v>674.8255847109109</v>
      </c>
      <c r="GE76" s="60">
        <f ca="1">AVERAGE(OFFSET($GD$3,0,0,'Données projet'!$E$17+1,1))-AVERAGE(OFFSET($H$3,0,0,'Données projet'!$E$17+1,1))</f>
        <v>391.18744390931187</v>
      </c>
      <c r="GF76" s="60">
        <f t="shared" si="104"/>
        <v>261.46982358454386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0.41410175979886282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0.41410175979886282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6.5</v>
      </c>
      <c r="N77" s="14">
        <f>IF('Données projet'!$A$36&gt;35,N76+M77-V76,IF(A77&lt;'Données projet'!$A$36,$K$205^A77,IF(A77='Données projet'!$A$36,'Données projet'!$B$36,N76+M77-V76)))</f>
        <v>266.50000000000006</v>
      </c>
      <c r="O77" s="14">
        <f>N77*VLOOKUP('Données projet'!$B$9,Paramètres!$A$1:$I$89,3,0)*VLOOKUP('Données projet'!$B$9,Paramètres!$A$1:$I$89,5,0)</f>
        <v>241.12920000000005</v>
      </c>
      <c r="P77" s="14">
        <f t="shared" si="87"/>
        <v>58.68241695115406</v>
      </c>
      <c r="Q77" s="22">
        <f t="shared" si="54"/>
        <v>522.17189952326009</v>
      </c>
      <c r="R77" s="60">
        <f t="shared" si="55"/>
        <v>790.39792862621096</v>
      </c>
      <c r="S77" s="60">
        <f ca="1">AVERAGE(OFFSET($R$3,0,0,'Données projet'!$E$9+1,1))-AVERAGE(OFFSET($H$3,0,0,'Données projet'!$E$9+1,1))</f>
        <v>469.15492079216403</v>
      </c>
      <c r="T77" s="60">
        <f t="shared" si="88"/>
        <v>250.47702091764884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6.5</v>
      </c>
      <c r="AI77" s="14">
        <f>IF('Données projet'!$A$62&gt;35,AI76+AH77-AQ76,IF(A77&lt;'Données projet'!$A$62,$AF$205^A77,IF(A77='Données projet'!$A$62,'Données projet'!$B$62,AI76+AH77-AQ76)))</f>
        <v>266.50000000000006</v>
      </c>
      <c r="AJ77" s="14">
        <f>AI77*VLOOKUP('Données projet'!$B$10,Paramètres!$A$1:$I$89,3,0)*VLOOKUP('Données projet'!$B$10,Paramètres!$A$1:$I$89,5,0)</f>
        <v>224.4996000000001</v>
      </c>
      <c r="AK77" s="14">
        <f t="shared" si="89"/>
        <v>55.091696194175533</v>
      </c>
      <c r="AL77" s="22">
        <f t="shared" si="58"/>
        <v>486.95484087152255</v>
      </c>
      <c r="AM77" s="60">
        <f t="shared" si="59"/>
        <v>755.18086997447335</v>
      </c>
      <c r="AN77" s="60">
        <f ca="1">AVERAGE(OFFSET($AM$3,0,0,'Données projet'!$E$10+1,1))-AVERAGE(OFFSET($H$3,0,0,'Données projet'!$E$10+1,1))</f>
        <v>442.49274132121275</v>
      </c>
      <c r="AO77" s="60">
        <f t="shared" si="90"/>
        <v>237.37463556402756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204.00000000000014</v>
      </c>
      <c r="BE77" s="14">
        <f>BD77*VLOOKUP('Données projet'!$B$11,Paramètres!$A$1:$I$89,3,0)*VLOOKUP('Données projet'!$B$11,Paramètres!$A$1:$I$89,5,0)</f>
        <v>133.66080000000008</v>
      </c>
      <c r="BF77" s="14">
        <f t="shared" si="91"/>
        <v>34.840890682716747</v>
      </c>
      <c r="BG77" s="22">
        <f t="shared" si="61"/>
        <v>293.47377793906509</v>
      </c>
      <c r="BH77" s="60">
        <f t="shared" si="62"/>
        <v>561.69980704201589</v>
      </c>
      <c r="BI77" s="60">
        <f ca="1">AVERAGE(OFFSET($BH$3,0,0,'Données projet'!$E$11+1,1))-AVERAGE(OFFSET($H$3,0,0,'Données projet'!$E$11+1,1))</f>
        <v>267.90768140488603</v>
      </c>
      <c r="BJ77" s="60">
        <f t="shared" si="92"/>
        <v>280.25465074992258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4.5999999999999996</v>
      </c>
      <c r="BY77" s="13">
        <f>IF('Données projet'!$A$114&gt;35,BY76+BX77-CG76,IF(A77&lt;'Données projet'!$A$114,$BV$205^A77,IF(A77='Données projet'!$A$114,'Données projet'!$B$114,BY76+BX77-CG76)))</f>
        <v>222.40000000000012</v>
      </c>
      <c r="BZ77" s="14">
        <f>BY77*VLOOKUP('Données projet'!$B$12,Paramètres!$A$1:$I$89,3,0)*VLOOKUP('Données projet'!$B$12,Paramètres!$A$1:$I$89,5,0)</f>
        <v>180.41088000000011</v>
      </c>
      <c r="CA77" s="14">
        <f t="shared" si="93"/>
        <v>45.413587262495575</v>
      </c>
      <c r="CB77" s="22">
        <f t="shared" si="64"/>
        <v>393.31094714884665</v>
      </c>
      <c r="CC77" s="60">
        <f t="shared" si="65"/>
        <v>661.53697625179757</v>
      </c>
      <c r="CD77" s="60">
        <f ca="1">AVERAGE(OFFSET($CC$3,0,0,'Données projet'!$E$12+1,1))-AVERAGE(OFFSET($H$3,0,0,'Données projet'!$E$12+1,1))</f>
        <v>308.6594206517259</v>
      </c>
      <c r="CE77" s="60">
        <f t="shared" si="94"/>
        <v>258.90832875500325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4.2307692307692264</v>
      </c>
      <c r="CT77" s="13">
        <f>IF('Données projet'!$A$140&gt;35,CT76+CS77-DB76,IF(A77&lt;'Données projet'!$A$140,$CQ$205^A77,IF(A77='Données projet'!$A$140,'Données projet'!$B$140,CT76+CS77-DB76)))</f>
        <v>203.46153846153837</v>
      </c>
      <c r="CU77" s="18">
        <f>CT77*VLOOKUP('Données projet'!$B$13,Paramètres!$A$1:$I$89,3,0)*VLOOKUP('Données projet'!$B$13,Paramètres!$A$1:$I$89,5,0)</f>
        <v>193.61399999999992</v>
      </c>
      <c r="CV77" s="14">
        <f t="shared" si="95"/>
        <v>48.338078619840999</v>
      </c>
      <c r="CW77" s="22">
        <f t="shared" si="67"/>
        <v>421.39987026288958</v>
      </c>
      <c r="CX77" s="60">
        <f t="shared" si="68"/>
        <v>689.6258993658405</v>
      </c>
      <c r="CY77" s="60">
        <f ca="1">AVERAGE(OFFSET($CX$3,0,0,'Données projet'!$E$13+1,1))-AVERAGE(OFFSET($H$3,0,0,'Données projet'!$E$13+1,1))</f>
        <v>397.63792993520934</v>
      </c>
      <c r="CZ77" s="60">
        <f t="shared" si="96"/>
        <v>300.63705521148802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4.6153846153846247</v>
      </c>
      <c r="DO77" s="13">
        <f>IF('Données projet'!$A$166&gt;35,DO76+DN77-DW76,IF(A77&lt;'Données projet'!$A$166,$DL$205^A77,IF(A77='Données projet'!$A$166,'Données projet'!$B$166,DO76+DN77-DW76)))</f>
        <v>256.28205128205127</v>
      </c>
      <c r="DP77" s="18">
        <f>DO77*VLOOKUP('Données projet'!$B$14,Paramètres!$A$1:$I$89,3,0)*VLOOKUP('Données projet'!$B$14,Paramètres!$A$1:$I$89,5,0)</f>
        <v>171.91400000000002</v>
      </c>
      <c r="DQ77" s="14">
        <f t="shared" si="97"/>
        <v>43.518416191440224</v>
      </c>
      <c r="DR77" s="22">
        <f t="shared" si="70"/>
        <v>375.21145820009173</v>
      </c>
      <c r="DS77" s="60">
        <f t="shared" si="71"/>
        <v>643.43748730304264</v>
      </c>
      <c r="DT77" s="60">
        <f ca="1">AVERAGE(OFFSET($DS$3,0,0,'Données projet'!$E$14+1,1))-AVERAGE(OFFSET($H$3,0,0,'Données projet'!$E$14+1,1))</f>
        <v>343.94240546037798</v>
      </c>
      <c r="DU77" s="60">
        <f t="shared" si="98"/>
        <v>277.30931495079346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0.37786395087082109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0.37786395087082109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5.2</v>
      </c>
      <c r="EJ77" s="13">
        <f>IF('Données projet'!$A$192&gt;35,EJ76+EI77-ER76,IF(A77&lt;'Données projet'!$A$192,$EG$205^A77,IF(A77='Données projet'!$A$192,'Données projet'!$B$192,EJ76+EI77-ER76)))</f>
        <v>280.79999999999973</v>
      </c>
      <c r="EK77" s="18">
        <f>EJ77*VLOOKUP('Données projet'!$B$15,Paramètres!$A$1:$I$89,3,0)*VLOOKUP('Données projet'!$B$15,Paramètres!$A$1:$I$89,5,0)</f>
        <v>219.0239999999998</v>
      </c>
      <c r="EL77" s="14">
        <f t="shared" si="99"/>
        <v>53.902702081308306</v>
      </c>
      <c r="EM77" s="22">
        <f t="shared" si="73"/>
        <v>475.34733945827821</v>
      </c>
      <c r="EN77" s="60">
        <f t="shared" si="74"/>
        <v>743.57336856122902</v>
      </c>
      <c r="EO77" s="60">
        <f ca="1">AVERAGE(OFFSET($EN$3,0,0,'Données projet'!$E$15+1,1))-AVERAGE(OFFSET($H$3,0,0,'Données projet'!$E$15+1,1))</f>
        <v>308.76306523144956</v>
      </c>
      <c r="EP77" s="60">
        <f t="shared" si="100"/>
        <v>283.28099819802776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2.6</v>
      </c>
      <c r="FE77" s="13">
        <f>IF('Données projet'!$A$218&gt;35,FE76+FD77-FM76,IF(A77&lt;'Données projet'!$A$218,$FB$205^A77,IF(A77='Données projet'!$A$218,'Données projet'!$B$218,FE76+FD77-FM76)))</f>
        <v>211.39999999999986</v>
      </c>
      <c r="FF77" s="18">
        <f>FE77*VLOOKUP('Données projet'!$B$16,Paramètres!$A$1:$I$89,3,0)*VLOOKUP('Données projet'!$B$16,Paramètres!$A$1:$I$89,5,0)</f>
        <v>184.6790399999999</v>
      </c>
      <c r="FG77" s="14">
        <f t="shared" si="101"/>
        <v>46.361626470742181</v>
      </c>
      <c r="FH77" s="22">
        <f t="shared" si="76"/>
        <v>402.39582743654245</v>
      </c>
      <c r="FI77" s="60">
        <f t="shared" si="77"/>
        <v>670.62185653949336</v>
      </c>
      <c r="FJ77" s="60">
        <f ca="1">AVERAGE(OFFSET($FI$3,0,0,'Données projet'!$E$16+1,1))-AVERAGE(OFFSET($H$3,0,0,'Données projet'!$E$16+1,1))</f>
        <v>296.01124173332352</v>
      </c>
      <c r="FK77" s="60">
        <f t="shared" si="102"/>
        <v>315.50730924873733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5.4</v>
      </c>
      <c r="FZ77" s="13">
        <f>IF('Données projet'!$A$244&gt;35,FZ76+FY77-GH76,IF(A77&lt;'Données projet'!$A$244,$FW$205^A77,IF(A77='Données projet'!$A$244,'Données projet'!$B$244,FZ76+FY77-GH76)))</f>
        <v>198.6</v>
      </c>
      <c r="GA77" s="18">
        <f>FZ77*VLOOKUP('Données projet'!$B$17,Paramètres!$A$1:$I$89,3,0)*VLOOKUP('Données projet'!$B$17,Paramètres!$A$1:$I$89,5,0)</f>
        <v>192.08591999999999</v>
      </c>
      <c r="GB77" s="14">
        <f t="shared" si="103"/>
        <v>48.000826680832219</v>
      </c>
      <c r="GC77" s="22">
        <f t="shared" si="79"/>
        <v>418.15108380244942</v>
      </c>
      <c r="GD77" s="60">
        <f t="shared" si="80"/>
        <v>686.37711290540028</v>
      </c>
      <c r="GE77" s="60">
        <f ca="1">AVERAGE(OFFSET($GD$3,0,0,'Données projet'!$E$17+1,1))-AVERAGE(OFFSET($H$3,0,0,'Données projet'!$E$17+1,1))</f>
        <v>391.18744390931187</v>
      </c>
      <c r="GF77" s="60">
        <f t="shared" si="104"/>
        <v>261.46982358454386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0.40277812540049779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0.40277812540049779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6.5</v>
      </c>
      <c r="M78" s="13">
        <f t="array" ref="M78">INDEX(L:L,MIN(IF(ISNUMBER(L78:L274),ROW(L78:L274),"")))</f>
        <v>6.5</v>
      </c>
      <c r="N78" s="14">
        <f>IF('Données projet'!$A$36&gt;35,N77+M78-V77,IF(A78&lt;'Données projet'!$A$36,$K$205^A78,IF(A78='Données projet'!$A$36,'Données projet'!$B$36,N77+M78-V77)))</f>
        <v>273.00000000000006</v>
      </c>
      <c r="O78" s="14">
        <f>N78*VLOOKUP('Données projet'!$B$9,Paramètres!$A$1:$I$89,3,0)*VLOOKUP('Données projet'!$B$9,Paramètres!$A$1:$I$89,5,0)</f>
        <v>247.01040000000006</v>
      </c>
      <c r="P78" s="14">
        <f t="shared" si="87"/>
        <v>59.945315462121812</v>
      </c>
      <c r="Q78" s="22">
        <f t="shared" si="54"/>
        <v>534.61453776319547</v>
      </c>
      <c r="R78" s="60">
        <f t="shared" si="55"/>
        <v>803.27612246302033</v>
      </c>
      <c r="S78" s="60">
        <f ca="1">AVERAGE(OFFSET($R$3,0,0,'Données projet'!$E$9+1,1))-AVERAGE(OFFSET($H$3,0,0,'Données projet'!$E$9+1,1))</f>
        <v>469.15492079216403</v>
      </c>
      <c r="T78" s="60">
        <f t="shared" si="88"/>
        <v>250.47702091764884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6.5</v>
      </c>
      <c r="AH78" s="13">
        <f t="array" ref="AH78">INDEX(AG:AG,MIN(IF(ISNUMBER(AG78:AG274),ROW(AG78:AG274),"")))</f>
        <v>6.5</v>
      </c>
      <c r="AI78" s="14">
        <f>IF('Données projet'!$A$62&gt;35,AI77+AH78-AQ77,IF(A78&lt;'Données projet'!$A$62,$AF$205^A78,IF(A78='Données projet'!$A$62,'Données projet'!$B$62,AI77+AH78-AQ77)))</f>
        <v>273.00000000000006</v>
      </c>
      <c r="AJ78" s="14">
        <f>AI78*VLOOKUP('Données projet'!$B$10,Paramètres!$A$1:$I$89,3,0)*VLOOKUP('Données projet'!$B$10,Paramètres!$A$1:$I$89,5,0)</f>
        <v>229.97520000000009</v>
      </c>
      <c r="AK78" s="14">
        <f t="shared" si="89"/>
        <v>56.277319157664316</v>
      </c>
      <c r="AL78" s="22">
        <f t="shared" si="58"/>
        <v>498.55647086626544</v>
      </c>
      <c r="AM78" s="60">
        <f t="shared" si="59"/>
        <v>767.21805556609024</v>
      </c>
      <c r="AN78" s="60">
        <f ca="1">AVERAGE(OFFSET($AM$3,0,0,'Données projet'!$E$10+1,1))-AVERAGE(OFFSET($H$3,0,0,'Données projet'!$E$10+1,1))</f>
        <v>442.49274132121275</v>
      </c>
      <c r="AO78" s="60">
        <f t="shared" si="90"/>
        <v>237.37463556402756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208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208.00000000000014</v>
      </c>
      <c r="BE78" s="14">
        <f>BD78*VLOOKUP('Données projet'!$B$11,Paramètres!$A$1:$I$89,3,0)*VLOOKUP('Données projet'!$B$11,Paramètres!$A$1:$I$89,5,0)</f>
        <v>136.28160000000008</v>
      </c>
      <c r="BF78" s="14">
        <f t="shared" si="91"/>
        <v>35.443842312892279</v>
      </c>
      <c r="BG78" s="22">
        <f t="shared" si="61"/>
        <v>299.08847869495418</v>
      </c>
      <c r="BH78" s="60">
        <f t="shared" si="62"/>
        <v>567.75006339477898</v>
      </c>
      <c r="BI78" s="60">
        <f ca="1">AVERAGE(OFFSET($BH$3,0,0,'Données projet'!$E$11+1,1))-AVERAGE(OFFSET($H$3,0,0,'Données projet'!$E$11+1,1))</f>
        <v>267.90768140488603</v>
      </c>
      <c r="BJ78" s="60">
        <f t="shared" si="92"/>
        <v>280.25465074992258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227</v>
      </c>
      <c r="BW78" s="13">
        <f>VLOOKUP(A78,'Données projet'!$A$113:$I$133,9,0)</f>
        <v>4.5999999999999996</v>
      </c>
      <c r="BX78" s="13">
        <f t="array" ref="BX78">INDEX(BW:BW,MIN(IF(ISNUMBER(BW78:BW274),ROW(BW78:BW274),"")))</f>
        <v>4.5999999999999996</v>
      </c>
      <c r="BY78" s="13">
        <f>IF('Données projet'!$A$114&gt;35,BY77+BX78-CG77,IF(A78&lt;'Données projet'!$A$114,$BV$205^A78,IF(A78='Données projet'!$A$114,'Données projet'!$B$114,BY77+BX78-CG77)))</f>
        <v>227.00000000000011</v>
      </c>
      <c r="BZ78" s="14">
        <f>BY78*VLOOKUP('Données projet'!$B$12,Paramètres!$A$1:$I$89,3,0)*VLOOKUP('Données projet'!$B$12,Paramètres!$A$1:$I$89,5,0)</f>
        <v>184.14240000000009</v>
      </c>
      <c r="CA78" s="14">
        <f t="shared" si="93"/>
        <v>46.242569912520345</v>
      </c>
      <c r="CB78" s="22">
        <f t="shared" si="64"/>
        <v>401.25382259763973</v>
      </c>
      <c r="CC78" s="60">
        <f t="shared" si="65"/>
        <v>669.91540729746453</v>
      </c>
      <c r="CD78" s="60">
        <f ca="1">AVERAGE(OFFSET($CC$3,0,0,'Données projet'!$E$12+1,1))-AVERAGE(OFFSET($H$3,0,0,'Données projet'!$E$12+1,1))</f>
        <v>308.6594206517259</v>
      </c>
      <c r="CE78" s="60">
        <f t="shared" si="94"/>
        <v>258.90832875500325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207.69230769230768</v>
      </c>
      <c r="CR78" s="13">
        <f>VLOOKUP(A78,'Données projet'!$A$139:$I$159,9,0)</f>
        <v>4.2307692307692264</v>
      </c>
      <c r="CS78" s="13">
        <f t="array" ref="CS78">INDEX(CR:CR,MIN(IF(ISNUMBER(CR78:CR274),ROW(CR78:CR274),"")))</f>
        <v>4.2307692307692264</v>
      </c>
      <c r="CT78" s="13">
        <f>IF('Données projet'!$A$140&gt;35,CT77+CS78-DB77,IF(A78&lt;'Données projet'!$A$140,$CQ$205^A78,IF(A78='Données projet'!$A$140,'Données projet'!$B$140,CT77+CS78-DB77)))</f>
        <v>207.69230769230759</v>
      </c>
      <c r="CU78" s="18">
        <f>CT78*VLOOKUP('Données projet'!$B$13,Paramètres!$A$1:$I$89,3,0)*VLOOKUP('Données projet'!$B$13,Paramètres!$A$1:$I$89,5,0)</f>
        <v>197.63999999999993</v>
      </c>
      <c r="CV78" s="14">
        <f t="shared" si="95"/>
        <v>49.22515338895078</v>
      </c>
      <c r="CW78" s="22">
        <f t="shared" si="67"/>
        <v>429.95680881908919</v>
      </c>
      <c r="CX78" s="60">
        <f t="shared" si="68"/>
        <v>698.61839351891399</v>
      </c>
      <c r="CY78" s="60">
        <f ca="1">AVERAGE(OFFSET($CX$3,0,0,'Données projet'!$E$13+1,1))-AVERAGE(OFFSET($H$3,0,0,'Données projet'!$E$13+1,1))</f>
        <v>397.63792993520934</v>
      </c>
      <c r="CZ78" s="60">
        <f t="shared" si="96"/>
        <v>300.63705521148802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260.89743589743591</v>
      </c>
      <c r="DM78" s="13">
        <f>VLOOKUP(A78,'Données projet'!$A$165:$I$185,9,0)</f>
        <v>4.6153846153846247</v>
      </c>
      <c r="DN78" s="13">
        <f t="array" ref="DN78">INDEX(DM:DM,MIN(IF(ISNUMBER(DM78:DM274),ROW(DM78:DM274),"")))</f>
        <v>4.6153846153846247</v>
      </c>
      <c r="DO78" s="13">
        <f>IF('Données projet'!$A$166&gt;35,DO77+DN78-DW77,IF(A78&lt;'Données projet'!$A$166,$DL$205^A78,IF(A78='Données projet'!$A$166,'Données projet'!$B$166,DO77+DN78-DW77)))</f>
        <v>260.89743589743591</v>
      </c>
      <c r="DP78" s="18">
        <f>DO78*VLOOKUP('Données projet'!$B$14,Paramètres!$A$1:$I$89,3,0)*VLOOKUP('Données projet'!$B$14,Paramètres!$A$1:$I$89,5,0)</f>
        <v>175.01000000000002</v>
      </c>
      <c r="DQ78" s="14">
        <f t="shared" si="97"/>
        <v>44.210193140944192</v>
      </c>
      <c r="DR78" s="22">
        <f t="shared" si="70"/>
        <v>381.80850305381119</v>
      </c>
      <c r="DS78" s="60">
        <f t="shared" si="71"/>
        <v>650.47008775363599</v>
      </c>
      <c r="DT78" s="60">
        <f ca="1">AVERAGE(OFFSET($DS$3,0,0,'Données projet'!$E$14+1,1))-AVERAGE(OFFSET($H$3,0,0,'Données projet'!$E$14+1,1))</f>
        <v>343.94240546037798</v>
      </c>
      <c r="DU78" s="60">
        <f t="shared" si="98"/>
        <v>277.30931495079346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0.36753124126325692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0.36753124126325692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286</v>
      </c>
      <c r="EH78" s="13">
        <f>VLOOKUP(A78,'Données projet'!$A$191:$I$211,9,0)</f>
        <v>5.2</v>
      </c>
      <c r="EI78" s="13">
        <f t="array" ref="EI78">INDEX(EH:EH,MIN(IF(ISNUMBER(EH78:EH274),ROW(EH78:EH274),"")))</f>
        <v>5.2</v>
      </c>
      <c r="EJ78" s="13">
        <f>IF('Données projet'!$A$192&gt;35,EJ77+EI78-ER77,IF(A78&lt;'Données projet'!$A$192,$EG$205^A78,IF(A78='Données projet'!$A$192,'Données projet'!$B$192,EJ77+EI78-ER77)))</f>
        <v>285.99999999999972</v>
      </c>
      <c r="EK78" s="18">
        <f>EJ78*VLOOKUP('Données projet'!$B$15,Paramètres!$A$1:$I$89,3,0)*VLOOKUP('Données projet'!$B$15,Paramètres!$A$1:$I$89,5,0)</f>
        <v>223.07999999999979</v>
      </c>
      <c r="EL78" s="14">
        <f t="shared" si="99"/>
        <v>54.783765878062617</v>
      </c>
      <c r="EM78" s="22">
        <f t="shared" si="73"/>
        <v>483.94605890429199</v>
      </c>
      <c r="EN78" s="60">
        <f t="shared" si="74"/>
        <v>752.60764360411679</v>
      </c>
      <c r="EO78" s="60">
        <f ca="1">AVERAGE(OFFSET($EN$3,0,0,'Données projet'!$E$15+1,1))-AVERAGE(OFFSET($H$3,0,0,'Données projet'!$E$15+1,1))</f>
        <v>308.76306523144956</v>
      </c>
      <c r="EP78" s="60">
        <f t="shared" si="100"/>
        <v>283.28099819802776</v>
      </c>
      <c r="EQ78" s="16">
        <f>IF(ISNA(VLOOKUP(A78,'Données projet'!$A$191:$I$211,3,0)),0,VLOOKUP(A78,'Données projet'!$A$191:$I$211,3,0))</f>
        <v>11</v>
      </c>
      <c r="ER78" s="16">
        <f>IF(ISNA(VLOOKUP(A78,'Données projet'!$A$191:$I$211,4,0)),0,VLOOKUP(A78,'Données projet'!$A$191:$I$211,4,0))</f>
        <v>286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214</v>
      </c>
      <c r="FC78" s="13">
        <f>VLOOKUP(A78,'Données projet'!$A$217:$I$237,9,0)</f>
        <v>2.6</v>
      </c>
      <c r="FD78" s="13">
        <f t="array" ref="FD78">INDEX(FC:FC,MIN(IF(ISNUMBER(FC78:FC274),ROW(FC78:FC274),"")))</f>
        <v>2.6</v>
      </c>
      <c r="FE78" s="13">
        <f>IF('Données projet'!$A$218&gt;35,FE77+FD78-FM77,IF(A78&lt;'Données projet'!$A$218,$FB$205^A78,IF(A78='Données projet'!$A$218,'Données projet'!$B$218,FE77+FD78-FM77)))</f>
        <v>213.99999999999986</v>
      </c>
      <c r="FF78" s="18">
        <f>FE78*VLOOKUP('Données projet'!$B$16,Paramètres!$A$1:$I$89,3,0)*VLOOKUP('Données projet'!$B$16,Paramètres!$A$1:$I$89,5,0)</f>
        <v>186.95039999999989</v>
      </c>
      <c r="FG78" s="14">
        <f t="shared" si="101"/>
        <v>46.86509597661761</v>
      </c>
      <c r="FH78" s="22">
        <f t="shared" si="76"/>
        <v>407.22865549260882</v>
      </c>
      <c r="FI78" s="60">
        <f t="shared" si="77"/>
        <v>675.89024019243357</v>
      </c>
      <c r="FJ78" s="60">
        <f ca="1">AVERAGE(OFFSET($FI$3,0,0,'Données projet'!$E$16+1,1))-AVERAGE(OFFSET($H$3,0,0,'Données projet'!$E$16+1,1))</f>
        <v>296.01124173332352</v>
      </c>
      <c r="FK78" s="60">
        <f t="shared" si="102"/>
        <v>315.50730924873733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204</v>
      </c>
      <c r="FX78" s="13">
        <f>VLOOKUP(A78,'Données projet'!$A$243:$I$263,9,0)</f>
        <v>5.4</v>
      </c>
      <c r="FY78" s="13">
        <f t="array" ref="FY78">INDEX(FX:FX,MIN(IF(ISNUMBER(FX78:FX274),ROW(FX78:FX274),"")))</f>
        <v>5.4</v>
      </c>
      <c r="FZ78" s="13">
        <f>IF('Données projet'!$A$244&gt;35,FZ77+FY78-GH77,IF(A78&lt;'Données projet'!$A$244,$FW$205^A78,IF(A78='Données projet'!$A$244,'Données projet'!$B$244,FZ77+FY78-GH77)))</f>
        <v>204</v>
      </c>
      <c r="GA78" s="18">
        <f>FZ78*VLOOKUP('Données projet'!$B$17,Paramètres!$A$1:$I$89,3,0)*VLOOKUP('Données projet'!$B$17,Paramètres!$A$1:$I$89,5,0)</f>
        <v>197.30880000000002</v>
      </c>
      <c r="GB78" s="14">
        <f t="shared" si="103"/>
        <v>49.152257900676076</v>
      </c>
      <c r="GC78" s="22">
        <f t="shared" si="79"/>
        <v>429.25300917701088</v>
      </c>
      <c r="GD78" s="60">
        <f t="shared" si="80"/>
        <v>697.91459387683562</v>
      </c>
      <c r="GE78" s="60">
        <f ca="1">AVERAGE(OFFSET($GD$3,0,0,'Données projet'!$E$17+1,1))-AVERAGE(OFFSET($H$3,0,0,'Données projet'!$E$17+1,1))</f>
        <v>391.18744390931187</v>
      </c>
      <c r="GF78" s="60">
        <f t="shared" si="104"/>
        <v>261.46982358454386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0.3917641363802401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0.3917641363802401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236.90000000000003</v>
      </c>
      <c r="O79" s="14">
        <f>N79*VLOOKUP('Données projet'!$B$9,Paramètres!$A$1:$I$89,3,0)*VLOOKUP('Données projet'!$B$9,Paramètres!$A$1:$I$89,5,0)</f>
        <v>214.34712000000002</v>
      </c>
      <c r="P79" s="14">
        <f t="shared" si="87"/>
        <v>52.884405030781778</v>
      </c>
      <c r="Q79" s="22">
        <f t="shared" si="54"/>
        <v>465.42823942861156</v>
      </c>
      <c r="R79" s="60">
        <f t="shared" si="55"/>
        <v>734.51782380946099</v>
      </c>
      <c r="S79" s="60">
        <f ca="1">AVERAGE(OFFSET($R$3,0,0,'Données projet'!$E$9+1,1))-AVERAGE(OFFSET($H$3,0,0,'Données projet'!$E$9+1,1))</f>
        <v>469.15492079216403</v>
      </c>
      <c r="T79" s="60">
        <f t="shared" si="88"/>
        <v>250.47702091764884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236.90000000000003</v>
      </c>
      <c r="AJ79" s="14">
        <f>AI79*VLOOKUP('Données projet'!$B$10,Paramètres!$A$1:$I$89,3,0)*VLOOKUP('Données projet'!$B$10,Paramètres!$A$1:$I$89,5,0)</f>
        <v>199.56456000000006</v>
      </c>
      <c r="AK79" s="14">
        <f t="shared" si="89"/>
        <v>49.648459057006519</v>
      </c>
      <c r="AL79" s="22">
        <f t="shared" si="58"/>
        <v>434.04600819095316</v>
      </c>
      <c r="AM79" s="60">
        <f t="shared" si="59"/>
        <v>703.13559257180259</v>
      </c>
      <c r="AN79" s="60">
        <f ca="1">AVERAGE(OFFSET($AM$3,0,0,'Données projet'!$E$10+1,1))-AVERAGE(OFFSET($H$3,0,0,'Données projet'!$E$10+1,1))</f>
        <v>442.49274132121275</v>
      </c>
      <c r="AO79" s="60">
        <f t="shared" si="90"/>
        <v>237.37463556402756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3.8</v>
      </c>
      <c r="BD79" s="13">
        <f>IF('Données projet'!$A$88&gt;35,BD78+BC79-BL78,IF(A79&lt;'Données projet'!$A$88,$BA$205^A79,IF(A79='Données projet'!$A$88,'Données projet'!$B$88,BD78+BC79-BL78)))</f>
        <v>211.80000000000015</v>
      </c>
      <c r="BE79" s="14">
        <f>BD79*VLOOKUP('Données projet'!$B$11,Paramètres!$A$1:$I$89,3,0)*VLOOKUP('Données projet'!$B$11,Paramètres!$A$1:$I$89,5,0)</f>
        <v>138.7713600000001</v>
      </c>
      <c r="BF79" s="14">
        <f t="shared" si="91"/>
        <v>36.015397090902745</v>
      </c>
      <c r="BG79" s="22">
        <f t="shared" si="61"/>
        <v>304.42026859998913</v>
      </c>
      <c r="BH79" s="60">
        <f t="shared" si="62"/>
        <v>573.50985298083856</v>
      </c>
      <c r="BI79" s="60">
        <f ca="1">AVERAGE(OFFSET($BH$3,0,0,'Données projet'!$E$11+1,1))-AVERAGE(OFFSET($H$3,0,0,'Données projet'!$E$11+1,1))</f>
        <v>267.90768140488603</v>
      </c>
      <c r="BJ79" s="60">
        <f t="shared" si="92"/>
        <v>280.25465074992258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</v>
      </c>
      <c r="BY79" s="13">
        <f>IF('Données projet'!$A$114&gt;35,BY78+BX79-CG78,IF(A79&lt;'Données projet'!$A$114,$BV$205^A79,IF(A79='Données projet'!$A$114,'Données projet'!$B$114,BY78+BX79-CG78)))</f>
        <v>231.2000000000001</v>
      </c>
      <c r="BZ79" s="14">
        <f>BY79*VLOOKUP('Données projet'!$B$12,Paramètres!$A$1:$I$89,3,0)*VLOOKUP('Données projet'!$B$12,Paramètres!$A$1:$I$89,5,0)</f>
        <v>187.54944000000009</v>
      </c>
      <c r="CA79" s="14">
        <f t="shared" si="93"/>
        <v>46.997760175826045</v>
      </c>
      <c r="CB79" s="22">
        <f t="shared" si="64"/>
        <v>408.5030403062305</v>
      </c>
      <c r="CC79" s="60">
        <f t="shared" si="65"/>
        <v>677.59262468707993</v>
      </c>
      <c r="CD79" s="60">
        <f ca="1">AVERAGE(OFFSET($CC$3,0,0,'Données projet'!$E$12+1,1))-AVERAGE(OFFSET($H$3,0,0,'Données projet'!$E$12+1,1))</f>
        <v>308.6594206517259</v>
      </c>
      <c r="CE79" s="60">
        <f t="shared" si="94"/>
        <v>258.90832875500325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3.974358974358978</v>
      </c>
      <c r="CT79" s="13">
        <f>IF('Données projet'!$A$140&gt;35,CT78+CS79-DB78,IF(A79&lt;'Données projet'!$A$140,$CQ$205^A79,IF(A79='Données projet'!$A$140,'Données projet'!$B$140,CT78+CS79-DB78)))</f>
        <v>211.66666666666657</v>
      </c>
      <c r="CU79" s="18">
        <f>CT79*VLOOKUP('Données projet'!$B$13,Paramètres!$A$1:$I$89,3,0)*VLOOKUP('Données projet'!$B$13,Paramètres!$A$1:$I$89,5,0)</f>
        <v>201.42199999999994</v>
      </c>
      <c r="CV79" s="14">
        <f t="shared" si="95"/>
        <v>50.056551308279687</v>
      </c>
      <c r="CW79" s="22">
        <f t="shared" si="67"/>
        <v>437.99181019525372</v>
      </c>
      <c r="CX79" s="60">
        <f t="shared" si="68"/>
        <v>707.08139457610309</v>
      </c>
      <c r="CY79" s="60">
        <f ca="1">AVERAGE(OFFSET($CX$3,0,0,'Données projet'!$E$13+1,1))-AVERAGE(OFFSET($H$3,0,0,'Données projet'!$E$13+1,1))</f>
        <v>397.63792993520934</v>
      </c>
      <c r="CZ79" s="60">
        <f t="shared" si="96"/>
        <v>300.63705521148802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4.2307692307692264</v>
      </c>
      <c r="DO79" s="13">
        <f>IF('Données projet'!$A$166&gt;35,DO78+DN79-DW78,IF(A79&lt;'Données projet'!$A$166,$DL$205^A79,IF(A79='Données projet'!$A$166,'Données projet'!$B$166,DO78+DN79-DW78)))</f>
        <v>265.12820512820514</v>
      </c>
      <c r="DP79" s="18">
        <f>DO79*VLOOKUP('Données projet'!$B$14,Paramètres!$A$1:$I$89,3,0)*VLOOKUP('Données projet'!$B$14,Paramètres!$A$1:$I$89,5,0)</f>
        <v>177.84800000000001</v>
      </c>
      <c r="DQ79" s="14">
        <f t="shared" si="97"/>
        <v>44.84307118144492</v>
      </c>
      <c r="DR79" s="22">
        <f t="shared" si="70"/>
        <v>387.85361564101657</v>
      </c>
      <c r="DS79" s="60">
        <f t="shared" si="71"/>
        <v>656.94320002186601</v>
      </c>
      <c r="DT79" s="60">
        <f ca="1">AVERAGE(OFFSET($DS$3,0,0,'Données projet'!$E$14+1,1))-AVERAGE(OFFSET($H$3,0,0,'Données projet'!$E$14+1,1))</f>
        <v>343.94240546037798</v>
      </c>
      <c r="DU79" s="60">
        <f t="shared" si="98"/>
        <v>277.30931495079346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0.35748108014328517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0.35748108014328517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-2.8421709430404007E-13</v>
      </c>
      <c r="EK79" s="18">
        <f>EJ79*VLOOKUP('Données projet'!$B$15,Paramètres!$A$1:$I$89,3,0)*VLOOKUP('Données projet'!$B$15,Paramètres!$A$1:$I$89,5,0)</f>
        <v>-2.2168933355715128E-13</v>
      </c>
      <c r="EL79" s="14" t="e">
        <f t="shared" si="99"/>
        <v>#NUM!</v>
      </c>
      <c r="EM79" s="22" t="e">
        <f t="shared" si="73"/>
        <v>#NUM!</v>
      </c>
      <c r="EN79" s="60" t="e">
        <f t="shared" si="74"/>
        <v>#NUM!</v>
      </c>
      <c r="EO79" s="60">
        <f ca="1">AVERAGE(OFFSET($EN$3,0,0,'Données projet'!$E$15+1,1))-AVERAGE(OFFSET($H$3,0,0,'Données projet'!$E$15+1,1))</f>
        <v>308.76306523144956</v>
      </c>
      <c r="EP79" s="60">
        <f t="shared" si="100"/>
        <v>283.28099819802776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2.4</v>
      </c>
      <c r="FE79" s="13">
        <f>IF('Données projet'!$A$218&gt;35,FE78+FD79-FM78,IF(A79&lt;'Données projet'!$A$218,$FB$205^A79,IF(A79='Données projet'!$A$218,'Données projet'!$B$218,FE78+FD79-FM78)))</f>
        <v>216.39999999999986</v>
      </c>
      <c r="FF79" s="18">
        <f>FE79*VLOOKUP('Données projet'!$B$16,Paramètres!$A$1:$I$89,3,0)*VLOOKUP('Données projet'!$B$16,Paramètres!$A$1:$I$89,5,0)</f>
        <v>189.04703999999992</v>
      </c>
      <c r="FG79" s="14">
        <f t="shared" si="101"/>
        <v>47.329205309831551</v>
      </c>
      <c r="FH79" s="22">
        <f t="shared" si="76"/>
        <v>411.68862724795645</v>
      </c>
      <c r="FI79" s="60">
        <f t="shared" si="77"/>
        <v>680.77821162880582</v>
      </c>
      <c r="FJ79" s="60">
        <f ca="1">AVERAGE(OFFSET($FI$3,0,0,'Données projet'!$E$16+1,1))-AVERAGE(OFFSET($H$3,0,0,'Données projet'!$E$16+1,1))</f>
        <v>296.01124173332352</v>
      </c>
      <c r="FK79" s="60">
        <f t="shared" si="102"/>
        <v>315.50730924873733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5.2</v>
      </c>
      <c r="FZ79" s="13">
        <f>IF('Données projet'!$A$244&gt;35,FZ78+FY79-GH78,IF(A79&lt;'Données projet'!$A$244,$FW$205^A79,IF(A79='Données projet'!$A$244,'Données projet'!$B$244,FZ78+FY79-GH78)))</f>
        <v>209.2</v>
      </c>
      <c r="GA79" s="18">
        <f>FZ79*VLOOKUP('Données projet'!$B$17,Paramètres!$A$1:$I$89,3,0)*VLOOKUP('Données projet'!$B$17,Paramètres!$A$1:$I$89,5,0)</f>
        <v>202.33823999999998</v>
      </c>
      <c r="GB79" s="14">
        <f t="shared" si="103"/>
        <v>50.257693963357752</v>
      </c>
      <c r="GC79" s="22">
        <f t="shared" si="79"/>
        <v>439.93791831951472</v>
      </c>
      <c r="GD79" s="60">
        <f t="shared" si="80"/>
        <v>709.02750270036415</v>
      </c>
      <c r="GE79" s="60">
        <f ca="1">AVERAGE(OFFSET($GD$3,0,0,'Données projet'!$E$17+1,1))-AVERAGE(OFFSET($H$3,0,0,'Données projet'!$E$17+1,1))</f>
        <v>391.18744390931187</v>
      </c>
      <c r="GF79" s="60">
        <f t="shared" si="104"/>
        <v>261.46982358454386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0.38105132546894188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0.38105132546894188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242.80000000000004</v>
      </c>
      <c r="O80" s="14">
        <f>N80*VLOOKUP('Données projet'!$B$9,Paramètres!$A$1:$I$89,3,0)*VLOOKUP('Données projet'!$B$9,Paramètres!$A$1:$I$89,5,0)</f>
        <v>219.68544000000003</v>
      </c>
      <c r="P80" s="14">
        <f t="shared" si="87"/>
        <v>54.046511966469559</v>
      </c>
      <c r="Q80" s="22">
        <f t="shared" si="54"/>
        <v>476.74981634160116</v>
      </c>
      <c r="R80" s="60">
        <f t="shared" si="55"/>
        <v>746.25997556587345</v>
      </c>
      <c r="S80" s="60">
        <f ca="1">AVERAGE(OFFSET($R$3,0,0,'Données projet'!$E$9+1,1))-AVERAGE(OFFSET($H$3,0,0,'Données projet'!$E$9+1,1))</f>
        <v>469.15492079216403</v>
      </c>
      <c r="T80" s="60">
        <f t="shared" si="88"/>
        <v>250.47702091764884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242.80000000000004</v>
      </c>
      <c r="AJ80" s="14">
        <f>AI80*VLOOKUP('Données projet'!$B$10,Paramètres!$A$1:$I$89,3,0)*VLOOKUP('Données projet'!$B$10,Paramètres!$A$1:$I$89,5,0)</f>
        <v>204.53472000000005</v>
      </c>
      <c r="AK80" s="14">
        <f t="shared" si="89"/>
        <v>50.73945778494484</v>
      </c>
      <c r="AL80" s="22">
        <f t="shared" si="58"/>
        <v>444.60252630877903</v>
      </c>
      <c r="AM80" s="60">
        <f t="shared" si="59"/>
        <v>714.11268553305126</v>
      </c>
      <c r="AN80" s="60">
        <f ca="1">AVERAGE(OFFSET($AM$3,0,0,'Données projet'!$E$10+1,1))-AVERAGE(OFFSET($H$3,0,0,'Données projet'!$E$10+1,1))</f>
        <v>442.49274132121275</v>
      </c>
      <c r="AO80" s="60">
        <f t="shared" si="90"/>
        <v>237.37463556402756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3.8</v>
      </c>
      <c r="BD80" s="13">
        <f>IF('Données projet'!$A$88&gt;35,BD79+BC80-BL79,IF(A80&lt;'Données projet'!$A$88,$BA$205^A80,IF(A80='Données projet'!$A$88,'Données projet'!$B$88,BD79+BC80-BL79)))</f>
        <v>215.60000000000016</v>
      </c>
      <c r="BE80" s="14">
        <f>BD80*VLOOKUP('Données projet'!$B$11,Paramètres!$A$1:$I$89,3,0)*VLOOKUP('Données projet'!$B$11,Paramètres!$A$1:$I$89,5,0)</f>
        <v>141.26112000000009</v>
      </c>
      <c r="BF80" s="14">
        <f t="shared" si="91"/>
        <v>36.585759420211282</v>
      </c>
      <c r="BG80" s="22">
        <f t="shared" si="61"/>
        <v>309.7499816568681</v>
      </c>
      <c r="BH80" s="60">
        <f t="shared" si="62"/>
        <v>579.26014088114039</v>
      </c>
      <c r="BI80" s="60">
        <f ca="1">AVERAGE(OFFSET($BH$3,0,0,'Données projet'!$E$11+1,1))-AVERAGE(OFFSET($H$3,0,0,'Données projet'!$E$11+1,1))</f>
        <v>267.90768140488603</v>
      </c>
      <c r="BJ80" s="60">
        <f t="shared" si="92"/>
        <v>280.25465074992258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</v>
      </c>
      <c r="BY80" s="13">
        <f>IF('Données projet'!$A$114&gt;35,BY79+BX80-CG79,IF(A80&lt;'Données projet'!$A$114,$BV$205^A80,IF(A80='Données projet'!$A$114,'Données projet'!$B$114,BY79+BX80-CG79)))</f>
        <v>235.40000000000009</v>
      </c>
      <c r="BZ80" s="14">
        <f>BY80*VLOOKUP('Données projet'!$B$12,Paramètres!$A$1:$I$89,3,0)*VLOOKUP('Données projet'!$B$12,Paramètres!$A$1:$I$89,5,0)</f>
        <v>190.95648000000008</v>
      </c>
      <c r="CA80" s="14">
        <f t="shared" si="93"/>
        <v>47.751355158869849</v>
      </c>
      <c r="CB80" s="22">
        <f t="shared" si="64"/>
        <v>415.74947956836513</v>
      </c>
      <c r="CC80" s="60">
        <f t="shared" si="65"/>
        <v>685.25963879263736</v>
      </c>
      <c r="CD80" s="60">
        <f ca="1">AVERAGE(OFFSET($CC$3,0,0,'Données projet'!$E$12+1,1))-AVERAGE(OFFSET($H$3,0,0,'Données projet'!$E$12+1,1))</f>
        <v>308.6594206517259</v>
      </c>
      <c r="CE80" s="60">
        <f t="shared" si="94"/>
        <v>258.90832875500325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3.974358974358978</v>
      </c>
      <c r="CT80" s="13">
        <f>IF('Données projet'!$A$140&gt;35,CT79+CS80-DB79,IF(A80&lt;'Données projet'!$A$140,$CQ$205^A80,IF(A80='Données projet'!$A$140,'Données projet'!$B$140,CT79+CS80-DB79)))</f>
        <v>215.64102564102555</v>
      </c>
      <c r="CU80" s="18">
        <f>CT80*VLOOKUP('Données projet'!$B$13,Paramètres!$A$1:$I$89,3,0)*VLOOKUP('Données projet'!$B$13,Paramètres!$A$1:$I$89,5,0)</f>
        <v>205.20399999999992</v>
      </c>
      <c r="CV80" s="14">
        <f t="shared" si="95"/>
        <v>50.886134008708602</v>
      </c>
      <c r="CW80" s="22">
        <f t="shared" si="67"/>
        <v>446.02365006516726</v>
      </c>
      <c r="CX80" s="60">
        <f t="shared" si="68"/>
        <v>715.53380928943955</v>
      </c>
      <c r="CY80" s="60">
        <f ca="1">AVERAGE(OFFSET($CX$3,0,0,'Données projet'!$E$13+1,1))-AVERAGE(OFFSET($H$3,0,0,'Données projet'!$E$13+1,1))</f>
        <v>397.63792993520934</v>
      </c>
      <c r="CZ80" s="60">
        <f t="shared" si="96"/>
        <v>300.63705521148802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4.2307692307692264</v>
      </c>
      <c r="DO80" s="13">
        <f>IF('Données projet'!$A$166&gt;35,DO79+DN80-DW79,IF(A80&lt;'Données projet'!$A$166,$DL$205^A80,IF(A80='Données projet'!$A$166,'Données projet'!$B$166,DO79+DN80-DW79)))</f>
        <v>269.35897435897436</v>
      </c>
      <c r="DP80" s="18">
        <f>DO80*VLOOKUP('Données projet'!$B$14,Paramètres!$A$1:$I$89,3,0)*VLOOKUP('Données projet'!$B$14,Paramètres!$A$1:$I$89,5,0)</f>
        <v>180.68600000000001</v>
      </c>
      <c r="DQ80" s="14">
        <f t="shared" si="97"/>
        <v>45.474774723021419</v>
      </c>
      <c r="DR80" s="22">
        <f t="shared" si="70"/>
        <v>393.89668264259564</v>
      </c>
      <c r="DS80" s="60">
        <f t="shared" si="71"/>
        <v>663.40684186686792</v>
      </c>
      <c r="DT80" s="60">
        <f ca="1">AVERAGE(OFFSET($DS$3,0,0,'Données projet'!$E$14+1,1))-AVERAGE(OFFSET($H$3,0,0,'Données projet'!$E$14+1,1))</f>
        <v>343.94240546037798</v>
      </c>
      <c r="DU80" s="60">
        <f t="shared" si="98"/>
        <v>277.30931495079346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0.34770574120765407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0.34770574120765407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-2.8421709430404007E-13</v>
      </c>
      <c r="EK80" s="18">
        <f>EJ80*VLOOKUP('Données projet'!$B$15,Paramètres!$A$1:$I$89,3,0)*VLOOKUP('Données projet'!$B$15,Paramètres!$A$1:$I$89,5,0)</f>
        <v>-2.2168933355715128E-13</v>
      </c>
      <c r="EL80" s="14" t="e">
        <f t="shared" si="99"/>
        <v>#NUM!</v>
      </c>
      <c r="EM80" s="22" t="e">
        <f t="shared" si="73"/>
        <v>#NUM!</v>
      </c>
      <c r="EN80" s="60" t="e">
        <f t="shared" si="74"/>
        <v>#NUM!</v>
      </c>
      <c r="EO80" s="60">
        <f ca="1">AVERAGE(OFFSET($EN$3,0,0,'Données projet'!$E$15+1,1))-AVERAGE(OFFSET($H$3,0,0,'Données projet'!$E$15+1,1))</f>
        <v>308.76306523144956</v>
      </c>
      <c r="EP80" s="60">
        <f t="shared" si="100"/>
        <v>283.28099819802776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2.4</v>
      </c>
      <c r="FE80" s="13">
        <f>IF('Données projet'!$A$218&gt;35,FE79+FD80-FM79,IF(A80&lt;'Données projet'!$A$218,$FB$205^A80,IF(A80='Données projet'!$A$218,'Données projet'!$B$218,FE79+FD80-FM79)))</f>
        <v>218.79999999999987</v>
      </c>
      <c r="FF80" s="18">
        <f>FE80*VLOOKUP('Données projet'!$B$16,Paramètres!$A$1:$I$89,3,0)*VLOOKUP('Données projet'!$B$16,Paramètres!$A$1:$I$89,5,0)</f>
        <v>191.1436799999999</v>
      </c>
      <c r="FG80" s="14">
        <f t="shared" si="101"/>
        <v>47.792715878069544</v>
      </c>
      <c r="FH80" s="22">
        <f t="shared" si="76"/>
        <v>416.14755615430431</v>
      </c>
      <c r="FI80" s="60">
        <f t="shared" si="77"/>
        <v>685.65771537857654</v>
      </c>
      <c r="FJ80" s="60">
        <f ca="1">AVERAGE(OFFSET($FI$3,0,0,'Données projet'!$E$16+1,1))-AVERAGE(OFFSET($H$3,0,0,'Données projet'!$E$16+1,1))</f>
        <v>296.01124173332352</v>
      </c>
      <c r="FK80" s="60">
        <f t="shared" si="102"/>
        <v>315.50730924873733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5.2</v>
      </c>
      <c r="FZ80" s="13">
        <f>IF('Données projet'!$A$244&gt;35,FZ79+FY80-GH79,IF(A80&lt;'Données projet'!$A$244,$FW$205^A80,IF(A80='Données projet'!$A$244,'Données projet'!$B$244,FZ79+FY80-GH79)))</f>
        <v>214.39999999999998</v>
      </c>
      <c r="GA80" s="18">
        <f>FZ80*VLOOKUP('Données projet'!$B$17,Paramètres!$A$1:$I$89,3,0)*VLOOKUP('Données projet'!$B$17,Paramètres!$A$1:$I$89,5,0)</f>
        <v>207.36768000000001</v>
      </c>
      <c r="GB80" s="14">
        <f t="shared" si="103"/>
        <v>51.359935934080831</v>
      </c>
      <c r="GC80" s="22">
        <f t="shared" si="79"/>
        <v>450.61726441852414</v>
      </c>
      <c r="GD80" s="60">
        <f t="shared" si="80"/>
        <v>720.12742364279643</v>
      </c>
      <c r="GE80" s="60">
        <f ca="1">AVERAGE(OFFSET($GD$3,0,0,'Données projet'!$E$17+1,1))-AVERAGE(OFFSET($H$3,0,0,'Données projet'!$E$17+1,1))</f>
        <v>391.18744390931187</v>
      </c>
      <c r="GF80" s="60">
        <f t="shared" si="104"/>
        <v>261.46982358454386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0.37063145693537536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0.37063145693537536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248.70000000000005</v>
      </c>
      <c r="O81" s="14">
        <f>N81*VLOOKUP('Données projet'!$B$9,Paramètres!$A$1:$I$89,3,0)*VLOOKUP('Données projet'!$B$9,Paramètres!$A$1:$I$89,5,0)</f>
        <v>225.02376000000001</v>
      </c>
      <c r="P81" s="14">
        <f t="shared" si="87"/>
        <v>55.205336184590458</v>
      </c>
      <c r="Q81" s="22">
        <f t="shared" si="54"/>
        <v>488.06567585482838</v>
      </c>
      <c r="R81" s="60">
        <f t="shared" si="55"/>
        <v>757.98911388925467</v>
      </c>
      <c r="S81" s="60">
        <f ca="1">AVERAGE(OFFSET($R$3,0,0,'Données projet'!$E$9+1,1))-AVERAGE(OFFSET($H$3,0,0,'Données projet'!$E$9+1,1))</f>
        <v>469.15492079216403</v>
      </c>
      <c r="T81" s="60">
        <f t="shared" si="88"/>
        <v>250.47702091764884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248.70000000000005</v>
      </c>
      <c r="AJ81" s="14">
        <f>AI81*VLOOKUP('Données projet'!$B$10,Paramètres!$A$1:$I$89,3,0)*VLOOKUP('Données projet'!$B$10,Paramètres!$A$1:$I$89,5,0)</f>
        <v>209.50488000000004</v>
      </c>
      <c r="AK81" s="14">
        <f t="shared" si="89"/>
        <v>51.827374661652733</v>
      </c>
      <c r="AL81" s="22">
        <f t="shared" si="58"/>
        <v>455.15367686904523</v>
      </c>
      <c r="AM81" s="60">
        <f t="shared" si="59"/>
        <v>725.07711490347151</v>
      </c>
      <c r="AN81" s="60">
        <f ca="1">AVERAGE(OFFSET($AM$3,0,0,'Données projet'!$E$10+1,1))-AVERAGE(OFFSET($H$3,0,0,'Données projet'!$E$10+1,1))</f>
        <v>442.49274132121275</v>
      </c>
      <c r="AO81" s="60">
        <f t="shared" si="90"/>
        <v>237.37463556402756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3.8</v>
      </c>
      <c r="BD81" s="13">
        <f>IF('Données projet'!$A$88&gt;35,BD80+BC81-BL80,IF(A81&lt;'Données projet'!$A$88,$BA$205^A81,IF(A81='Données projet'!$A$88,'Données projet'!$B$88,BD80+BC81-BL80)))</f>
        <v>219.40000000000018</v>
      </c>
      <c r="BE81" s="14">
        <f>BD81*VLOOKUP('Données projet'!$B$11,Paramètres!$A$1:$I$89,3,0)*VLOOKUP('Données projet'!$B$11,Paramètres!$A$1:$I$89,5,0)</f>
        <v>143.75088000000011</v>
      </c>
      <c r="BF81" s="14">
        <f t="shared" si="91"/>
        <v>37.15495274279774</v>
      </c>
      <c r="BG81" s="22">
        <f t="shared" si="61"/>
        <v>315.07765869370627</v>
      </c>
      <c r="BH81" s="60">
        <f t="shared" si="62"/>
        <v>585.00109672813255</v>
      </c>
      <c r="BI81" s="60">
        <f ca="1">AVERAGE(OFFSET($BH$3,0,0,'Données projet'!$E$11+1,1))-AVERAGE(OFFSET($H$3,0,0,'Données projet'!$E$11+1,1))</f>
        <v>267.90768140488603</v>
      </c>
      <c r="BJ81" s="60">
        <f t="shared" si="92"/>
        <v>280.25465074992258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</v>
      </c>
      <c r="BY81" s="13">
        <f>IF('Données projet'!$A$114&gt;35,BY80+BX81-CG80,IF(A81&lt;'Données projet'!$A$114,$BV$205^A81,IF(A81='Données projet'!$A$114,'Données projet'!$B$114,BY80+BX81-CG80)))</f>
        <v>239.60000000000008</v>
      </c>
      <c r="BZ81" s="14">
        <f>BY81*VLOOKUP('Données projet'!$B$12,Paramètres!$A$1:$I$89,3,0)*VLOOKUP('Données projet'!$B$12,Paramètres!$A$1:$I$89,5,0)</f>
        <v>194.36352000000008</v>
      </c>
      <c r="CA81" s="14">
        <f t="shared" si="93"/>
        <v>48.50338660810538</v>
      </c>
      <c r="CB81" s="22">
        <f t="shared" si="64"/>
        <v>422.99319567578368</v>
      </c>
      <c r="CC81" s="60">
        <f t="shared" si="65"/>
        <v>692.91663371020991</v>
      </c>
      <c r="CD81" s="60">
        <f ca="1">AVERAGE(OFFSET($CC$3,0,0,'Données projet'!$E$12+1,1))-AVERAGE(OFFSET($H$3,0,0,'Données projet'!$E$12+1,1))</f>
        <v>308.6594206517259</v>
      </c>
      <c r="CE81" s="60">
        <f t="shared" si="94"/>
        <v>258.90832875500325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3.974358974358978</v>
      </c>
      <c r="CT81" s="13">
        <f>IF('Données projet'!$A$140&gt;35,CT80+CS81-DB80,IF(A81&lt;'Données projet'!$A$140,$CQ$205^A81,IF(A81='Données projet'!$A$140,'Données projet'!$B$140,CT80+CS81-DB80)))</f>
        <v>219.61538461538453</v>
      </c>
      <c r="CU81" s="18">
        <f>CT81*VLOOKUP('Données projet'!$B$13,Paramètres!$A$1:$I$89,3,0)*VLOOKUP('Données projet'!$B$13,Paramètres!$A$1:$I$89,5,0)</f>
        <v>208.9859999999999</v>
      </c>
      <c r="CV81" s="14">
        <f t="shared" si="95"/>
        <v>51.713938803941488</v>
      </c>
      <c r="CW81" s="22">
        <f t="shared" si="67"/>
        <v>454.05239341686456</v>
      </c>
      <c r="CX81" s="60">
        <f t="shared" si="68"/>
        <v>723.97583145129079</v>
      </c>
      <c r="CY81" s="60">
        <f ca="1">AVERAGE(OFFSET($CX$3,0,0,'Données projet'!$E$13+1,1))-AVERAGE(OFFSET($H$3,0,0,'Données projet'!$E$13+1,1))</f>
        <v>397.63792993520934</v>
      </c>
      <c r="CZ81" s="60">
        <f t="shared" si="96"/>
        <v>300.63705521148802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4.2307692307692264</v>
      </c>
      <c r="DO81" s="13">
        <f>IF('Données projet'!$A$166&gt;35,DO80+DN81-DW80,IF(A81&lt;'Données projet'!$A$166,$DL$205^A81,IF(A81='Données projet'!$A$166,'Données projet'!$B$166,DO80+DN81-DW80)))</f>
        <v>273.58974358974359</v>
      </c>
      <c r="DP81" s="18">
        <f>DO81*VLOOKUP('Données projet'!$B$14,Paramètres!$A$1:$I$89,3,0)*VLOOKUP('Données projet'!$B$14,Paramètres!$A$1:$I$89,5,0)</f>
        <v>183.524</v>
      </c>
      <c r="DQ81" s="14">
        <f t="shared" si="97"/>
        <v>46.10532434349372</v>
      </c>
      <c r="DR81" s="22">
        <f t="shared" si="70"/>
        <v>399.93773989825155</v>
      </c>
      <c r="DS81" s="60">
        <f t="shared" si="71"/>
        <v>669.86117793267772</v>
      </c>
      <c r="DT81" s="60">
        <f ca="1">AVERAGE(OFFSET($DS$3,0,0,'Données projet'!$E$14+1,1))-AVERAGE(OFFSET($H$3,0,0,'Données projet'!$E$14+1,1))</f>
        <v>343.94240546037798</v>
      </c>
      <c r="DU81" s="60">
        <f t="shared" si="98"/>
        <v>277.30931495079346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0.33819770942928051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0.33819770942928051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-2.8421709430404007E-13</v>
      </c>
      <c r="EK81" s="18">
        <f>EJ81*VLOOKUP('Données projet'!$B$15,Paramètres!$A$1:$I$89,3,0)*VLOOKUP('Données projet'!$B$15,Paramètres!$A$1:$I$89,5,0)</f>
        <v>-2.2168933355715128E-13</v>
      </c>
      <c r="EL81" s="14" t="e">
        <f t="shared" si="99"/>
        <v>#NUM!</v>
      </c>
      <c r="EM81" s="22" t="e">
        <f t="shared" si="73"/>
        <v>#NUM!</v>
      </c>
      <c r="EN81" s="60" t="e">
        <f t="shared" si="74"/>
        <v>#NUM!</v>
      </c>
      <c r="EO81" s="60">
        <f ca="1">AVERAGE(OFFSET($EN$3,0,0,'Données projet'!$E$15+1,1))-AVERAGE(OFFSET($H$3,0,0,'Données projet'!$E$15+1,1))</f>
        <v>308.76306523144956</v>
      </c>
      <c r="EP81" s="60">
        <f t="shared" si="100"/>
        <v>283.28099819802776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2.4</v>
      </c>
      <c r="FE81" s="13">
        <f>IF('Données projet'!$A$218&gt;35,FE80+FD81-FM80,IF(A81&lt;'Données projet'!$A$218,$FB$205^A81,IF(A81='Données projet'!$A$218,'Données projet'!$B$218,FE80+FD81-FM80)))</f>
        <v>221.19999999999987</v>
      </c>
      <c r="FF81" s="18">
        <f>FE81*VLOOKUP('Données projet'!$B$16,Paramètres!$A$1:$I$89,3,0)*VLOOKUP('Données projet'!$B$16,Paramètres!$A$1:$I$89,5,0)</f>
        <v>193.24031999999991</v>
      </c>
      <c r="FG81" s="14">
        <f t="shared" si="101"/>
        <v>48.255635009246745</v>
      </c>
      <c r="FH81" s="22">
        <f t="shared" si="76"/>
        <v>420.60545497443786</v>
      </c>
      <c r="FI81" s="60">
        <f t="shared" si="77"/>
        <v>690.52889300886409</v>
      </c>
      <c r="FJ81" s="60">
        <f ca="1">AVERAGE(OFFSET($FI$3,0,0,'Données projet'!$E$16+1,1))-AVERAGE(OFFSET($H$3,0,0,'Données projet'!$E$16+1,1))</f>
        <v>296.01124173332352</v>
      </c>
      <c r="FK81" s="60">
        <f t="shared" si="102"/>
        <v>315.50730924873733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5.2</v>
      </c>
      <c r="FZ81" s="13">
        <f>IF('Données projet'!$A$244&gt;35,FZ80+FY81-GH80,IF(A81&lt;'Données projet'!$A$244,$FW$205^A81,IF(A81='Données projet'!$A$244,'Données projet'!$B$244,FZ80+FY81-GH80)))</f>
        <v>219.59999999999997</v>
      </c>
      <c r="GA81" s="18">
        <f>FZ81*VLOOKUP('Données projet'!$B$17,Paramètres!$A$1:$I$89,3,0)*VLOOKUP('Données projet'!$B$17,Paramètres!$A$1:$I$89,5,0)</f>
        <v>212.39711999999997</v>
      </c>
      <c r="GB81" s="14">
        <f t="shared" si="103"/>
        <v>52.459070194004759</v>
      </c>
      <c r="GC81" s="22">
        <f t="shared" si="79"/>
        <v>461.29119792122492</v>
      </c>
      <c r="GD81" s="60">
        <f t="shared" si="80"/>
        <v>731.21463595565115</v>
      </c>
      <c r="GE81" s="60">
        <f ca="1">AVERAGE(OFFSET($GD$3,0,0,'Données projet'!$E$17+1,1))-AVERAGE(OFFSET($H$3,0,0,'Données projet'!$E$17+1,1))</f>
        <v>391.18744390931187</v>
      </c>
      <c r="GF81" s="60">
        <f t="shared" si="104"/>
        <v>261.46982358454386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0.36049652025481627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0.36049652025481627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254.60000000000005</v>
      </c>
      <c r="O82" s="14">
        <f>N82*VLOOKUP('Données projet'!$B$9,Paramètres!$A$1:$I$89,3,0)*VLOOKUP('Données projet'!$B$9,Paramètres!$A$1:$I$89,5,0)</f>
        <v>230.36208000000002</v>
      </c>
      <c r="P82" s="14">
        <f t="shared" si="87"/>
        <v>56.360964523671818</v>
      </c>
      <c r="Q82" s="22">
        <f t="shared" si="54"/>
        <v>499.37596921206176</v>
      </c>
      <c r="R82" s="60">
        <f t="shared" si="55"/>
        <v>769.70551659323871</v>
      </c>
      <c r="S82" s="60">
        <f ca="1">AVERAGE(OFFSET($R$3,0,0,'Données projet'!$E$9+1,1))-AVERAGE(OFFSET($H$3,0,0,'Données projet'!$E$9+1,1))</f>
        <v>469.15492079216403</v>
      </c>
      <c r="T82" s="60">
        <f t="shared" si="88"/>
        <v>250.47702091764884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254.60000000000005</v>
      </c>
      <c r="AJ82" s="14">
        <f>AI82*VLOOKUP('Données projet'!$B$10,Paramètres!$A$1:$I$89,3,0)*VLOOKUP('Données projet'!$B$10,Paramètres!$A$1:$I$89,5,0)</f>
        <v>214.47504000000006</v>
      </c>
      <c r="AK82" s="14">
        <f t="shared" si="89"/>
        <v>52.912291212091404</v>
      </c>
      <c r="AL82" s="22">
        <f t="shared" si="58"/>
        <v>465.69960186105919</v>
      </c>
      <c r="AM82" s="60">
        <f t="shared" si="59"/>
        <v>736.02914924223614</v>
      </c>
      <c r="AN82" s="60">
        <f ca="1">AVERAGE(OFFSET($AM$3,0,0,'Données projet'!$E$10+1,1))-AVERAGE(OFFSET($H$3,0,0,'Données projet'!$E$10+1,1))</f>
        <v>442.49274132121275</v>
      </c>
      <c r="AO82" s="60">
        <f t="shared" si="90"/>
        <v>237.37463556402756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3.8</v>
      </c>
      <c r="BD82" s="13">
        <f>IF('Données projet'!$A$88&gt;35,BD81+BC82-BL81,IF(A82&lt;'Données projet'!$A$88,$BA$205^A82,IF(A82='Données projet'!$A$88,'Données projet'!$B$88,BD81+BC82-BL81)))</f>
        <v>223.20000000000019</v>
      </c>
      <c r="BE82" s="14">
        <f>BD82*VLOOKUP('Données projet'!$B$11,Paramètres!$A$1:$I$89,3,0)*VLOOKUP('Données projet'!$B$11,Paramètres!$A$1:$I$89,5,0)</f>
        <v>146.24064000000013</v>
      </c>
      <c r="BF82" s="14">
        <f t="shared" si="91"/>
        <v>37.722999642090628</v>
      </c>
      <c r="BG82" s="22">
        <f t="shared" si="61"/>
        <v>320.40333904330799</v>
      </c>
      <c r="BH82" s="60">
        <f t="shared" si="62"/>
        <v>590.73288642448495</v>
      </c>
      <c r="BI82" s="60">
        <f ca="1">AVERAGE(OFFSET($BH$3,0,0,'Données projet'!$E$11+1,1))-AVERAGE(OFFSET($H$3,0,0,'Données projet'!$E$11+1,1))</f>
        <v>267.90768140488603</v>
      </c>
      <c r="BJ82" s="60">
        <f t="shared" si="92"/>
        <v>280.25465074992258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</v>
      </c>
      <c r="BY82" s="13">
        <f>IF('Données projet'!$A$114&gt;35,BY81+BX82-CG81,IF(A82&lt;'Données projet'!$A$114,$BV$205^A82,IF(A82='Données projet'!$A$114,'Données projet'!$B$114,BY81+BX82-CG81)))</f>
        <v>243.80000000000007</v>
      </c>
      <c r="BZ82" s="14">
        <f>BY82*VLOOKUP('Données projet'!$B$12,Paramètres!$A$1:$I$89,3,0)*VLOOKUP('Données projet'!$B$12,Paramètres!$A$1:$I$89,5,0)</f>
        <v>197.77056000000007</v>
      </c>
      <c r="CA82" s="14">
        <f t="shared" si="93"/>
        <v>49.253885093250254</v>
      </c>
      <c r="CB82" s="22">
        <f t="shared" si="64"/>
        <v>430.23424187074426</v>
      </c>
      <c r="CC82" s="60">
        <f t="shared" si="65"/>
        <v>700.56378925192121</v>
      </c>
      <c r="CD82" s="60">
        <f ca="1">AVERAGE(OFFSET($CC$3,0,0,'Données projet'!$E$12+1,1))-AVERAGE(OFFSET($H$3,0,0,'Données projet'!$E$12+1,1))</f>
        <v>308.6594206517259</v>
      </c>
      <c r="CE82" s="60">
        <f t="shared" si="94"/>
        <v>258.90832875500325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3.974358974358978</v>
      </c>
      <c r="CT82" s="13">
        <f>IF('Données projet'!$A$140&gt;35,CT81+CS82-DB81,IF(A82&lt;'Données projet'!$A$140,$CQ$205^A82,IF(A82='Données projet'!$A$140,'Données projet'!$B$140,CT81+CS82-DB81)))</f>
        <v>223.58974358974351</v>
      </c>
      <c r="CU82" s="18">
        <f>CT82*VLOOKUP('Données projet'!$B$13,Paramètres!$A$1:$I$89,3,0)*VLOOKUP('Données projet'!$B$13,Paramètres!$A$1:$I$89,5,0)</f>
        <v>212.76799999999994</v>
      </c>
      <c r="CV82" s="14">
        <f t="shared" si="95"/>
        <v>52.540001579827234</v>
      </c>
      <c r="CW82" s="22">
        <f t="shared" si="67"/>
        <v>462.0781027515323</v>
      </c>
      <c r="CX82" s="60">
        <f t="shared" si="68"/>
        <v>732.40765013270925</v>
      </c>
      <c r="CY82" s="60">
        <f ca="1">AVERAGE(OFFSET($CX$3,0,0,'Données projet'!$E$13+1,1))-AVERAGE(OFFSET($H$3,0,0,'Données projet'!$E$13+1,1))</f>
        <v>397.63792993520934</v>
      </c>
      <c r="CZ82" s="60">
        <f t="shared" si="96"/>
        <v>300.63705521148802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4.2307692307692264</v>
      </c>
      <c r="DO82" s="13">
        <f>IF('Données projet'!$A$166&gt;35,DO81+DN82-DW81,IF(A82&lt;'Données projet'!$A$166,$DL$205^A82,IF(A82='Données projet'!$A$166,'Données projet'!$B$166,DO81+DN82-DW81)))</f>
        <v>277.82051282051282</v>
      </c>
      <c r="DP82" s="18">
        <f>DO82*VLOOKUP('Données projet'!$B$14,Paramètres!$A$1:$I$89,3,0)*VLOOKUP('Données projet'!$B$14,Paramètres!$A$1:$I$89,5,0)</f>
        <v>186.36199999999999</v>
      </c>
      <c r="DQ82" s="14">
        <f t="shared" si="97"/>
        <v>46.734739947740024</v>
      </c>
      <c r="DR82" s="22">
        <f t="shared" si="70"/>
        <v>405.97682207564714</v>
      </c>
      <c r="DS82" s="60">
        <f t="shared" si="71"/>
        <v>676.30636945682409</v>
      </c>
      <c r="DT82" s="60">
        <f ca="1">AVERAGE(OFFSET($DS$3,0,0,'Données projet'!$E$14+1,1))-AVERAGE(OFFSET($H$3,0,0,'Données projet'!$E$14+1,1))</f>
        <v>343.94240546037798</v>
      </c>
      <c r="DU82" s="60">
        <f t="shared" si="98"/>
        <v>277.30931495079346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0.32894967527989227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0.32894967527989227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-2.8421709430404007E-13</v>
      </c>
      <c r="EK82" s="18">
        <f>EJ82*VLOOKUP('Données projet'!$B$15,Paramètres!$A$1:$I$89,3,0)*VLOOKUP('Données projet'!$B$15,Paramètres!$A$1:$I$89,5,0)</f>
        <v>-2.2168933355715128E-13</v>
      </c>
      <c r="EL82" s="14" t="e">
        <f t="shared" si="99"/>
        <v>#NUM!</v>
      </c>
      <c r="EM82" s="22" t="e">
        <f t="shared" si="73"/>
        <v>#NUM!</v>
      </c>
      <c r="EN82" s="60" t="e">
        <f t="shared" si="74"/>
        <v>#NUM!</v>
      </c>
      <c r="EO82" s="60">
        <f ca="1">AVERAGE(OFFSET($EN$3,0,0,'Données projet'!$E$15+1,1))-AVERAGE(OFFSET($H$3,0,0,'Données projet'!$E$15+1,1))</f>
        <v>308.76306523144956</v>
      </c>
      <c r="EP82" s="60">
        <f t="shared" si="100"/>
        <v>283.28099819802776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2.4</v>
      </c>
      <c r="FE82" s="13">
        <f>IF('Données projet'!$A$218&gt;35,FE81+FD82-FM81,IF(A82&lt;'Données projet'!$A$218,$FB$205^A82,IF(A82='Données projet'!$A$218,'Données projet'!$B$218,FE81+FD82-FM81)))</f>
        <v>223.59999999999988</v>
      </c>
      <c r="FF82" s="18">
        <f>FE82*VLOOKUP('Données projet'!$B$16,Paramètres!$A$1:$I$89,3,0)*VLOOKUP('Données projet'!$B$16,Paramètres!$A$1:$I$89,5,0)</f>
        <v>195.33695999999992</v>
      </c>
      <c r="FG82" s="14">
        <f t="shared" si="101"/>
        <v>48.717969863105445</v>
      </c>
      <c r="FH82" s="22">
        <f t="shared" si="76"/>
        <v>425.06233617824182</v>
      </c>
      <c r="FI82" s="60">
        <f t="shared" si="77"/>
        <v>695.39188355941883</v>
      </c>
      <c r="FJ82" s="60">
        <f ca="1">AVERAGE(OFFSET($FI$3,0,0,'Données projet'!$E$16+1,1))-AVERAGE(OFFSET($H$3,0,0,'Données projet'!$E$16+1,1))</f>
        <v>296.01124173332352</v>
      </c>
      <c r="FK82" s="60">
        <f t="shared" si="102"/>
        <v>315.50730924873733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5.2</v>
      </c>
      <c r="FZ82" s="13">
        <f>IF('Données projet'!$A$244&gt;35,FZ81+FY82-GH81,IF(A82&lt;'Données projet'!$A$244,$FW$205^A82,IF(A82='Données projet'!$A$244,'Données projet'!$B$244,FZ81+FY82-GH81)))</f>
        <v>224.79999999999995</v>
      </c>
      <c r="GA82" s="18">
        <f>FZ82*VLOOKUP('Données projet'!$B$17,Paramètres!$A$1:$I$89,3,0)*VLOOKUP('Données projet'!$B$17,Paramètres!$A$1:$I$89,5,0)</f>
        <v>217.42655999999997</v>
      </c>
      <c r="GB82" s="14">
        <f t="shared" si="103"/>
        <v>53.555178800030845</v>
      </c>
      <c r="GC82" s="22">
        <f t="shared" si="79"/>
        <v>471.95986174338708</v>
      </c>
      <c r="GD82" s="60">
        <f t="shared" si="80"/>
        <v>742.28940912456403</v>
      </c>
      <c r="GE82" s="60">
        <f ca="1">AVERAGE(OFFSET($GD$3,0,0,'Données projet'!$E$17+1,1))-AVERAGE(OFFSET($H$3,0,0,'Données projet'!$E$17+1,1))</f>
        <v>391.18744390931187</v>
      </c>
      <c r="GF82" s="60">
        <f t="shared" si="104"/>
        <v>261.46982358454386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0.35063872395076023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0.35063872395076023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260.50000000000006</v>
      </c>
      <c r="O83" s="14">
        <f>N83*VLOOKUP('Données projet'!$B$9,Paramètres!$A$1:$I$89,3,0)*VLOOKUP('Données projet'!$B$9,Paramètres!$A$1:$I$89,5,0)</f>
        <v>235.70040000000006</v>
      </c>
      <c r="P83" s="14">
        <f t="shared" si="87"/>
        <v>57.513479567871684</v>
      </c>
      <c r="Q83" s="22">
        <f t="shared" si="54"/>
        <v>510.68084024737658</v>
      </c>
      <c r="R83" s="60">
        <f t="shared" si="55"/>
        <v>781.4094518860627</v>
      </c>
      <c r="S83" s="60">
        <f ca="1">AVERAGE(OFFSET($R$3,0,0,'Données projet'!$E$9+1,1))-AVERAGE(OFFSET($H$3,0,0,'Données projet'!$E$9+1,1))</f>
        <v>469.15492079216403</v>
      </c>
      <c r="T83" s="60">
        <f t="shared" si="88"/>
        <v>250.47702091764884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260.50000000000006</v>
      </c>
      <c r="AJ83" s="14">
        <f>AI83*VLOOKUP('Données projet'!$B$10,Paramètres!$A$1:$I$89,3,0)*VLOOKUP('Données projet'!$B$10,Paramètres!$A$1:$I$89,5,0)</f>
        <v>219.44520000000009</v>
      </c>
      <c r="AK83" s="14">
        <f t="shared" si="89"/>
        <v>53.994284967173513</v>
      </c>
      <c r="AL83" s="22">
        <f t="shared" si="58"/>
        <v>476.24043631782729</v>
      </c>
      <c r="AM83" s="60">
        <f t="shared" si="59"/>
        <v>746.96904795651335</v>
      </c>
      <c r="AN83" s="60">
        <f ca="1">AVERAGE(OFFSET($AM$3,0,0,'Données projet'!$E$10+1,1))-AVERAGE(OFFSET($H$3,0,0,'Données projet'!$E$10+1,1))</f>
        <v>442.49274132121275</v>
      </c>
      <c r="AO83" s="60">
        <f t="shared" si="90"/>
        <v>237.37463556402756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227</v>
      </c>
      <c r="BB83" s="13">
        <f>VLOOKUP(A83,'Données projet'!$A$87:$I$107,9,0)</f>
        <v>3.8</v>
      </c>
      <c r="BC83" s="13">
        <f t="array" ref="BC83">INDEX(BB:BB,MIN(IF(ISNUMBER(BB83:BB279),ROW(BB83:BB279),"")))</f>
        <v>3.8</v>
      </c>
      <c r="BD83" s="13">
        <f>IF('Données projet'!$A$88&gt;35,BD82+BC83-BL82,IF(A83&lt;'Données projet'!$A$88,$BA$205^A83,IF(A83='Données projet'!$A$88,'Données projet'!$B$88,BD82+BC83-BL82)))</f>
        <v>227.0000000000002</v>
      </c>
      <c r="BE83" s="14">
        <f>BD83*VLOOKUP('Données projet'!$B$11,Paramètres!$A$1:$I$89,3,0)*VLOOKUP('Données projet'!$B$11,Paramètres!$A$1:$I$89,5,0)</f>
        <v>148.73040000000012</v>
      </c>
      <c r="BF83" s="14">
        <f t="shared" si="91"/>
        <v>38.289921888482922</v>
      </c>
      <c r="BG83" s="22">
        <f t="shared" si="61"/>
        <v>325.72706062244129</v>
      </c>
      <c r="BH83" s="60">
        <f t="shared" si="62"/>
        <v>596.45567226112735</v>
      </c>
      <c r="BI83" s="60">
        <f ca="1">AVERAGE(OFFSET($BH$3,0,0,'Données projet'!$E$11+1,1))-AVERAGE(OFFSET($H$3,0,0,'Données projet'!$E$11+1,1))</f>
        <v>267.90768140488603</v>
      </c>
      <c r="BJ83" s="60">
        <f t="shared" si="92"/>
        <v>280.25465074992258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248</v>
      </c>
      <c r="BW83" s="13">
        <f>VLOOKUP(A83,'Données projet'!$A$113:$I$133,9,0)</f>
        <v>4.2</v>
      </c>
      <c r="BX83" s="13">
        <f t="array" ref="BX83">INDEX(BW:BW,MIN(IF(ISNUMBER(BW83:BW279),ROW(BW83:BW279),"")))</f>
        <v>4.2</v>
      </c>
      <c r="BY83" s="13">
        <f>IF('Données projet'!$A$114&gt;35,BY82+BX83-CG82,IF(A83&lt;'Données projet'!$A$114,$BV$205^A83,IF(A83='Données projet'!$A$114,'Données projet'!$B$114,BY82+BX83-CG82)))</f>
        <v>248.00000000000006</v>
      </c>
      <c r="BZ83" s="14">
        <f>BY83*VLOOKUP('Données projet'!$B$12,Paramètres!$A$1:$I$89,3,0)*VLOOKUP('Données projet'!$B$12,Paramètres!$A$1:$I$89,5,0)</f>
        <v>201.17760000000007</v>
      </c>
      <c r="CA83" s="14">
        <f t="shared" si="93"/>
        <v>50.002880070410733</v>
      </c>
      <c r="CB83" s="22">
        <f t="shared" si="64"/>
        <v>437.47266945596539</v>
      </c>
      <c r="CC83" s="60">
        <f t="shared" si="65"/>
        <v>708.20128109465145</v>
      </c>
      <c r="CD83" s="60">
        <f ca="1">AVERAGE(OFFSET($CC$3,0,0,'Données projet'!$E$12+1,1))-AVERAGE(OFFSET($H$3,0,0,'Données projet'!$E$12+1,1))</f>
        <v>308.6594206517259</v>
      </c>
      <c r="CE83" s="60">
        <f t="shared" si="94"/>
        <v>258.90832875500325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227.56410256410257</v>
      </c>
      <c r="CR83" s="13">
        <f>VLOOKUP(A83,'Données projet'!$A$139:$I$159,9,0)</f>
        <v>3.974358974358978</v>
      </c>
      <c r="CS83" s="13">
        <f t="array" ref="CS83">INDEX(CR:CR,MIN(IF(ISNUMBER(CR83:CR279),ROW(CR83:CR279),"")))</f>
        <v>3.974358974358978</v>
      </c>
      <c r="CT83" s="13">
        <f>IF('Données projet'!$A$140&gt;35,CT82+CS83-DB82,IF(A83&lt;'Données projet'!$A$140,$CQ$205^A83,IF(A83='Données projet'!$A$140,'Données projet'!$B$140,CT82+CS83-DB82)))</f>
        <v>227.56410256410248</v>
      </c>
      <c r="CU83" s="18">
        <f>CT83*VLOOKUP('Données projet'!$B$13,Paramètres!$A$1:$I$89,3,0)*VLOOKUP('Données projet'!$B$13,Paramètres!$A$1:$I$89,5,0)</f>
        <v>216.54999999999993</v>
      </c>
      <c r="CV83" s="14">
        <f t="shared" si="95"/>
        <v>53.364356873390378</v>
      </c>
      <c r="CW83" s="22">
        <f t="shared" si="67"/>
        <v>470.10083822115479</v>
      </c>
      <c r="CX83" s="60">
        <f t="shared" si="68"/>
        <v>740.82944985984091</v>
      </c>
      <c r="CY83" s="60">
        <f ca="1">AVERAGE(OFFSET($CX$3,0,0,'Données projet'!$E$13+1,1))-AVERAGE(OFFSET($H$3,0,0,'Données projet'!$E$13+1,1))</f>
        <v>397.63792993520934</v>
      </c>
      <c r="CZ83" s="60">
        <f t="shared" si="96"/>
        <v>300.63705521148802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27.564102564102562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282.05128205128204</v>
      </c>
      <c r="DM83" s="13">
        <f>VLOOKUP(A83,'Données projet'!$A$165:$I$185,9,0)</f>
        <v>4.2307692307692264</v>
      </c>
      <c r="DN83" s="13">
        <f t="array" ref="DN83">INDEX(DM:DM,MIN(IF(ISNUMBER(DM83:DM279),ROW(DM83:DM279),"")))</f>
        <v>4.2307692307692264</v>
      </c>
      <c r="DO83" s="13">
        <f>IF('Données projet'!$A$166&gt;35,DO82+DN83-DW82,IF(A83&lt;'Données projet'!$A$166,$DL$205^A83,IF(A83='Données projet'!$A$166,'Données projet'!$B$166,DO82+DN83-DW82)))</f>
        <v>282.05128205128204</v>
      </c>
      <c r="DP83" s="18">
        <f>DO83*VLOOKUP('Données projet'!$B$14,Paramètres!$A$1:$I$89,3,0)*VLOOKUP('Données projet'!$B$14,Paramètres!$A$1:$I$89,5,0)</f>
        <v>189.2</v>
      </c>
      <c r="DQ83" s="14">
        <f t="shared" si="97"/>
        <v>47.363040799609699</v>
      </c>
      <c r="DR83" s="22">
        <f t="shared" si="70"/>
        <v>412.01396272598686</v>
      </c>
      <c r="DS83" s="60">
        <f t="shared" si="71"/>
        <v>682.74257436467292</v>
      </c>
      <c r="DT83" s="60">
        <f ca="1">AVERAGE(OFFSET($DS$3,0,0,'Données projet'!$E$14+1,1))-AVERAGE(OFFSET($H$3,0,0,'Données projet'!$E$14+1,1))</f>
        <v>343.94240546037798</v>
      </c>
      <c r="DU83" s="60">
        <f t="shared" si="98"/>
        <v>277.30931495079346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26.282051282051281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0.31995452911065203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0.31995452911065203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-2.8421709430404007E-13</v>
      </c>
      <c r="EK83" s="18">
        <f>EJ83*VLOOKUP('Données projet'!$B$15,Paramètres!$A$1:$I$89,3,0)*VLOOKUP('Données projet'!$B$15,Paramètres!$A$1:$I$89,5,0)</f>
        <v>-2.2168933355715128E-13</v>
      </c>
      <c r="EL83" s="14" t="e">
        <f t="shared" si="99"/>
        <v>#NUM!</v>
      </c>
      <c r="EM83" s="22" t="e">
        <f t="shared" si="73"/>
        <v>#NUM!</v>
      </c>
      <c r="EN83" s="60" t="e">
        <f t="shared" si="74"/>
        <v>#NUM!</v>
      </c>
      <c r="EO83" s="60">
        <f ca="1">AVERAGE(OFFSET($EN$3,0,0,'Données projet'!$E$15+1,1))-AVERAGE(OFFSET($H$3,0,0,'Données projet'!$E$15+1,1))</f>
        <v>308.76306523144956</v>
      </c>
      <c r="EP83" s="60">
        <f t="shared" si="100"/>
        <v>283.28099819802776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226</v>
      </c>
      <c r="FC83" s="13">
        <f>VLOOKUP(A83,'Données projet'!$A$217:$I$237,9,0)</f>
        <v>2.4</v>
      </c>
      <c r="FD83" s="13">
        <f t="array" ref="FD83">INDEX(FC:FC,MIN(IF(ISNUMBER(FC83:FC279),ROW(FC83:FC279),"")))</f>
        <v>2.4</v>
      </c>
      <c r="FE83" s="13">
        <f>IF('Données projet'!$A$218&gt;35,FE82+FD83-FM82,IF(A83&lt;'Données projet'!$A$218,$FB$205^A83,IF(A83='Données projet'!$A$218,'Données projet'!$B$218,FE82+FD83-FM82)))</f>
        <v>225.99999999999989</v>
      </c>
      <c r="FF83" s="18">
        <f>FE83*VLOOKUP('Données projet'!$B$16,Paramètres!$A$1:$I$89,3,0)*VLOOKUP('Données projet'!$B$16,Paramètres!$A$1:$I$89,5,0)</f>
        <v>197.43359999999993</v>
      </c>
      <c r="FG83" s="14">
        <f t="shared" si="101"/>
        <v>49.179727436837609</v>
      </c>
      <c r="FH83" s="22">
        <f t="shared" si="76"/>
        <v>429.51821195249204</v>
      </c>
      <c r="FI83" s="60">
        <f t="shared" si="77"/>
        <v>700.2468235911781</v>
      </c>
      <c r="FJ83" s="60">
        <f ca="1">AVERAGE(OFFSET($FI$3,0,0,'Données projet'!$E$16+1,1))-AVERAGE(OFFSET($H$3,0,0,'Données projet'!$E$16+1,1))</f>
        <v>296.01124173332352</v>
      </c>
      <c r="FK83" s="60">
        <f t="shared" si="102"/>
        <v>315.50730924873733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226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230</v>
      </c>
      <c r="FX83" s="13">
        <f>VLOOKUP(A83,'Données projet'!$A$243:$I$263,9,0)</f>
        <v>5.2</v>
      </c>
      <c r="FY83" s="13">
        <f t="array" ref="FY83">INDEX(FX:FX,MIN(IF(ISNUMBER(FX83:FX279),ROW(FX83:FX279),"")))</f>
        <v>5.2</v>
      </c>
      <c r="FZ83" s="13">
        <f>IF('Données projet'!$A$244&gt;35,FZ82+FY83-GH82,IF(A83&lt;'Données projet'!$A$244,$FW$205^A83,IF(A83='Données projet'!$A$244,'Données projet'!$B$244,FZ82+FY83-GH82)))</f>
        <v>229.99999999999994</v>
      </c>
      <c r="GA83" s="18">
        <f>FZ83*VLOOKUP('Données projet'!$B$17,Paramètres!$A$1:$I$89,3,0)*VLOOKUP('Données projet'!$B$17,Paramètres!$A$1:$I$89,5,0)</f>
        <v>222.45599999999996</v>
      </c>
      <c r="GB83" s="14">
        <f t="shared" si="103"/>
        <v>54.648339796219815</v>
      </c>
      <c r="GC83" s="22">
        <f t="shared" si="79"/>
        <v>482.6233918117494</v>
      </c>
      <c r="GD83" s="60">
        <f t="shared" si="80"/>
        <v>753.35200345043552</v>
      </c>
      <c r="GE83" s="60">
        <f ca="1">AVERAGE(OFFSET($GD$3,0,0,'Données projet'!$E$17+1,1))-AVERAGE(OFFSET($H$3,0,0,'Données projet'!$E$17+1,1))</f>
        <v>391.18744390931187</v>
      </c>
      <c r="GF83" s="60">
        <f t="shared" si="104"/>
        <v>261.46982358454386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34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0.34105048960503759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0.34105048960503759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266.40000000000003</v>
      </c>
      <c r="O84" s="14">
        <f>N84*VLOOKUP('Données projet'!$B$9,Paramètres!$A$1:$I$89,3,0)*VLOOKUP('Données projet'!$B$9,Paramètres!$A$1:$I$89,5,0)</f>
        <v>241.03872000000001</v>
      </c>
      <c r="P84" s="14">
        <f t="shared" si="87"/>
        <v>58.66295994697051</v>
      </c>
      <c r="Q84" s="22">
        <f t="shared" si="54"/>
        <v>521.98042590764032</v>
      </c>
      <c r="R84" s="60">
        <f t="shared" si="55"/>
        <v>793.1011789311417</v>
      </c>
      <c r="S84" s="60">
        <f ca="1">AVERAGE(OFFSET($R$3,0,0,'Données projet'!$E$9+1,1))-AVERAGE(OFFSET($H$3,0,0,'Données projet'!$E$9+1,1))</f>
        <v>469.15492079216403</v>
      </c>
      <c r="T84" s="60">
        <f t="shared" si="88"/>
        <v>250.47702091764884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266.40000000000003</v>
      </c>
      <c r="AJ84" s="14">
        <f>AI84*VLOOKUP('Données projet'!$B$10,Paramètres!$A$1:$I$89,3,0)*VLOOKUP('Données projet'!$B$10,Paramètres!$A$1:$I$89,5,0)</f>
        <v>224.41536000000005</v>
      </c>
      <c r="AK84" s="14">
        <f t="shared" si="89"/>
        <v>55.073429745398869</v>
      </c>
      <c r="AL84" s="22">
        <f t="shared" si="58"/>
        <v>486.77630880656972</v>
      </c>
      <c r="AM84" s="60">
        <f t="shared" si="59"/>
        <v>757.89706183007115</v>
      </c>
      <c r="AN84" s="60">
        <f ca="1">AVERAGE(OFFSET($AM$3,0,0,'Données projet'!$E$10+1,1))-AVERAGE(OFFSET($H$3,0,0,'Données projet'!$E$10+1,1))</f>
        <v>442.49274132121275</v>
      </c>
      <c r="AO84" s="60">
        <f t="shared" si="90"/>
        <v>237.37463556402756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3.6</v>
      </c>
      <c r="BD84" s="13">
        <f>IF('Données projet'!$A$88&gt;35,BD83+BC84-BL83,IF(A84&lt;'Données projet'!$A$88,$BA$205^A84,IF(A84='Données projet'!$A$88,'Données projet'!$B$88,BD83+BC84-BL83)))</f>
        <v>199.60000000000019</v>
      </c>
      <c r="BE84" s="14">
        <f>BD84*VLOOKUP('Données projet'!$B$11,Paramètres!$A$1:$I$89,3,0)*VLOOKUP('Données projet'!$B$11,Paramètres!$A$1:$I$89,5,0)</f>
        <v>130.77792000000014</v>
      </c>
      <c r="BF84" s="14">
        <f t="shared" si="91"/>
        <v>34.176051340149542</v>
      </c>
      <c r="BG84" s="22">
        <f t="shared" si="61"/>
        <v>287.29483341742736</v>
      </c>
      <c r="BH84" s="60">
        <f t="shared" si="62"/>
        <v>558.41558644092879</v>
      </c>
      <c r="BI84" s="60">
        <f ca="1">AVERAGE(OFFSET($BH$3,0,0,'Données projet'!$E$11+1,1))-AVERAGE(OFFSET($H$3,0,0,'Données projet'!$E$11+1,1))</f>
        <v>267.90768140488603</v>
      </c>
      <c r="BJ84" s="60">
        <f t="shared" si="92"/>
        <v>280.25465074992258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</v>
      </c>
      <c r="BY84" s="13">
        <f>IF('Données projet'!$A$114&gt;35,BY83+BX84-CG83,IF(A84&lt;'Données projet'!$A$114,$BV$205^A84,IF(A84='Données projet'!$A$114,'Données projet'!$B$114,BY83+BX84-CG83)))</f>
        <v>225.00000000000006</v>
      </c>
      <c r="BZ84" s="14">
        <f>BY84*VLOOKUP('Données projet'!$B$12,Paramètres!$A$1:$I$89,3,0)*VLOOKUP('Données projet'!$B$12,Paramètres!$A$1:$I$89,5,0)</f>
        <v>182.52000000000004</v>
      </c>
      <c r="CA84" s="14">
        <f t="shared" si="93"/>
        <v>45.882385280285632</v>
      </c>
      <c r="CB84" s="22">
        <f t="shared" si="64"/>
        <v>397.80082102983084</v>
      </c>
      <c r="CC84" s="60">
        <f t="shared" si="65"/>
        <v>668.92157405333228</v>
      </c>
      <c r="CD84" s="60">
        <f ca="1">AVERAGE(OFFSET($CC$3,0,0,'Données projet'!$E$12+1,1))-AVERAGE(OFFSET($H$3,0,0,'Données projet'!$E$12+1,1))</f>
        <v>308.6594206517259</v>
      </c>
      <c r="CE84" s="60">
        <f t="shared" si="94"/>
        <v>258.90832875500325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3.8461538461538454</v>
      </c>
      <c r="CT84" s="13">
        <f>IF('Données projet'!$A$140&gt;35,CT83+CS84-DB83,IF(A84&lt;'Données projet'!$A$140,$CQ$205^A84,IF(A84='Données projet'!$A$140,'Données projet'!$B$140,CT83+CS84-DB83)))</f>
        <v>203.84615384615375</v>
      </c>
      <c r="CU84" s="18">
        <f>CT84*VLOOKUP('Données projet'!$B$13,Paramètres!$A$1:$I$89,3,0)*VLOOKUP('Données projet'!$B$13,Paramètres!$A$1:$I$89,5,0)</f>
        <v>193.9799999999999</v>
      </c>
      <c r="CV84" s="14">
        <f t="shared" si="95"/>
        <v>48.418809868414776</v>
      </c>
      <c r="CW84" s="22">
        <f t="shared" si="67"/>
        <v>422.17792718748888</v>
      </c>
      <c r="CX84" s="60">
        <f t="shared" si="68"/>
        <v>693.29868021099037</v>
      </c>
      <c r="CY84" s="60">
        <f ca="1">AVERAGE(OFFSET($CX$3,0,0,'Données projet'!$E$13+1,1))-AVERAGE(OFFSET($H$3,0,0,'Données projet'!$E$13+1,1))</f>
        <v>397.63792993520934</v>
      </c>
      <c r="CZ84" s="60">
        <f t="shared" si="96"/>
        <v>300.63705521148802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4.1025641025640995</v>
      </c>
      <c r="DO84" s="13">
        <f>IF('Données projet'!$A$166&gt;35,DO83+DN84-DW83,IF(A84&lt;'Données projet'!$A$166,$DL$205^A84,IF(A84='Données projet'!$A$166,'Données projet'!$B$166,DO83+DN84-DW83)))</f>
        <v>259.87179487179486</v>
      </c>
      <c r="DP84" s="18">
        <f>DO84*VLOOKUP('Données projet'!$B$14,Paramètres!$A$1:$I$89,3,0)*VLOOKUP('Données projet'!$B$14,Paramètres!$A$1:$I$89,5,0)</f>
        <v>174.322</v>
      </c>
      <c r="DQ84" s="14">
        <f t="shared" si="97"/>
        <v>44.056588905148629</v>
      </c>
      <c r="DR84" s="22">
        <f t="shared" si="70"/>
        <v>380.3427090098005</v>
      </c>
      <c r="DS84" s="60">
        <f t="shared" si="71"/>
        <v>651.46346203330199</v>
      </c>
      <c r="DT84" s="60">
        <f ca="1">AVERAGE(OFFSET($DS$3,0,0,'Données projet'!$E$14+1,1))-AVERAGE(OFFSET($H$3,0,0,'Données projet'!$E$14+1,1))</f>
        <v>343.94240546037798</v>
      </c>
      <c r="DU84" s="60">
        <f t="shared" si="98"/>
        <v>277.30931495079346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0.31120535568644381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0.31120535568644381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-2.8421709430404007E-13</v>
      </c>
      <c r="EK84" s="18">
        <f>EJ84*VLOOKUP('Données projet'!$B$15,Paramètres!$A$1:$I$89,3,0)*VLOOKUP('Données projet'!$B$15,Paramètres!$A$1:$I$89,5,0)</f>
        <v>-2.2168933355715128E-13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308.76306523144956</v>
      </c>
      <c r="EP84" s="60">
        <f t="shared" si="100"/>
        <v>283.28099819802776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-1.1368683772161603E-13</v>
      </c>
      <c r="FF84" s="18">
        <f>FE84*VLOOKUP('Données projet'!$B$16,Paramètres!$A$1:$I$89,3,0)*VLOOKUP('Données projet'!$B$16,Paramètres!$A$1:$I$89,5,0)</f>
        <v>-9.9316821433603781E-14</v>
      </c>
      <c r="FG84" s="14" t="e">
        <f t="shared" si="101"/>
        <v>#NUM!</v>
      </c>
      <c r="FH84" s="22" t="e">
        <f t="shared" si="76"/>
        <v>#NUM!</v>
      </c>
      <c r="FI84" s="60" t="e">
        <f t="shared" si="77"/>
        <v>#NUM!</v>
      </c>
      <c r="FJ84" s="60">
        <f ca="1">AVERAGE(OFFSET($FI$3,0,0,'Données projet'!$E$16+1,1))-AVERAGE(OFFSET($H$3,0,0,'Données projet'!$E$16+1,1))</f>
        <v>296.01124173332352</v>
      </c>
      <c r="FK84" s="60">
        <f t="shared" si="102"/>
        <v>315.50730924873733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5.2</v>
      </c>
      <c r="FZ84" s="13">
        <f>IF('Données projet'!$A$244&gt;35,FZ83+FY84-GH83,IF(A84&lt;'Données projet'!$A$244,$FW$205^A84,IF(A84='Données projet'!$A$244,'Données projet'!$B$244,FZ83+FY84-GH83)))</f>
        <v>201.19999999999993</v>
      </c>
      <c r="GA84" s="18">
        <f>FZ84*VLOOKUP('Données projet'!$B$17,Paramètres!$A$1:$I$89,3,0)*VLOOKUP('Données projet'!$B$17,Paramètres!$A$1:$I$89,5,0)</f>
        <v>194.60063999999994</v>
      </c>
      <c r="GB84" s="14">
        <f t="shared" si="103"/>
        <v>48.555668389578706</v>
      </c>
      <c r="GC84" s="22">
        <f t="shared" si="79"/>
        <v>423.49723711184947</v>
      </c>
      <c r="GD84" s="60">
        <f t="shared" si="80"/>
        <v>694.61799013535096</v>
      </c>
      <c r="GE84" s="60">
        <f ca="1">AVERAGE(OFFSET($GD$3,0,0,'Données projet'!$E$17+1,1))-AVERAGE(OFFSET($H$3,0,0,'Données projet'!$E$17+1,1))</f>
        <v>391.18744390931187</v>
      </c>
      <c r="GF84" s="60">
        <f t="shared" si="104"/>
        <v>261.46982358454386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0.33172444603172208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0.33172444603172208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272.3</v>
      </c>
      <c r="O85" s="14">
        <f>N85*VLOOKUP('Données projet'!$B$9,Paramètres!$A$1:$I$89,3,0)*VLOOKUP('Données projet'!$B$9,Paramètres!$A$1:$I$89,5,0)</f>
        <v>246.37703999999999</v>
      </c>
      <c r="P85" s="14">
        <f t="shared" si="87"/>
        <v>59.809480609038239</v>
      </c>
      <c r="Q85" s="22">
        <f t="shared" si="54"/>
        <v>533.27485672740818</v>
      </c>
      <c r="R85" s="60">
        <f t="shared" si="55"/>
        <v>804.78094835939521</v>
      </c>
      <c r="S85" s="60">
        <f ca="1">AVERAGE(OFFSET($R$3,0,0,'Données projet'!$E$9+1,1))-AVERAGE(OFFSET($H$3,0,0,'Données projet'!$E$9+1,1))</f>
        <v>469.15492079216403</v>
      </c>
      <c r="T85" s="60">
        <f t="shared" si="88"/>
        <v>250.47702091764884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272.3</v>
      </c>
      <c r="AJ85" s="14">
        <f>AI85*VLOOKUP('Données projet'!$B$10,Paramètres!$A$1:$I$89,3,0)*VLOOKUP('Données projet'!$B$10,Paramètres!$A$1:$I$89,5,0)</f>
        <v>229.38552000000004</v>
      </c>
      <c r="AK85" s="14">
        <f t="shared" si="89"/>
        <v>56.149795908836829</v>
      </c>
      <c r="AL85" s="22">
        <f t="shared" si="58"/>
        <v>497.30734187455755</v>
      </c>
      <c r="AM85" s="60">
        <f t="shared" si="59"/>
        <v>768.81343350654458</v>
      </c>
      <c r="AN85" s="60">
        <f ca="1">AVERAGE(OFFSET($AM$3,0,0,'Données projet'!$E$10+1,1))-AVERAGE(OFFSET($H$3,0,0,'Données projet'!$E$10+1,1))</f>
        <v>442.49274132121275</v>
      </c>
      <c r="AO85" s="60">
        <f t="shared" si="90"/>
        <v>237.37463556402756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3.6</v>
      </c>
      <c r="BD85" s="13">
        <f>IF('Données projet'!$A$88&gt;35,BD84+BC85-BL84,IF(A85&lt;'Données projet'!$A$88,$BA$205^A85,IF(A85='Données projet'!$A$88,'Données projet'!$B$88,BD84+BC85-BL84)))</f>
        <v>203.20000000000019</v>
      </c>
      <c r="BE85" s="14">
        <f>BD85*VLOOKUP('Données projet'!$B$11,Paramètres!$A$1:$I$89,3,0)*VLOOKUP('Données projet'!$B$11,Paramètres!$A$1:$I$89,5,0)</f>
        <v>133.13664000000014</v>
      </c>
      <c r="BF85" s="14">
        <f t="shared" si="91"/>
        <v>34.720135986247172</v>
      </c>
      <c r="BG85" s="22">
        <f t="shared" si="61"/>
        <v>292.35055150938075</v>
      </c>
      <c r="BH85" s="60">
        <f t="shared" si="62"/>
        <v>563.85664314136784</v>
      </c>
      <c r="BI85" s="60">
        <f ca="1">AVERAGE(OFFSET($BH$3,0,0,'Données projet'!$E$11+1,1))-AVERAGE(OFFSET($H$3,0,0,'Données projet'!$E$11+1,1))</f>
        <v>267.90768140488603</v>
      </c>
      <c r="BJ85" s="60">
        <f t="shared" si="92"/>
        <v>280.25465074992258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</v>
      </c>
      <c r="BY85" s="13">
        <f>IF('Données projet'!$A$114&gt;35,BY84+BX85-CG84,IF(A85&lt;'Données projet'!$A$114,$BV$205^A85,IF(A85='Données projet'!$A$114,'Données projet'!$B$114,BY84+BX85-CG84)))</f>
        <v>229.00000000000006</v>
      </c>
      <c r="BZ85" s="14">
        <f>BY85*VLOOKUP('Données projet'!$B$12,Paramètres!$A$1:$I$89,3,0)*VLOOKUP('Données projet'!$B$12,Paramètres!$A$1:$I$89,5,0)</f>
        <v>185.76480000000004</v>
      </c>
      <c r="CA85" s="14">
        <f t="shared" si="93"/>
        <v>46.602385341463361</v>
      </c>
      <c r="CB85" s="22">
        <f t="shared" si="64"/>
        <v>404.7061811363821</v>
      </c>
      <c r="CC85" s="60">
        <f t="shared" si="65"/>
        <v>676.21227276836908</v>
      </c>
      <c r="CD85" s="60">
        <f ca="1">AVERAGE(OFFSET($CC$3,0,0,'Données projet'!$E$12+1,1))-AVERAGE(OFFSET($H$3,0,0,'Données projet'!$E$12+1,1))</f>
        <v>308.6594206517259</v>
      </c>
      <c r="CE85" s="60">
        <f t="shared" si="94"/>
        <v>258.90832875500325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3.8461538461538454</v>
      </c>
      <c r="CT85" s="13">
        <f>IF('Données projet'!$A$140&gt;35,CT84+CS85-DB84,IF(A85&lt;'Données projet'!$A$140,$CQ$205^A85,IF(A85='Données projet'!$A$140,'Données projet'!$B$140,CT84+CS85-DB84)))</f>
        <v>207.69230769230759</v>
      </c>
      <c r="CU85" s="18">
        <f>CT85*VLOOKUP('Données projet'!$B$13,Paramètres!$A$1:$I$89,3,0)*VLOOKUP('Données projet'!$B$13,Paramètres!$A$1:$I$89,5,0)</f>
        <v>197.63999999999993</v>
      </c>
      <c r="CV85" s="14">
        <f t="shared" si="95"/>
        <v>49.22515338895078</v>
      </c>
      <c r="CW85" s="22">
        <f t="shared" si="67"/>
        <v>429.95680881908919</v>
      </c>
      <c r="CX85" s="60">
        <f t="shared" si="68"/>
        <v>701.46290045107617</v>
      </c>
      <c r="CY85" s="60">
        <f ca="1">AVERAGE(OFFSET($CX$3,0,0,'Données projet'!$E$13+1,1))-AVERAGE(OFFSET($H$3,0,0,'Données projet'!$E$13+1,1))</f>
        <v>397.63792993520934</v>
      </c>
      <c r="CZ85" s="60">
        <f t="shared" si="96"/>
        <v>300.63705521148802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4.1025641025640995</v>
      </c>
      <c r="DO85" s="13">
        <f>IF('Données projet'!$A$166&gt;35,DO84+DN85-DW84,IF(A85&lt;'Données projet'!$A$166,$DL$205^A85,IF(A85='Données projet'!$A$166,'Données projet'!$B$166,DO84+DN85-DW84)))</f>
        <v>263.97435897435895</v>
      </c>
      <c r="DP85" s="18">
        <f>DO85*VLOOKUP('Données projet'!$B$14,Paramètres!$A$1:$I$89,3,0)*VLOOKUP('Données projet'!$B$14,Paramètres!$A$1:$I$89,5,0)</f>
        <v>177.07399999999998</v>
      </c>
      <c r="DQ85" s="14">
        <f t="shared" si="97"/>
        <v>44.670585441115485</v>
      </c>
      <c r="DR85" s="22">
        <f t="shared" si="70"/>
        <v>386.20515297660944</v>
      </c>
      <c r="DS85" s="60">
        <f t="shared" si="71"/>
        <v>657.71124460859642</v>
      </c>
      <c r="DT85" s="60">
        <f ca="1">AVERAGE(OFFSET($DS$3,0,0,'Données projet'!$E$14+1,1))-AVERAGE(OFFSET($H$3,0,0,'Données projet'!$E$14+1,1))</f>
        <v>343.94240546037798</v>
      </c>
      <c r="DU85" s="60">
        <f t="shared" si="98"/>
        <v>277.30931495079346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0.30269542886961964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0.30269542886961964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-2.8421709430404007E-13</v>
      </c>
      <c r="EK85" s="18">
        <f>EJ85*VLOOKUP('Données projet'!$B$15,Paramètres!$A$1:$I$89,3,0)*VLOOKUP('Données projet'!$B$15,Paramètres!$A$1:$I$89,5,0)</f>
        <v>-2.2168933355715128E-13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308.76306523144956</v>
      </c>
      <c r="EP85" s="60">
        <f t="shared" si="100"/>
        <v>283.28099819802776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-1.1368683772161603E-13</v>
      </c>
      <c r="FF85" s="18">
        <f>FE85*VLOOKUP('Données projet'!$B$16,Paramètres!$A$1:$I$89,3,0)*VLOOKUP('Données projet'!$B$16,Paramètres!$A$1:$I$89,5,0)</f>
        <v>-9.9316821433603781E-14</v>
      </c>
      <c r="FG85" s="14" t="e">
        <f t="shared" si="101"/>
        <v>#NUM!</v>
      </c>
      <c r="FH85" s="22" t="e">
        <f t="shared" si="76"/>
        <v>#NUM!</v>
      </c>
      <c r="FI85" s="60" t="e">
        <f t="shared" si="77"/>
        <v>#NUM!</v>
      </c>
      <c r="FJ85" s="60">
        <f ca="1">AVERAGE(OFFSET($FI$3,0,0,'Données projet'!$E$16+1,1))-AVERAGE(OFFSET($H$3,0,0,'Données projet'!$E$16+1,1))</f>
        <v>296.01124173332352</v>
      </c>
      <c r="FK85" s="60">
        <f t="shared" si="102"/>
        <v>315.50730924873733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5.2</v>
      </c>
      <c r="FZ85" s="13">
        <f>IF('Données projet'!$A$244&gt;35,FZ84+FY85-GH84,IF(A85&lt;'Données projet'!$A$244,$FW$205^A85,IF(A85='Données projet'!$A$244,'Données projet'!$B$244,FZ84+FY85-GH84)))</f>
        <v>206.39999999999992</v>
      </c>
      <c r="GA85" s="18">
        <f>FZ85*VLOOKUP('Données projet'!$B$17,Paramètres!$A$1:$I$89,3,0)*VLOOKUP('Données projet'!$B$17,Paramètres!$A$1:$I$89,5,0)</f>
        <v>199.63007999999994</v>
      </c>
      <c r="GB85" s="14">
        <f t="shared" si="103"/>
        <v>49.662861748339331</v>
      </c>
      <c r="GC85" s="22">
        <f t="shared" si="79"/>
        <v>434.18520687835758</v>
      </c>
      <c r="GD85" s="60">
        <f t="shared" si="80"/>
        <v>705.69129851034461</v>
      </c>
      <c r="GE85" s="60">
        <f ca="1">AVERAGE(OFFSET($GD$3,0,0,'Données projet'!$E$17+1,1))-AVERAGE(OFFSET($H$3,0,0,'Données projet'!$E$17+1,1))</f>
        <v>391.18744390931187</v>
      </c>
      <c r="GF85" s="60">
        <f t="shared" si="104"/>
        <v>261.46982358454386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0.32265342361035421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0.32265342361035421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278.2</v>
      </c>
      <c r="O86" s="14">
        <f>N86*VLOOKUP('Données projet'!$B$9,Paramètres!$A$1:$I$89,3,0)*VLOOKUP('Données projet'!$B$9,Paramètres!$A$1:$I$89,5,0)</f>
        <v>251.71536</v>
      </c>
      <c r="P86" s="14">
        <f t="shared" si="87"/>
        <v>60.953113068801812</v>
      </c>
      <c r="Q86" s="22">
        <f t="shared" si="54"/>
        <v>544.56425726149644</v>
      </c>
      <c r="R86" s="60">
        <f t="shared" si="55"/>
        <v>816.44900273859992</v>
      </c>
      <c r="S86" s="60">
        <f ca="1">AVERAGE(OFFSET($R$3,0,0,'Données projet'!$E$9+1,1))-AVERAGE(OFFSET($H$3,0,0,'Données projet'!$E$9+1,1))</f>
        <v>469.15492079216403</v>
      </c>
      <c r="T86" s="60">
        <f t="shared" si="88"/>
        <v>250.47702091764884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278.2</v>
      </c>
      <c r="AJ86" s="14">
        <f>AI86*VLOOKUP('Données projet'!$B$10,Paramètres!$A$1:$I$89,3,0)*VLOOKUP('Données projet'!$B$10,Paramètres!$A$1:$I$89,5,0)</f>
        <v>234.35568000000004</v>
      </c>
      <c r="AK86" s="14">
        <f t="shared" si="89"/>
        <v>57.223450596296892</v>
      </c>
      <c r="AL86" s="22">
        <f t="shared" si="58"/>
        <v>507.83365245521713</v>
      </c>
      <c r="AM86" s="60">
        <f t="shared" si="59"/>
        <v>779.71839793232061</v>
      </c>
      <c r="AN86" s="60">
        <f ca="1">AVERAGE(OFFSET($AM$3,0,0,'Données projet'!$E$10+1,1))-AVERAGE(OFFSET($H$3,0,0,'Données projet'!$E$10+1,1))</f>
        <v>442.49274132121275</v>
      </c>
      <c r="AO86" s="60">
        <f t="shared" si="90"/>
        <v>237.37463556402756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3.6</v>
      </c>
      <c r="BD86" s="13">
        <f>IF('Données projet'!$A$88&gt;35,BD85+BC86-BL85,IF(A86&lt;'Données projet'!$A$88,$BA$205^A86,IF(A86='Données projet'!$A$88,'Données projet'!$B$88,BD85+BC86-BL85)))</f>
        <v>206.80000000000018</v>
      </c>
      <c r="BE86" s="14">
        <f>BD86*VLOOKUP('Données projet'!$B$11,Paramètres!$A$1:$I$89,3,0)*VLOOKUP('Données projet'!$B$11,Paramètres!$A$1:$I$89,5,0)</f>
        <v>135.49536000000012</v>
      </c>
      <c r="BF86" s="14">
        <f t="shared" si="91"/>
        <v>35.263099712541788</v>
      </c>
      <c r="BG86" s="22">
        <f t="shared" si="61"/>
        <v>297.40431733267718</v>
      </c>
      <c r="BH86" s="60">
        <f t="shared" si="62"/>
        <v>569.28906280978072</v>
      </c>
      <c r="BI86" s="60">
        <f ca="1">AVERAGE(OFFSET($BH$3,0,0,'Données projet'!$E$11+1,1))-AVERAGE(OFFSET($H$3,0,0,'Données projet'!$E$11+1,1))</f>
        <v>267.90768140488603</v>
      </c>
      <c r="BJ86" s="60">
        <f t="shared" si="92"/>
        <v>280.25465074992258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</v>
      </c>
      <c r="BY86" s="13">
        <f>IF('Données projet'!$A$114&gt;35,BY85+BX86-CG85,IF(A86&lt;'Données projet'!$A$114,$BV$205^A86,IF(A86='Données projet'!$A$114,'Données projet'!$B$114,BY85+BX86-CG85)))</f>
        <v>233.00000000000006</v>
      </c>
      <c r="BZ86" s="14">
        <f>BY86*VLOOKUP('Données projet'!$B$12,Paramètres!$A$1:$I$89,3,0)*VLOOKUP('Données projet'!$B$12,Paramètres!$A$1:$I$89,5,0)</f>
        <v>189.00960000000006</v>
      </c>
      <c r="CA86" s="14">
        <f t="shared" si="93"/>
        <v>47.320922915876508</v>
      </c>
      <c r="CB86" s="22">
        <f t="shared" si="64"/>
        <v>411.60899407848501</v>
      </c>
      <c r="CC86" s="60">
        <f t="shared" si="65"/>
        <v>683.49373955558849</v>
      </c>
      <c r="CD86" s="60">
        <f ca="1">AVERAGE(OFFSET($CC$3,0,0,'Données projet'!$E$12+1,1))-AVERAGE(OFFSET($H$3,0,0,'Données projet'!$E$12+1,1))</f>
        <v>308.6594206517259</v>
      </c>
      <c r="CE86" s="60">
        <f t="shared" si="94"/>
        <v>258.90832875500325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3.8461538461538454</v>
      </c>
      <c r="CT86" s="13">
        <f>IF('Données projet'!$A$140&gt;35,CT85+CS86-DB85,IF(A86&lt;'Données projet'!$A$140,$CQ$205^A86,IF(A86='Données projet'!$A$140,'Données projet'!$B$140,CT85+CS86-DB85)))</f>
        <v>211.53846153846143</v>
      </c>
      <c r="CU86" s="18">
        <f>CT86*VLOOKUP('Données projet'!$B$13,Paramètres!$A$1:$I$89,3,0)*VLOOKUP('Données projet'!$B$13,Paramètres!$A$1:$I$89,5,0)</f>
        <v>201.2999999999999</v>
      </c>
      <c r="CV86" s="14">
        <f t="shared" si="95"/>
        <v>50.029760558277118</v>
      </c>
      <c r="CW86" s="22">
        <f t="shared" si="67"/>
        <v>437.73266630566582</v>
      </c>
      <c r="CX86" s="60">
        <f t="shared" si="68"/>
        <v>709.6174117827693</v>
      </c>
      <c r="CY86" s="60">
        <f ca="1">AVERAGE(OFFSET($CX$3,0,0,'Données projet'!$E$13+1,1))-AVERAGE(OFFSET($H$3,0,0,'Données projet'!$E$13+1,1))</f>
        <v>397.63792993520934</v>
      </c>
      <c r="CZ86" s="60">
        <f t="shared" si="96"/>
        <v>300.63705521148802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4.1025641025640995</v>
      </c>
      <c r="DO86" s="13">
        <f>IF('Données projet'!$A$166&gt;35,DO85+DN86-DW85,IF(A86&lt;'Données projet'!$A$166,$DL$205^A86,IF(A86='Données projet'!$A$166,'Données projet'!$B$166,DO85+DN86-DW85)))</f>
        <v>268.07692307692304</v>
      </c>
      <c r="DP86" s="18">
        <f>DO86*VLOOKUP('Données projet'!$B$14,Paramètres!$A$1:$I$89,3,0)*VLOOKUP('Données projet'!$B$14,Paramètres!$A$1:$I$89,5,0)</f>
        <v>179.82599999999996</v>
      </c>
      <c r="DQ86" s="14">
        <f t="shared" si="97"/>
        <v>45.283472193614365</v>
      </c>
      <c r="DR86" s="22">
        <f t="shared" si="70"/>
        <v>392.06566407054493</v>
      </c>
      <c r="DS86" s="60">
        <f t="shared" si="71"/>
        <v>663.95040954764841</v>
      </c>
      <c r="DT86" s="60">
        <f ca="1">AVERAGE(OFFSET($DS$3,0,0,'Données projet'!$E$14+1,1))-AVERAGE(OFFSET($H$3,0,0,'Données projet'!$E$14+1,1))</f>
        <v>343.94240546037798</v>
      </c>
      <c r="DU86" s="60">
        <f t="shared" si="98"/>
        <v>277.30931495079346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0.29441820644911909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0.29441820644911909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-2.8421709430404007E-13</v>
      </c>
      <c r="EK86" s="18">
        <f>EJ86*VLOOKUP('Données projet'!$B$15,Paramètres!$A$1:$I$89,3,0)*VLOOKUP('Données projet'!$B$15,Paramètres!$A$1:$I$89,5,0)</f>
        <v>-2.2168933355715128E-13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308.76306523144956</v>
      </c>
      <c r="EP86" s="60">
        <f t="shared" si="100"/>
        <v>283.28099819802776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-1.1368683772161603E-13</v>
      </c>
      <c r="FF86" s="18">
        <f>FE86*VLOOKUP('Données projet'!$B$16,Paramètres!$A$1:$I$89,3,0)*VLOOKUP('Données projet'!$B$16,Paramètres!$A$1:$I$89,5,0)</f>
        <v>-9.9316821433603781E-14</v>
      </c>
      <c r="FG86" s="14" t="e">
        <f t="shared" si="101"/>
        <v>#NUM!</v>
      </c>
      <c r="FH86" s="22" t="e">
        <f t="shared" si="76"/>
        <v>#NUM!</v>
      </c>
      <c r="FI86" s="60" t="e">
        <f t="shared" si="77"/>
        <v>#NUM!</v>
      </c>
      <c r="FJ86" s="60">
        <f ca="1">AVERAGE(OFFSET($FI$3,0,0,'Données projet'!$E$16+1,1))-AVERAGE(OFFSET($H$3,0,0,'Données projet'!$E$16+1,1))</f>
        <v>296.01124173332352</v>
      </c>
      <c r="FK86" s="60">
        <f t="shared" si="102"/>
        <v>315.50730924873733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5.2</v>
      </c>
      <c r="FZ86" s="13">
        <f>IF('Données projet'!$A$244&gt;35,FZ85+FY86-GH85,IF(A86&lt;'Données projet'!$A$244,$FW$205^A86,IF(A86='Données projet'!$A$244,'Données projet'!$B$244,FZ85+FY86-GH85)))</f>
        <v>211.59999999999991</v>
      </c>
      <c r="GA86" s="18">
        <f>FZ86*VLOOKUP('Données projet'!$B$17,Paramètres!$A$1:$I$89,3,0)*VLOOKUP('Données projet'!$B$17,Paramètres!$A$1:$I$89,5,0)</f>
        <v>204.65951999999993</v>
      </c>
      <c r="GB86" s="14">
        <f t="shared" si="103"/>
        <v>50.766812591921344</v>
      </c>
      <c r="GC86" s="22">
        <f t="shared" si="79"/>
        <v>444.86752926426288</v>
      </c>
      <c r="GD86" s="60">
        <f t="shared" si="80"/>
        <v>716.75227474136636</v>
      </c>
      <c r="GE86" s="60">
        <f ca="1">AVERAGE(OFFSET($GD$3,0,0,'Données projet'!$E$17+1,1))-AVERAGE(OFFSET($H$3,0,0,'Données projet'!$E$17+1,1))</f>
        <v>391.18744390931187</v>
      </c>
      <c r="GF86" s="60">
        <f t="shared" si="104"/>
        <v>261.46982358454386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0.31383044877412297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0.31383044877412297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284.09999999999997</v>
      </c>
      <c r="O87" s="14">
        <f>N87*VLOOKUP('Données projet'!$B$9,Paramètres!$A$1:$I$89,3,0)*VLOOKUP('Données projet'!$B$9,Paramètres!$A$1:$I$89,5,0)</f>
        <v>257.05367999999993</v>
      </c>
      <c r="P87" s="14">
        <f t="shared" si="87"/>
        <v>62.093925634350384</v>
      </c>
      <c r="Q87" s="22">
        <f t="shared" si="54"/>
        <v>555.84874647982679</v>
      </c>
      <c r="R87" s="60">
        <f t="shared" si="55"/>
        <v>828.1055770043771</v>
      </c>
      <c r="S87" s="60">
        <f ca="1">AVERAGE(OFFSET($R$3,0,0,'Données projet'!$E$9+1,1))-AVERAGE(OFFSET($H$3,0,0,'Données projet'!$E$9+1,1))</f>
        <v>469.15492079216403</v>
      </c>
      <c r="T87" s="60">
        <f t="shared" si="88"/>
        <v>250.47702091764884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284.09999999999997</v>
      </c>
      <c r="AJ87" s="14">
        <f>AI87*VLOOKUP('Données projet'!$B$10,Paramètres!$A$1:$I$89,3,0)*VLOOKUP('Données projet'!$B$10,Paramètres!$A$1:$I$89,5,0)</f>
        <v>239.32584</v>
      </c>
      <c r="AK87" s="14">
        <f t="shared" si="89"/>
        <v>58.294457936161763</v>
      </c>
      <c r="AL87" s="22">
        <f t="shared" si="58"/>
        <v>518.35535223881504</v>
      </c>
      <c r="AM87" s="60">
        <f t="shared" si="59"/>
        <v>790.61218276336535</v>
      </c>
      <c r="AN87" s="60">
        <f ca="1">AVERAGE(OFFSET($AM$3,0,0,'Données projet'!$E$10+1,1))-AVERAGE(OFFSET($H$3,0,0,'Données projet'!$E$10+1,1))</f>
        <v>442.49274132121275</v>
      </c>
      <c r="AO87" s="60">
        <f t="shared" si="90"/>
        <v>237.37463556402756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3.6</v>
      </c>
      <c r="BD87" s="13">
        <f>IF('Données projet'!$A$88&gt;35,BD86+BC87-BL86,IF(A87&lt;'Données projet'!$A$88,$BA$205^A87,IF(A87='Données projet'!$A$88,'Données projet'!$B$88,BD86+BC87-BL86)))</f>
        <v>210.40000000000018</v>
      </c>
      <c r="BE87" s="14">
        <f>BD87*VLOOKUP('Données projet'!$B$11,Paramètres!$A$1:$I$89,3,0)*VLOOKUP('Données projet'!$B$11,Paramètres!$A$1:$I$89,5,0)</f>
        <v>137.8540800000001</v>
      </c>
      <c r="BF87" s="14">
        <f t="shared" si="91"/>
        <v>35.804964283629992</v>
      </c>
      <c r="BG87" s="22">
        <f t="shared" si="61"/>
        <v>302.45616879398909</v>
      </c>
      <c r="BH87" s="60">
        <f t="shared" si="62"/>
        <v>574.71299931853946</v>
      </c>
      <c r="BI87" s="60">
        <f ca="1">AVERAGE(OFFSET($BH$3,0,0,'Données projet'!$E$11+1,1))-AVERAGE(OFFSET($H$3,0,0,'Données projet'!$E$11+1,1))</f>
        <v>267.90768140488603</v>
      </c>
      <c r="BJ87" s="60">
        <f t="shared" si="92"/>
        <v>280.25465074992258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</v>
      </c>
      <c r="BY87" s="13">
        <f>IF('Données projet'!$A$114&gt;35,BY86+BX87-CG86,IF(A87&lt;'Données projet'!$A$114,$BV$205^A87,IF(A87='Données projet'!$A$114,'Données projet'!$B$114,BY86+BX87-CG86)))</f>
        <v>237.00000000000006</v>
      </c>
      <c r="BZ87" s="14">
        <f>BY87*VLOOKUP('Données projet'!$B$12,Paramètres!$A$1:$I$89,3,0)*VLOOKUP('Données projet'!$B$12,Paramètres!$A$1:$I$89,5,0)</f>
        <v>192.25440000000006</v>
      </c>
      <c r="CA87" s="14">
        <f t="shared" si="93"/>
        <v>48.038026007842433</v>
      </c>
      <c r="CB87" s="22">
        <f t="shared" si="64"/>
        <v>418.50930863032568</v>
      </c>
      <c r="CC87" s="60">
        <f t="shared" si="65"/>
        <v>690.76613915487599</v>
      </c>
      <c r="CD87" s="60">
        <f ca="1">AVERAGE(OFFSET($CC$3,0,0,'Données projet'!$E$12+1,1))-AVERAGE(OFFSET($H$3,0,0,'Données projet'!$E$12+1,1))</f>
        <v>308.6594206517259</v>
      </c>
      <c r="CE87" s="60">
        <f t="shared" si="94"/>
        <v>258.90832875500325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3.8461538461538454</v>
      </c>
      <c r="CT87" s="13">
        <f>IF('Données projet'!$A$140&gt;35,CT86+CS87-DB86,IF(A87&lt;'Données projet'!$A$140,$CQ$205^A87,IF(A87='Données projet'!$A$140,'Données projet'!$B$140,CT86+CS87-DB86)))</f>
        <v>215.38461538461527</v>
      </c>
      <c r="CU87" s="18">
        <f>CT87*VLOOKUP('Données projet'!$B$13,Paramètres!$A$1:$I$89,3,0)*VLOOKUP('Données projet'!$B$13,Paramètres!$A$1:$I$89,5,0)</f>
        <v>204.95999999999987</v>
      </c>
      <c r="CV87" s="14">
        <f t="shared" si="95"/>
        <v>50.832666587809335</v>
      </c>
      <c r="CW87" s="22">
        <f t="shared" si="67"/>
        <v>445.50556097376767</v>
      </c>
      <c r="CX87" s="60">
        <f t="shared" si="68"/>
        <v>717.76239149831804</v>
      </c>
      <c r="CY87" s="60">
        <f ca="1">AVERAGE(OFFSET($CX$3,0,0,'Données projet'!$E$13+1,1))-AVERAGE(OFFSET($H$3,0,0,'Données projet'!$E$13+1,1))</f>
        <v>397.63792993520934</v>
      </c>
      <c r="CZ87" s="60">
        <f t="shared" si="96"/>
        <v>300.63705521148802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4.1025641025640995</v>
      </c>
      <c r="DO87" s="13">
        <f>IF('Données projet'!$A$166&gt;35,DO86+DN87-DW86,IF(A87&lt;'Données projet'!$A$166,$DL$205^A87,IF(A87='Données projet'!$A$166,'Données projet'!$B$166,DO86+DN87-DW86)))</f>
        <v>272.17948717948713</v>
      </c>
      <c r="DP87" s="18">
        <f>DO87*VLOOKUP('Données projet'!$B$14,Paramètres!$A$1:$I$89,3,0)*VLOOKUP('Données projet'!$B$14,Paramètres!$A$1:$I$89,5,0)</f>
        <v>182.57799999999995</v>
      </c>
      <c r="DQ87" s="14">
        <f t="shared" si="97"/>
        <v>45.895268107941853</v>
      </c>
      <c r="DR87" s="22">
        <f t="shared" si="70"/>
        <v>397.92427528799863</v>
      </c>
      <c r="DS87" s="60">
        <f t="shared" si="71"/>
        <v>670.18110581254894</v>
      </c>
      <c r="DT87" s="60">
        <f ca="1">AVERAGE(OFFSET($DS$3,0,0,'Données projet'!$E$14+1,1))-AVERAGE(OFFSET($H$3,0,0,'Données projet'!$E$14+1,1))</f>
        <v>343.94240546037798</v>
      </c>
      <c r="DU87" s="60">
        <f t="shared" si="98"/>
        <v>277.30931495079346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0.28636732511098734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0.28636732511098734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-2.8421709430404007E-13</v>
      </c>
      <c r="EK87" s="18">
        <f>EJ87*VLOOKUP('Données projet'!$B$15,Paramètres!$A$1:$I$89,3,0)*VLOOKUP('Données projet'!$B$15,Paramètres!$A$1:$I$89,5,0)</f>
        <v>-2.2168933355715128E-13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308.76306523144956</v>
      </c>
      <c r="EP87" s="60">
        <f t="shared" si="100"/>
        <v>283.28099819802776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-1.1368683772161603E-13</v>
      </c>
      <c r="FF87" s="18">
        <f>FE87*VLOOKUP('Données projet'!$B$16,Paramètres!$A$1:$I$89,3,0)*VLOOKUP('Données projet'!$B$16,Paramètres!$A$1:$I$89,5,0)</f>
        <v>-9.9316821433603781E-14</v>
      </c>
      <c r="FG87" s="14" t="e">
        <f t="shared" si="101"/>
        <v>#NUM!</v>
      </c>
      <c r="FH87" s="22" t="e">
        <f t="shared" si="76"/>
        <v>#NUM!</v>
      </c>
      <c r="FI87" s="60" t="e">
        <f t="shared" si="77"/>
        <v>#NUM!</v>
      </c>
      <c r="FJ87" s="60">
        <f ca="1">AVERAGE(OFFSET($FI$3,0,0,'Données projet'!$E$16+1,1))-AVERAGE(OFFSET($H$3,0,0,'Données projet'!$E$16+1,1))</f>
        <v>296.01124173332352</v>
      </c>
      <c r="FK87" s="60">
        <f t="shared" si="102"/>
        <v>315.50730924873733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5.2</v>
      </c>
      <c r="FZ87" s="13">
        <f>IF('Données projet'!$A$244&gt;35,FZ86+FY87-GH86,IF(A87&lt;'Données projet'!$A$244,$FW$205^A87,IF(A87='Données projet'!$A$244,'Données projet'!$B$244,FZ86+FY87-GH86)))</f>
        <v>216.7999999999999</v>
      </c>
      <c r="GA87" s="18">
        <f>FZ87*VLOOKUP('Données projet'!$B$17,Paramètres!$A$1:$I$89,3,0)*VLOOKUP('Données projet'!$B$17,Paramètres!$A$1:$I$89,5,0)</f>
        <v>209.68895999999992</v>
      </c>
      <c r="GB87" s="14">
        <f t="shared" si="103"/>
        <v>51.867609770225982</v>
      </c>
      <c r="GC87" s="22">
        <f t="shared" si="79"/>
        <v>455.54435901647679</v>
      </c>
      <c r="GD87" s="60">
        <f t="shared" si="80"/>
        <v>727.80118954102704</v>
      </c>
      <c r="GE87" s="60">
        <f ca="1">AVERAGE(OFFSET($GD$3,0,0,'Données projet'!$E$17+1,1))-AVERAGE(OFFSET($H$3,0,0,'Données projet'!$E$17+1,1))</f>
        <v>391.18744390931187</v>
      </c>
      <c r="GF87" s="60">
        <f t="shared" si="104"/>
        <v>261.46982358454386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0.30524873864876856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0.30524873864876856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262.39199999999994</v>
      </c>
      <c r="P88" s="14">
        <f t="shared" si="87"/>
        <v>63.231983614474942</v>
      </c>
      <c r="Q88" s="22">
        <f t="shared" si="54"/>
        <v>567.12843812854373</v>
      </c>
      <c r="R88" s="60">
        <f t="shared" si="55"/>
        <v>839.75089885682519</v>
      </c>
      <c r="S88" s="60">
        <f ca="1">AVERAGE(OFFSET($R$3,0,0,'Données projet'!$E$9+1,1))-AVERAGE(OFFSET($H$3,0,0,'Données projet'!$E$9+1,1))</f>
        <v>469.15492079216403</v>
      </c>
      <c r="T88" s="60">
        <f t="shared" si="88"/>
        <v>250.47702091764884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289.99999999999994</v>
      </c>
      <c r="AJ88" s="14">
        <f>AI88*VLOOKUP('Données projet'!$B$10,Paramètres!$A$1:$I$89,3,0)*VLOOKUP('Données projet'!$B$10,Paramètres!$A$1:$I$89,5,0)</f>
        <v>244.29599999999996</v>
      </c>
      <c r="AK88" s="14">
        <f t="shared" si="89"/>
        <v>59.362879241040368</v>
      </c>
      <c r="AL88" s="22">
        <f t="shared" si="58"/>
        <v>528.87254801147856</v>
      </c>
      <c r="AM88" s="60">
        <f t="shared" si="59"/>
        <v>801.49500873976012</v>
      </c>
      <c r="AN88" s="60">
        <f ca="1">AVERAGE(OFFSET($AM$3,0,0,'Données projet'!$E$10+1,1))-AVERAGE(OFFSET($H$3,0,0,'Données projet'!$E$10+1,1))</f>
        <v>442.49274132121275</v>
      </c>
      <c r="AO88" s="60">
        <f t="shared" si="90"/>
        <v>237.37463556402756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214</v>
      </c>
      <c r="BB88" s="13">
        <f>VLOOKUP(A88,'Données projet'!$A$87:$I$107,9,0)</f>
        <v>3.6</v>
      </c>
      <c r="BC88" s="13">
        <f t="array" ref="BC88">INDEX(BB:BB,MIN(IF(ISNUMBER(BB88:BB284),ROW(BB88:BB284),"")))</f>
        <v>3.6</v>
      </c>
      <c r="BD88" s="13">
        <f>IF('Données projet'!$A$88&gt;35,BD87+BC88-BL87,IF(A88&lt;'Données projet'!$A$88,$BA$205^A88,IF(A88='Données projet'!$A$88,'Données projet'!$B$88,BD87+BC88-BL87)))</f>
        <v>214.00000000000017</v>
      </c>
      <c r="BE88" s="14">
        <f>BD88*VLOOKUP('Données projet'!$B$11,Paramètres!$A$1:$I$89,3,0)*VLOOKUP('Données projet'!$B$11,Paramètres!$A$1:$I$89,5,0)</f>
        <v>140.2128000000001</v>
      </c>
      <c r="BF88" s="14">
        <f t="shared" si="91"/>
        <v>36.345750676634587</v>
      </c>
      <c r="BG88" s="22">
        <f t="shared" si="61"/>
        <v>307.50614242847206</v>
      </c>
      <c r="BH88" s="60">
        <f t="shared" si="62"/>
        <v>580.12860315675357</v>
      </c>
      <c r="BI88" s="60">
        <f ca="1">AVERAGE(OFFSET($BH$3,0,0,'Données projet'!$E$11+1,1))-AVERAGE(OFFSET($H$3,0,0,'Données projet'!$E$11+1,1))</f>
        <v>267.90768140488603</v>
      </c>
      <c r="BJ88" s="60">
        <f t="shared" si="92"/>
        <v>280.25465074992258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241</v>
      </c>
      <c r="BW88" s="13">
        <f>VLOOKUP(A88,'Données projet'!$A$113:$I$133,9,0)</f>
        <v>4</v>
      </c>
      <c r="BX88" s="13">
        <f t="array" ref="BX88">INDEX(BW:BW,MIN(IF(ISNUMBER(BW88:BW284),ROW(BW88:BW284),"")))</f>
        <v>4</v>
      </c>
      <c r="BY88" s="13">
        <f>IF('Données projet'!$A$114&gt;35,BY87+BX88-CG87,IF(A88&lt;'Données projet'!$A$114,$BV$205^A88,IF(A88='Données projet'!$A$114,'Données projet'!$B$114,BY87+BX88-CG87)))</f>
        <v>241.00000000000006</v>
      </c>
      <c r="BZ88" s="14">
        <f>BY88*VLOOKUP('Données projet'!$B$12,Paramètres!$A$1:$I$89,3,0)*VLOOKUP('Données projet'!$B$12,Paramètres!$A$1:$I$89,5,0)</f>
        <v>195.49920000000006</v>
      </c>
      <c r="CA88" s="14">
        <f t="shared" si="93"/>
        <v>48.753721622209305</v>
      </c>
      <c r="CB88" s="22">
        <f t="shared" si="64"/>
        <v>425.40717182534792</v>
      </c>
      <c r="CC88" s="60">
        <f t="shared" si="65"/>
        <v>698.02963255362943</v>
      </c>
      <c r="CD88" s="60">
        <f ca="1">AVERAGE(OFFSET($CC$3,0,0,'Données projet'!$E$12+1,1))-AVERAGE(OFFSET($H$3,0,0,'Données projet'!$E$12+1,1))</f>
        <v>308.6594206517259</v>
      </c>
      <c r="CE88" s="60">
        <f t="shared" si="94"/>
        <v>258.90832875500325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219.23076923076923</v>
      </c>
      <c r="CR88" s="13">
        <f>VLOOKUP(A88,'Données projet'!$A$139:$I$159,9,0)</f>
        <v>3.8461538461538454</v>
      </c>
      <c r="CS88" s="13">
        <f t="array" ref="CS88">INDEX(CR:CR,MIN(IF(ISNUMBER(CR88:CR284),ROW(CR88:CR284),"")))</f>
        <v>3.8461538461538454</v>
      </c>
      <c r="CT88" s="13">
        <f>IF('Données projet'!$A$140&gt;35,CT87+CS88-DB87,IF(A88&lt;'Données projet'!$A$140,$CQ$205^A88,IF(A88='Données projet'!$A$140,'Données projet'!$B$140,CT87+CS88-DB87)))</f>
        <v>219.23076923076911</v>
      </c>
      <c r="CU88" s="18">
        <f>CT88*VLOOKUP('Données projet'!$B$13,Paramètres!$A$1:$I$89,3,0)*VLOOKUP('Données projet'!$B$13,Paramètres!$A$1:$I$89,5,0)</f>
        <v>208.61999999999992</v>
      </c>
      <c r="CV88" s="14">
        <f t="shared" si="95"/>
        <v>51.63390535939368</v>
      </c>
      <c r="CW88" s="22">
        <f t="shared" si="67"/>
        <v>453.27555183427711</v>
      </c>
      <c r="CX88" s="60">
        <f t="shared" si="68"/>
        <v>725.89801256255862</v>
      </c>
      <c r="CY88" s="60">
        <f ca="1">AVERAGE(OFFSET($CX$3,0,0,'Données projet'!$E$13+1,1))-AVERAGE(OFFSET($H$3,0,0,'Données projet'!$E$13+1,1))</f>
        <v>397.63792993520934</v>
      </c>
      <c r="CZ88" s="60">
        <f t="shared" si="96"/>
        <v>300.63705521148802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276.28205128205127</v>
      </c>
      <c r="DM88" s="13">
        <f>VLOOKUP(A88,'Données projet'!$A$165:$I$185,9,0)</f>
        <v>4.1025641025640995</v>
      </c>
      <c r="DN88" s="13">
        <f t="array" ref="DN88">INDEX(DM:DM,MIN(IF(ISNUMBER(DM88:DM284),ROW(DM88:DM284),"")))</f>
        <v>4.1025641025640995</v>
      </c>
      <c r="DO88" s="13">
        <f>IF('Données projet'!$A$166&gt;35,DO87+DN88-DW87,IF(A88&lt;'Données projet'!$A$166,$DL$205^A88,IF(A88='Données projet'!$A$166,'Données projet'!$B$166,DO87+DN88-DW87)))</f>
        <v>276.28205128205121</v>
      </c>
      <c r="DP88" s="18">
        <f>DO88*VLOOKUP('Données projet'!$B$14,Paramètres!$A$1:$I$89,3,0)*VLOOKUP('Données projet'!$B$14,Paramètres!$A$1:$I$89,5,0)</f>
        <v>185.32999999999996</v>
      </c>
      <c r="DQ88" s="14">
        <f t="shared" si="97"/>
        <v>46.505991525491268</v>
      </c>
      <c r="DR88" s="22">
        <f t="shared" si="70"/>
        <v>403.78101857356387</v>
      </c>
      <c r="DS88" s="60">
        <f t="shared" si="71"/>
        <v>676.40347930184544</v>
      </c>
      <c r="DT88" s="60">
        <f ca="1">AVERAGE(OFFSET($DS$3,0,0,'Données projet'!$E$14+1,1))-AVERAGE(OFFSET($H$3,0,0,'Données projet'!$E$14+1,1))</f>
        <v>343.94240546037798</v>
      </c>
      <c r="DU88" s="60">
        <f t="shared" si="98"/>
        <v>277.30931495079346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0.27853659554642424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0.27853659554642424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-2.8421709430404007E-13</v>
      </c>
      <c r="EK88" s="18">
        <f>EJ88*VLOOKUP('Données projet'!$B$15,Paramètres!$A$1:$I$89,3,0)*VLOOKUP('Données projet'!$B$15,Paramètres!$A$1:$I$89,5,0)</f>
        <v>-2.2168933355715128E-13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308.76306523144956</v>
      </c>
      <c r="EP88" s="60">
        <f t="shared" si="100"/>
        <v>283.28099819802776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-1.1368683772161603E-13</v>
      </c>
      <c r="FF88" s="18">
        <f>FE88*VLOOKUP('Données projet'!$B$16,Paramètres!$A$1:$I$89,3,0)*VLOOKUP('Données projet'!$B$16,Paramètres!$A$1:$I$89,5,0)</f>
        <v>-9.9316821433603781E-14</v>
      </c>
      <c r="FG88" s="14" t="e">
        <f t="shared" si="101"/>
        <v>#NUM!</v>
      </c>
      <c r="FH88" s="22" t="e">
        <f t="shared" si="76"/>
        <v>#NUM!</v>
      </c>
      <c r="FI88" s="60" t="e">
        <f t="shared" si="77"/>
        <v>#NUM!</v>
      </c>
      <c r="FJ88" s="60">
        <f ca="1">AVERAGE(OFFSET($FI$3,0,0,'Données projet'!$E$16+1,1))-AVERAGE(OFFSET($H$3,0,0,'Données projet'!$E$16+1,1))</f>
        <v>296.01124173332352</v>
      </c>
      <c r="FK88" s="60">
        <f t="shared" si="102"/>
        <v>315.50730924873733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222</v>
      </c>
      <c r="FX88" s="13">
        <f>VLOOKUP(A88,'Données projet'!$A$243:$I$263,9,0)</f>
        <v>5.2</v>
      </c>
      <c r="FY88" s="13">
        <f t="array" ref="FY88">INDEX(FX:FX,MIN(IF(ISNUMBER(FX88:FX284),ROW(FX88:FX284),"")))</f>
        <v>5.2</v>
      </c>
      <c r="FZ88" s="13">
        <f>IF('Données projet'!$A$244&gt;35,FZ87+FY88-GH87,IF(A88&lt;'Données projet'!$A$244,$FW$205^A88,IF(A88='Données projet'!$A$244,'Données projet'!$B$244,FZ87+FY88-GH87)))</f>
        <v>221.99999999999989</v>
      </c>
      <c r="GA88" s="18">
        <f>FZ88*VLOOKUP('Données projet'!$B$17,Paramètres!$A$1:$I$89,3,0)*VLOOKUP('Données projet'!$B$17,Paramètres!$A$1:$I$89,5,0)</f>
        <v>214.71839999999989</v>
      </c>
      <c r="GB88" s="14">
        <f t="shared" si="103"/>
        <v>52.965337627912696</v>
      </c>
      <c r="GC88" s="22">
        <f t="shared" si="79"/>
        <v>466.21584303528107</v>
      </c>
      <c r="GD88" s="60">
        <f t="shared" si="80"/>
        <v>738.83830376356264</v>
      </c>
      <c r="GE88" s="60">
        <f ca="1">AVERAGE(OFFSET($GD$3,0,0,'Données projet'!$E$17+1,1))-AVERAGE(OFFSET($H$3,0,0,'Données projet'!$E$17+1,1))</f>
        <v>391.18744390931187</v>
      </c>
      <c r="GF88" s="60">
        <f t="shared" si="104"/>
        <v>261.46982358454386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0.29690169583808446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0.29690169583808446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229.09535999999991</v>
      </c>
      <c r="P89" s="14">
        <f t="shared" si="87"/>
        <v>56.087032370558362</v>
      </c>
      <c r="Q89" s="22">
        <f t="shared" si="54"/>
        <v>496.69266671205565</v>
      </c>
      <c r="R89" s="60">
        <f t="shared" si="55"/>
        <v>769.67441477746036</v>
      </c>
      <c r="S89" s="60">
        <f ca="1">AVERAGE(OFFSET($R$3,0,0,'Données projet'!$E$9+1,1))-AVERAGE(OFFSET($H$3,0,0,'Données projet'!$E$9+1,1))</f>
        <v>469.15492079216403</v>
      </c>
      <c r="T89" s="60">
        <f t="shared" si="88"/>
        <v>250.47702091764884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253.19999999999993</v>
      </c>
      <c r="AJ89" s="14">
        <f>AI89*VLOOKUP('Données projet'!$B$10,Paramètres!$A$1:$I$89,3,0)*VLOOKUP('Données projet'!$B$10,Paramètres!$A$1:$I$89,5,0)</f>
        <v>213.29567999999998</v>
      </c>
      <c r="AK89" s="14">
        <f t="shared" si="89"/>
        <v>52.655120704446759</v>
      </c>
      <c r="AL89" s="22">
        <f t="shared" si="58"/>
        <v>463.19764456024473</v>
      </c>
      <c r="AM89" s="60">
        <f t="shared" si="59"/>
        <v>736.17939262564937</v>
      </c>
      <c r="AN89" s="60">
        <f ca="1">AVERAGE(OFFSET($AM$3,0,0,'Données projet'!$E$10+1,1))-AVERAGE(OFFSET($H$3,0,0,'Données projet'!$E$10+1,1))</f>
        <v>442.49274132121275</v>
      </c>
      <c r="AO89" s="60">
        <f t="shared" si="90"/>
        <v>237.37463556402756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3.4</v>
      </c>
      <c r="BD89" s="13">
        <f>IF('Données projet'!$A$88&gt;35,BD88+BC89-BL88,IF(A89&lt;'Données projet'!$A$88,$BA$205^A89,IF(A89='Données projet'!$A$88,'Données projet'!$B$88,BD88+BC89-BL88)))</f>
        <v>217.40000000000018</v>
      </c>
      <c r="BE89" s="14">
        <f>BD89*VLOOKUP('Données projet'!$B$11,Paramètres!$A$1:$I$89,3,0)*VLOOKUP('Données projet'!$B$11,Paramètres!$A$1:$I$89,5,0)</f>
        <v>142.44048000000009</v>
      </c>
      <c r="BF89" s="14">
        <f t="shared" si="91"/>
        <v>36.855521628538284</v>
      </c>
      <c r="BG89" s="22">
        <f t="shared" si="61"/>
        <v>312.27386950303764</v>
      </c>
      <c r="BH89" s="60">
        <f t="shared" si="62"/>
        <v>585.2556175684424</v>
      </c>
      <c r="BI89" s="60">
        <f ca="1">AVERAGE(OFFSET($BH$3,0,0,'Données projet'!$E$11+1,1))-AVERAGE(OFFSET($H$3,0,0,'Données projet'!$E$11+1,1))</f>
        <v>267.90768140488603</v>
      </c>
      <c r="BJ89" s="60">
        <f t="shared" si="92"/>
        <v>280.25465074992258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3.6</v>
      </c>
      <c r="BY89" s="13">
        <f>IF('Données projet'!$A$114&gt;35,BY88+BX89-CG88,IF(A89&lt;'Données projet'!$A$114,$BV$205^A89,IF(A89='Données projet'!$A$114,'Données projet'!$B$114,BY88+BX89-CG88)))</f>
        <v>244.60000000000005</v>
      </c>
      <c r="BZ89" s="14">
        <f>BY89*VLOOKUP('Données projet'!$B$12,Paramètres!$A$1:$I$89,3,0)*VLOOKUP('Données projet'!$B$12,Paramètres!$A$1:$I$89,5,0)</f>
        <v>198.41952000000006</v>
      </c>
      <c r="CA89" s="14">
        <f t="shared" si="93"/>
        <v>49.396665836729724</v>
      </c>
      <c r="CB89" s="22">
        <f t="shared" si="64"/>
        <v>431.61319033230438</v>
      </c>
      <c r="CC89" s="60">
        <f t="shared" si="65"/>
        <v>704.59493839770903</v>
      </c>
      <c r="CD89" s="60">
        <f ca="1">AVERAGE(OFFSET($CC$3,0,0,'Données projet'!$E$12+1,1))-AVERAGE(OFFSET($H$3,0,0,'Données projet'!$E$12+1,1))</f>
        <v>308.6594206517259</v>
      </c>
      <c r="CE89" s="60">
        <f t="shared" si="94"/>
        <v>258.90832875500325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3.5897435897435912</v>
      </c>
      <c r="CT89" s="13">
        <f>IF('Données projet'!$A$140&gt;35,CT88+CS89-DB88,IF(A89&lt;'Données projet'!$A$140,$CQ$205^A89,IF(A89='Données projet'!$A$140,'Données projet'!$B$140,CT88+CS89-DB88)))</f>
        <v>222.8205128205127</v>
      </c>
      <c r="CU89" s="18">
        <f>CT89*VLOOKUP('Données projet'!$B$13,Paramètres!$A$1:$I$89,3,0)*VLOOKUP('Données projet'!$B$13,Paramètres!$A$1:$I$89,5,0)</f>
        <v>212.03599999999992</v>
      </c>
      <c r="CV89" s="14">
        <f t="shared" si="95"/>
        <v>52.380252774201118</v>
      </c>
      <c r="CW89" s="22">
        <f t="shared" si="67"/>
        <v>460.52497358173349</v>
      </c>
      <c r="CX89" s="60">
        <f t="shared" si="68"/>
        <v>733.50672164713819</v>
      </c>
      <c r="CY89" s="60">
        <f ca="1">AVERAGE(OFFSET($CX$3,0,0,'Données projet'!$E$13+1,1))-AVERAGE(OFFSET($H$3,0,0,'Données projet'!$E$13+1,1))</f>
        <v>397.63792993520934</v>
      </c>
      <c r="CZ89" s="60">
        <f t="shared" si="96"/>
        <v>300.63705521148802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280.12820512820508</v>
      </c>
      <c r="DP89" s="18">
        <f>DO89*VLOOKUP('Données projet'!$B$14,Paramètres!$A$1:$I$89,3,0)*VLOOKUP('Données projet'!$B$14,Paramètres!$A$1:$I$89,5,0)</f>
        <v>187.91</v>
      </c>
      <c r="DQ89" s="14">
        <f t="shared" si="97"/>
        <v>47.077586490700433</v>
      </c>
      <c r="DR89" s="22">
        <f t="shared" si="70"/>
        <v>409.27004647130326</v>
      </c>
      <c r="DS89" s="60">
        <f t="shared" si="71"/>
        <v>682.25179453670796</v>
      </c>
      <c r="DT89" s="60">
        <f ca="1">AVERAGE(OFFSET($DS$3,0,0,'Données projet'!$E$14+1,1))-AVERAGE(OFFSET($H$3,0,0,'Données projet'!$E$14+1,1))</f>
        <v>343.94240546037798</v>
      </c>
      <c r="DU89" s="60">
        <f t="shared" si="98"/>
        <v>277.30931495079346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0.27091999769360431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0.27091999769360431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-2.8421709430404007E-13</v>
      </c>
      <c r="EK89" s="18">
        <f>EJ89*VLOOKUP('Données projet'!$B$15,Paramètres!$A$1:$I$89,3,0)*VLOOKUP('Données projet'!$B$15,Paramètres!$A$1:$I$89,5,0)</f>
        <v>-2.2168933355715128E-13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308.76306523144956</v>
      </c>
      <c r="EP89" s="60">
        <f t="shared" si="100"/>
        <v>283.28099819802776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-1.1368683772161603E-13</v>
      </c>
      <c r="FF89" s="18">
        <f>FE89*VLOOKUP('Données projet'!$B$16,Paramètres!$A$1:$I$89,3,0)*VLOOKUP('Données projet'!$B$16,Paramètres!$A$1:$I$89,5,0)</f>
        <v>-9.9316821433603781E-14</v>
      </c>
      <c r="FG89" s="14" t="e">
        <f t="shared" si="101"/>
        <v>#NUM!</v>
      </c>
      <c r="FH89" s="22" t="e">
        <f t="shared" si="76"/>
        <v>#NUM!</v>
      </c>
      <c r="FI89" s="60" t="e">
        <f t="shared" si="77"/>
        <v>#NUM!</v>
      </c>
      <c r="FJ89" s="60">
        <f ca="1">AVERAGE(OFFSET($FI$3,0,0,'Données projet'!$E$16+1,1))-AVERAGE(OFFSET($H$3,0,0,'Données projet'!$E$16+1,1))</f>
        <v>296.01124173332352</v>
      </c>
      <c r="FK89" s="60">
        <f t="shared" si="102"/>
        <v>315.50730924873733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4.5999999999999996</v>
      </c>
      <c r="FZ89" s="13">
        <f>IF('Données projet'!$A$244&gt;35,FZ88+FY89-GH88,IF(A89&lt;'Données projet'!$A$244,$FW$205^A89,IF(A89='Données projet'!$A$244,'Données projet'!$B$244,FZ88+FY89-GH88)))</f>
        <v>226.59999999999988</v>
      </c>
      <c r="GA89" s="18">
        <f>FZ89*VLOOKUP('Données projet'!$B$17,Paramètres!$A$1:$I$89,3,0)*VLOOKUP('Données projet'!$B$17,Paramètres!$A$1:$I$89,5,0)</f>
        <v>219.16751999999991</v>
      </c>
      <c r="GB89" s="14">
        <f t="shared" si="103"/>
        <v>53.933910402305159</v>
      </c>
      <c r="GC89" s="22">
        <f t="shared" si="79"/>
        <v>475.65165795068134</v>
      </c>
      <c r="GD89" s="60">
        <f t="shared" si="80"/>
        <v>748.63340601608604</v>
      </c>
      <c r="GE89" s="60">
        <f ca="1">AVERAGE(OFFSET($GD$3,0,0,'Données projet'!$E$17+1,1))-AVERAGE(OFFSET($H$3,0,0,'Données projet'!$E$17+1,1))</f>
        <v>391.18744390931187</v>
      </c>
      <c r="GF89" s="60">
        <f t="shared" si="104"/>
        <v>261.46982358454386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0.28878290335201046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0.28878290335201046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233.80031999999994</v>
      </c>
      <c r="P90" s="14">
        <f t="shared" si="87"/>
        <v>57.103614181373779</v>
      </c>
      <c r="Q90" s="22">
        <f t="shared" si="54"/>
        <v>506.65768536589252</v>
      </c>
      <c r="R90" s="60">
        <f t="shared" si="55"/>
        <v>779.9924879363673</v>
      </c>
      <c r="S90" s="60">
        <f ca="1">AVERAGE(OFFSET($R$3,0,0,'Données projet'!$E$9+1,1))-AVERAGE(OFFSET($H$3,0,0,'Données projet'!$E$9+1,1))</f>
        <v>469.15492079216403</v>
      </c>
      <c r="T90" s="60">
        <f t="shared" si="88"/>
        <v>250.47702091764884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258.39999999999992</v>
      </c>
      <c r="AJ90" s="14">
        <f>AI90*VLOOKUP('Données projet'!$B$10,Paramètres!$A$1:$I$89,3,0)*VLOOKUP('Données projet'!$B$10,Paramètres!$A$1:$I$89,5,0)</f>
        <v>217.67615999999995</v>
      </c>
      <c r="AK90" s="14">
        <f t="shared" si="89"/>
        <v>53.609498850196708</v>
      </c>
      <c r="AL90" s="22">
        <f t="shared" si="58"/>
        <v>472.48918916409252</v>
      </c>
      <c r="AM90" s="60">
        <f t="shared" si="59"/>
        <v>745.82399173456736</v>
      </c>
      <c r="AN90" s="60">
        <f ca="1">AVERAGE(OFFSET($AM$3,0,0,'Données projet'!$E$10+1,1))-AVERAGE(OFFSET($H$3,0,0,'Données projet'!$E$10+1,1))</f>
        <v>442.49274132121275</v>
      </c>
      <c r="AO90" s="60">
        <f t="shared" si="90"/>
        <v>237.37463556402756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3.4</v>
      </c>
      <c r="BD90" s="13">
        <f>IF('Données projet'!$A$88&gt;35,BD89+BC90-BL89,IF(A90&lt;'Données projet'!$A$88,$BA$205^A90,IF(A90='Données projet'!$A$88,'Données projet'!$B$88,BD89+BC90-BL89)))</f>
        <v>220.80000000000018</v>
      </c>
      <c r="BE90" s="14">
        <f>BD90*VLOOKUP('Données projet'!$B$11,Paramètres!$A$1:$I$89,3,0)*VLOOKUP('Données projet'!$B$11,Paramètres!$A$1:$I$89,5,0)</f>
        <v>144.66816000000011</v>
      </c>
      <c r="BF90" s="14">
        <f t="shared" si="91"/>
        <v>37.364365385783195</v>
      </c>
      <c r="BG90" s="22">
        <f t="shared" si="61"/>
        <v>317.03998171357262</v>
      </c>
      <c r="BH90" s="60">
        <f t="shared" si="62"/>
        <v>590.37478428404745</v>
      </c>
      <c r="BI90" s="60">
        <f ca="1">AVERAGE(OFFSET($BH$3,0,0,'Données projet'!$E$11+1,1))-AVERAGE(OFFSET($H$3,0,0,'Données projet'!$E$11+1,1))</f>
        <v>267.90768140488603</v>
      </c>
      <c r="BJ90" s="60">
        <f t="shared" si="92"/>
        <v>280.25465074992258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3.6</v>
      </c>
      <c r="BY90" s="13">
        <f>IF('Données projet'!$A$114&gt;35,BY89+BX90-CG89,IF(A90&lt;'Données projet'!$A$114,$BV$205^A90,IF(A90='Données projet'!$A$114,'Données projet'!$B$114,BY89+BX90-CG89)))</f>
        <v>248.20000000000005</v>
      </c>
      <c r="BZ90" s="14">
        <f>BY90*VLOOKUP('Données projet'!$B$12,Paramètres!$A$1:$I$89,3,0)*VLOOKUP('Données projet'!$B$12,Paramètres!$A$1:$I$89,5,0)</f>
        <v>201.33984000000004</v>
      </c>
      <c r="CA90" s="14">
        <f t="shared" si="93"/>
        <v>50.038509483090742</v>
      </c>
      <c r="CB90" s="22">
        <f t="shared" si="64"/>
        <v>437.81729201638308</v>
      </c>
      <c r="CC90" s="60">
        <f t="shared" si="65"/>
        <v>711.15209458685786</v>
      </c>
      <c r="CD90" s="60">
        <f ca="1">AVERAGE(OFFSET($CC$3,0,0,'Données projet'!$E$12+1,1))-AVERAGE(OFFSET($H$3,0,0,'Données projet'!$E$12+1,1))</f>
        <v>308.6594206517259</v>
      </c>
      <c r="CE90" s="60">
        <f t="shared" si="94"/>
        <v>258.90832875500325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3.5897435897435912</v>
      </c>
      <c r="CT90" s="13">
        <f>IF('Données projet'!$A$140&gt;35,CT89+CS90-DB89,IF(A90&lt;'Données projet'!$A$140,$CQ$205^A90,IF(A90='Données projet'!$A$140,'Données projet'!$B$140,CT89+CS90-DB89)))</f>
        <v>226.4102564102563</v>
      </c>
      <c r="CU90" s="18">
        <f>CT90*VLOOKUP('Données projet'!$B$13,Paramètres!$A$1:$I$89,3,0)*VLOOKUP('Données projet'!$B$13,Paramètres!$A$1:$I$89,5,0)</f>
        <v>215.45199999999988</v>
      </c>
      <c r="CV90" s="14">
        <f t="shared" si="95"/>
        <v>53.125201841889961</v>
      </c>
      <c r="CW90" s="22">
        <f t="shared" si="67"/>
        <v>467.77195987462483</v>
      </c>
      <c r="CX90" s="60">
        <f t="shared" si="68"/>
        <v>741.10676244509966</v>
      </c>
      <c r="CY90" s="60">
        <f ca="1">AVERAGE(OFFSET($CX$3,0,0,'Données projet'!$E$13+1,1))-AVERAGE(OFFSET($H$3,0,0,'Données projet'!$E$13+1,1))</f>
        <v>397.63792993520934</v>
      </c>
      <c r="CZ90" s="60">
        <f t="shared" si="96"/>
        <v>300.63705521148802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283.97435897435895</v>
      </c>
      <c r="DP90" s="18">
        <f>DO90*VLOOKUP('Données projet'!$B$14,Paramètres!$A$1:$I$89,3,0)*VLOOKUP('Données projet'!$B$14,Paramètres!$A$1:$I$89,5,0)</f>
        <v>190.48999999999998</v>
      </c>
      <c r="DQ90" s="14">
        <f t="shared" si="97"/>
        <v>47.648268649617435</v>
      </c>
      <c r="DR90" s="22">
        <f t="shared" si="70"/>
        <v>414.75748456475031</v>
      </c>
      <c r="DS90" s="60">
        <f t="shared" si="71"/>
        <v>688.09228713522521</v>
      </c>
      <c r="DT90" s="60">
        <f ca="1">AVERAGE(OFFSET($DS$3,0,0,'Données projet'!$E$14+1,1))-AVERAGE(OFFSET($H$3,0,0,'Données projet'!$E$14+1,1))</f>
        <v>343.94240546037798</v>
      </c>
      <c r="DU90" s="60">
        <f t="shared" si="98"/>
        <v>277.30931495079346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0.26351167610960924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0.26351167610960924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-2.8421709430404007E-13</v>
      </c>
      <c r="EK90" s="18">
        <f>EJ90*VLOOKUP('Données projet'!$B$15,Paramètres!$A$1:$I$89,3,0)*VLOOKUP('Données projet'!$B$15,Paramètres!$A$1:$I$89,5,0)</f>
        <v>-2.2168933355715128E-13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308.76306523144956</v>
      </c>
      <c r="EP90" s="60">
        <f t="shared" si="100"/>
        <v>283.28099819802776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-1.1368683772161603E-13</v>
      </c>
      <c r="FF90" s="18">
        <f>FE90*VLOOKUP('Données projet'!$B$16,Paramètres!$A$1:$I$89,3,0)*VLOOKUP('Données projet'!$B$16,Paramètres!$A$1:$I$89,5,0)</f>
        <v>-9.9316821433603781E-14</v>
      </c>
      <c r="FG90" s="14" t="e">
        <f t="shared" si="101"/>
        <v>#NUM!</v>
      </c>
      <c r="FH90" s="22" t="e">
        <f t="shared" si="76"/>
        <v>#NUM!</v>
      </c>
      <c r="FI90" s="60" t="e">
        <f t="shared" si="77"/>
        <v>#NUM!</v>
      </c>
      <c r="FJ90" s="60">
        <f ca="1">AVERAGE(OFFSET($FI$3,0,0,'Données projet'!$E$16+1,1))-AVERAGE(OFFSET($H$3,0,0,'Données projet'!$E$16+1,1))</f>
        <v>296.01124173332352</v>
      </c>
      <c r="FK90" s="60">
        <f t="shared" si="102"/>
        <v>315.50730924873733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4.5999999999999996</v>
      </c>
      <c r="FZ90" s="13">
        <f>IF('Données projet'!$A$244&gt;35,FZ89+FY90-GH89,IF(A90&lt;'Données projet'!$A$244,$FW$205^A90,IF(A90='Données projet'!$A$244,'Données projet'!$B$244,FZ89+FY90-GH89)))</f>
        <v>231.19999999999987</v>
      </c>
      <c r="GA90" s="18">
        <f>FZ90*VLOOKUP('Données projet'!$B$17,Paramètres!$A$1:$I$89,3,0)*VLOOKUP('Données projet'!$B$17,Paramètres!$A$1:$I$89,5,0)</f>
        <v>223.61663999999988</v>
      </c>
      <c r="GB90" s="14">
        <f t="shared" si="103"/>
        <v>54.900197042646489</v>
      </c>
      <c r="GC90" s="22">
        <f t="shared" si="79"/>
        <v>485.08349118260907</v>
      </c>
      <c r="GD90" s="60">
        <f t="shared" si="80"/>
        <v>758.41829375308384</v>
      </c>
      <c r="GE90" s="60">
        <f ca="1">AVERAGE(OFFSET($GD$3,0,0,'Données projet'!$E$17+1,1))-AVERAGE(OFFSET($H$3,0,0,'Données projet'!$E$17+1,1))</f>
        <v>391.18744390931187</v>
      </c>
      <c r="GF90" s="60">
        <f t="shared" si="104"/>
        <v>261.46982358454386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0.28088611967341687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0.28088611967341687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238.50527999999991</v>
      </c>
      <c r="P91" s="14">
        <f t="shared" si="87"/>
        <v>58.117817352909881</v>
      </c>
      <c r="Q91" s="22">
        <f t="shared" si="54"/>
        <v>516.61856122298445</v>
      </c>
      <c r="R91" s="60">
        <f t="shared" si="55"/>
        <v>790.30029359217815</v>
      </c>
      <c r="S91" s="60">
        <f ca="1">AVERAGE(OFFSET($R$3,0,0,'Données projet'!$E$9+1,1))-AVERAGE(OFFSET($H$3,0,0,'Données projet'!$E$9+1,1))</f>
        <v>469.15492079216403</v>
      </c>
      <c r="T91" s="60">
        <f t="shared" si="88"/>
        <v>250.47702091764884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263.59999999999991</v>
      </c>
      <c r="AJ91" s="14">
        <f>AI91*VLOOKUP('Données projet'!$B$10,Paramètres!$A$1:$I$89,3,0)*VLOOKUP('Données projet'!$B$10,Paramètres!$A$1:$I$89,5,0)</f>
        <v>222.05663999999996</v>
      </c>
      <c r="AK91" s="14">
        <f t="shared" si="89"/>
        <v>54.561643903321311</v>
      </c>
      <c r="AL91" s="22">
        <f t="shared" si="58"/>
        <v>481.77684446495124</v>
      </c>
      <c r="AM91" s="60">
        <f t="shared" si="59"/>
        <v>755.45857683414488</v>
      </c>
      <c r="AN91" s="60">
        <f ca="1">AVERAGE(OFFSET($AM$3,0,0,'Données projet'!$E$10+1,1))-AVERAGE(OFFSET($H$3,0,0,'Données projet'!$E$10+1,1))</f>
        <v>442.49274132121275</v>
      </c>
      <c r="AO91" s="60">
        <f t="shared" si="90"/>
        <v>237.37463556402756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3.4</v>
      </c>
      <c r="BD91" s="13">
        <f>IF('Données projet'!$A$88&gt;35,BD90+BC91-BL90,IF(A91&lt;'Données projet'!$A$88,$BA$205^A91,IF(A91='Données projet'!$A$88,'Données projet'!$B$88,BD90+BC91-BL90)))</f>
        <v>224.20000000000019</v>
      </c>
      <c r="BE91" s="14">
        <f>BD91*VLOOKUP('Données projet'!$B$11,Paramètres!$A$1:$I$89,3,0)*VLOOKUP('Données projet'!$B$11,Paramètres!$A$1:$I$89,5,0)</f>
        <v>146.89584000000011</v>
      </c>
      <c r="BF91" s="14">
        <f t="shared" si="91"/>
        <v>37.872297874710284</v>
      </c>
      <c r="BG91" s="22">
        <f t="shared" si="61"/>
        <v>321.80450679845393</v>
      </c>
      <c r="BH91" s="60">
        <f t="shared" si="62"/>
        <v>595.48623916764768</v>
      </c>
      <c r="BI91" s="60">
        <f ca="1">AVERAGE(OFFSET($BH$3,0,0,'Données projet'!$E$11+1,1))-AVERAGE(OFFSET($H$3,0,0,'Données projet'!$E$11+1,1))</f>
        <v>267.90768140488603</v>
      </c>
      <c r="BJ91" s="60">
        <f t="shared" si="92"/>
        <v>280.25465074992258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3.6</v>
      </c>
      <c r="BY91" s="13">
        <f>IF('Données projet'!$A$114&gt;35,BY90+BX91-CG90,IF(A91&lt;'Données projet'!$A$114,$BV$205^A91,IF(A91='Données projet'!$A$114,'Données projet'!$B$114,BY90+BX91-CG90)))</f>
        <v>251.80000000000004</v>
      </c>
      <c r="BZ91" s="14">
        <f>BY91*VLOOKUP('Données projet'!$B$12,Paramètres!$A$1:$I$89,3,0)*VLOOKUP('Données projet'!$B$12,Paramètres!$A$1:$I$89,5,0)</f>
        <v>204.26016000000007</v>
      </c>
      <c r="CA91" s="14">
        <f t="shared" si="93"/>
        <v>50.679270368736539</v>
      </c>
      <c r="CB91" s="22">
        <f t="shared" si="64"/>
        <v>444.01950789221627</v>
      </c>
      <c r="CC91" s="60">
        <f t="shared" si="65"/>
        <v>717.70124026141002</v>
      </c>
      <c r="CD91" s="60">
        <f ca="1">AVERAGE(OFFSET($CC$3,0,0,'Données projet'!$E$12+1,1))-AVERAGE(OFFSET($H$3,0,0,'Données projet'!$E$12+1,1))</f>
        <v>308.6594206517259</v>
      </c>
      <c r="CE91" s="60">
        <f t="shared" si="94"/>
        <v>258.90832875500325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3.5897435897435912</v>
      </c>
      <c r="CT91" s="13">
        <f>IF('Données projet'!$A$140&gt;35,CT90+CS91-DB90,IF(A91&lt;'Données projet'!$A$140,$CQ$205^A91,IF(A91='Données projet'!$A$140,'Données projet'!$B$140,CT90+CS91-DB90)))</f>
        <v>229.99999999999989</v>
      </c>
      <c r="CU91" s="18">
        <f>CT91*VLOOKUP('Données projet'!$B$13,Paramètres!$A$1:$I$89,3,0)*VLOOKUP('Données projet'!$B$13,Paramètres!$A$1:$I$89,5,0)</f>
        <v>218.86799999999988</v>
      </c>
      <c r="CV91" s="14">
        <f t="shared" si="95"/>
        <v>53.868777293257502</v>
      </c>
      <c r="CW91" s="22">
        <f t="shared" si="67"/>
        <v>475.01655378575657</v>
      </c>
      <c r="CX91" s="60">
        <f t="shared" si="68"/>
        <v>748.69828615495021</v>
      </c>
      <c r="CY91" s="60">
        <f ca="1">AVERAGE(OFFSET($CX$3,0,0,'Données projet'!$E$13+1,1))-AVERAGE(OFFSET($H$3,0,0,'Données projet'!$E$13+1,1))</f>
        <v>397.63792993520934</v>
      </c>
      <c r="CZ91" s="60">
        <f t="shared" si="96"/>
        <v>300.63705521148802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287.82051282051282</v>
      </c>
      <c r="DP91" s="18">
        <f>DO91*VLOOKUP('Données projet'!$B$14,Paramètres!$A$1:$I$89,3,0)*VLOOKUP('Données projet'!$B$14,Paramètres!$A$1:$I$89,5,0)</f>
        <v>193.07</v>
      </c>
      <c r="DQ91" s="14">
        <f t="shared" si="97"/>
        <v>48.218051794342536</v>
      </c>
      <c r="DR91" s="22">
        <f t="shared" si="70"/>
        <v>420.2433568751465</v>
      </c>
      <c r="DS91" s="60">
        <f t="shared" si="71"/>
        <v>693.92508924434014</v>
      </c>
      <c r="DT91" s="60">
        <f ca="1">AVERAGE(OFFSET($DS$3,0,0,'Données projet'!$E$14+1,1))-AVERAGE(OFFSET($H$3,0,0,'Données projet'!$E$14+1,1))</f>
        <v>343.94240546037798</v>
      </c>
      <c r="DU91" s="60">
        <f t="shared" si="98"/>
        <v>277.30931495079346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0.25630593546891517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0.25630593546891517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-2.8421709430404007E-13</v>
      </c>
      <c r="EK91" s="18">
        <f>EJ91*VLOOKUP('Données projet'!$B$15,Paramètres!$A$1:$I$89,3,0)*VLOOKUP('Données projet'!$B$15,Paramètres!$A$1:$I$89,5,0)</f>
        <v>-2.2168933355715128E-13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308.76306523144956</v>
      </c>
      <c r="EP91" s="60">
        <f t="shared" si="100"/>
        <v>283.28099819802776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-1.1368683772161603E-13</v>
      </c>
      <c r="FF91" s="18">
        <f>FE91*VLOOKUP('Données projet'!$B$16,Paramètres!$A$1:$I$89,3,0)*VLOOKUP('Données projet'!$B$16,Paramètres!$A$1:$I$89,5,0)</f>
        <v>-9.9316821433603781E-14</v>
      </c>
      <c r="FG91" s="14" t="e">
        <f t="shared" si="101"/>
        <v>#NUM!</v>
      </c>
      <c r="FH91" s="22" t="e">
        <f t="shared" si="76"/>
        <v>#NUM!</v>
      </c>
      <c r="FI91" s="60" t="e">
        <f t="shared" si="77"/>
        <v>#NUM!</v>
      </c>
      <c r="FJ91" s="60">
        <f ca="1">AVERAGE(OFFSET($FI$3,0,0,'Données projet'!$E$16+1,1))-AVERAGE(OFFSET($H$3,0,0,'Données projet'!$E$16+1,1))</f>
        <v>296.01124173332352</v>
      </c>
      <c r="FK91" s="60">
        <f t="shared" si="102"/>
        <v>315.50730924873733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4.5999999999999996</v>
      </c>
      <c r="FZ91" s="13">
        <f>IF('Données projet'!$A$244&gt;35,FZ90+FY91-GH90,IF(A91&lt;'Données projet'!$A$244,$FW$205^A91,IF(A91='Données projet'!$A$244,'Données projet'!$B$244,FZ90+FY91-GH90)))</f>
        <v>235.79999999999987</v>
      </c>
      <c r="GA91" s="18">
        <f>FZ91*VLOOKUP('Données projet'!$B$17,Paramètres!$A$1:$I$89,3,0)*VLOOKUP('Données projet'!$B$17,Paramètres!$A$1:$I$89,5,0)</f>
        <v>228.06575999999987</v>
      </c>
      <c r="GB91" s="14">
        <f t="shared" si="103"/>
        <v>55.864248276798108</v>
      </c>
      <c r="GC91" s="22">
        <f t="shared" si="79"/>
        <v>494.51143108208981</v>
      </c>
      <c r="GD91" s="60">
        <f t="shared" si="80"/>
        <v>768.19316345128345</v>
      </c>
      <c r="GE91" s="60">
        <f ca="1">AVERAGE(OFFSET($GD$3,0,0,'Données projet'!$E$17+1,1))-AVERAGE(OFFSET($H$3,0,0,'Données projet'!$E$17+1,1))</f>
        <v>391.18744390931187</v>
      </c>
      <c r="GF91" s="60">
        <f t="shared" si="104"/>
        <v>261.46982358454386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0.27320527395978822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0.27320527395978822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243.21023999999991</v>
      </c>
      <c r="P92" s="14">
        <f t="shared" si="87"/>
        <v>59.129694216846737</v>
      </c>
      <c r="Q92" s="22">
        <f t="shared" si="54"/>
        <v>526.57538542767463</v>
      </c>
      <c r="R92" s="60">
        <f t="shared" si="55"/>
        <v>800.59802913919816</v>
      </c>
      <c r="S92" s="60">
        <f ca="1">AVERAGE(OFFSET($R$3,0,0,'Données projet'!$E$9+1,1))-AVERAGE(OFFSET($H$3,0,0,'Données projet'!$E$9+1,1))</f>
        <v>469.15492079216403</v>
      </c>
      <c r="T92" s="60">
        <f t="shared" si="88"/>
        <v>250.47702091764884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268.7999999999999</v>
      </c>
      <c r="AJ92" s="14">
        <f>AI92*VLOOKUP('Données projet'!$B$10,Paramètres!$A$1:$I$89,3,0)*VLOOKUP('Données projet'!$B$10,Paramètres!$A$1:$I$89,5,0)</f>
        <v>226.43711999999994</v>
      </c>
      <c r="AK92" s="14">
        <f t="shared" si="89"/>
        <v>55.5116049933753</v>
      </c>
      <c r="AL92" s="22">
        <f t="shared" si="58"/>
        <v>491.06069603012844</v>
      </c>
      <c r="AM92" s="60">
        <f t="shared" si="59"/>
        <v>765.08333974165203</v>
      </c>
      <c r="AN92" s="60">
        <f ca="1">AVERAGE(OFFSET($AM$3,0,0,'Données projet'!$E$10+1,1))-AVERAGE(OFFSET($H$3,0,0,'Données projet'!$E$10+1,1))</f>
        <v>442.49274132121275</v>
      </c>
      <c r="AO92" s="60">
        <f t="shared" si="90"/>
        <v>237.37463556402756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3.4</v>
      </c>
      <c r="BD92" s="13">
        <f>IF('Données projet'!$A$88&gt;35,BD91+BC92-BL91,IF(A92&lt;'Données projet'!$A$88,$BA$205^A92,IF(A92='Données projet'!$A$88,'Données projet'!$B$88,BD91+BC92-BL91)))</f>
        <v>227.60000000000019</v>
      </c>
      <c r="BE92" s="14">
        <f>BD92*VLOOKUP('Données projet'!$B$11,Paramètres!$A$1:$I$89,3,0)*VLOOKUP('Données projet'!$B$11,Paramètres!$A$1:$I$89,5,0)</f>
        <v>149.12352000000013</v>
      </c>
      <c r="BF92" s="14">
        <f t="shared" si="91"/>
        <v>38.379334510892704</v>
      </c>
      <c r="BG92" s="22">
        <f t="shared" si="61"/>
        <v>326.56747160647166</v>
      </c>
      <c r="BH92" s="60">
        <f t="shared" si="62"/>
        <v>600.59011531799524</v>
      </c>
      <c r="BI92" s="60">
        <f ca="1">AVERAGE(OFFSET($BH$3,0,0,'Données projet'!$E$11+1,1))-AVERAGE(OFFSET($H$3,0,0,'Données projet'!$E$11+1,1))</f>
        <v>267.90768140488603</v>
      </c>
      <c r="BJ92" s="60">
        <f t="shared" si="92"/>
        <v>280.25465074992258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3.6</v>
      </c>
      <c r="BY92" s="13">
        <f>IF('Données projet'!$A$114&gt;35,BY91+BX92-CG91,IF(A92&lt;'Données projet'!$A$114,$BV$205^A92,IF(A92='Données projet'!$A$114,'Données projet'!$B$114,BY91+BX92-CG91)))</f>
        <v>255.40000000000003</v>
      </c>
      <c r="BZ92" s="14">
        <f>BY92*VLOOKUP('Données projet'!$B$12,Paramètres!$A$1:$I$89,3,0)*VLOOKUP('Données projet'!$B$12,Paramètres!$A$1:$I$89,5,0)</f>
        <v>207.18048000000005</v>
      </c>
      <c r="CA92" s="14">
        <f t="shared" si="93"/>
        <v>51.318965762681557</v>
      </c>
      <c r="CB92" s="22">
        <f t="shared" si="64"/>
        <v>450.21986803667045</v>
      </c>
      <c r="CC92" s="60">
        <f t="shared" si="65"/>
        <v>724.24251174819403</v>
      </c>
      <c r="CD92" s="60">
        <f ca="1">AVERAGE(OFFSET($CC$3,0,0,'Données projet'!$E$12+1,1))-AVERAGE(OFFSET($H$3,0,0,'Données projet'!$E$12+1,1))</f>
        <v>308.6594206517259</v>
      </c>
      <c r="CE92" s="60">
        <f t="shared" si="94"/>
        <v>258.90832875500325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3.5897435897435912</v>
      </c>
      <c r="CT92" s="13">
        <f>IF('Données projet'!$A$140&gt;35,CT91+CS92-DB91,IF(A92&lt;'Données projet'!$A$140,$CQ$205^A92,IF(A92='Données projet'!$A$140,'Données projet'!$B$140,CT91+CS92-DB91)))</f>
        <v>233.58974358974348</v>
      </c>
      <c r="CU92" s="18">
        <f>CT92*VLOOKUP('Données projet'!$B$13,Paramètres!$A$1:$I$89,3,0)*VLOOKUP('Données projet'!$B$13,Paramètres!$A$1:$I$89,5,0)</f>
        <v>222.28399999999988</v>
      </c>
      <c r="CV92" s="14">
        <f t="shared" si="95"/>
        <v>54.611003042838703</v>
      </c>
      <c r="CW92" s="22">
        <f t="shared" si="67"/>
        <v>482.2587969662772</v>
      </c>
      <c r="CX92" s="60">
        <f t="shared" si="68"/>
        <v>756.28144067780079</v>
      </c>
      <c r="CY92" s="60">
        <f ca="1">AVERAGE(OFFSET($CX$3,0,0,'Données projet'!$E$13+1,1))-AVERAGE(OFFSET($H$3,0,0,'Données projet'!$E$13+1,1))</f>
        <v>397.63792993520934</v>
      </c>
      <c r="CZ92" s="60">
        <f t="shared" si="96"/>
        <v>300.63705521148802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291.66666666666669</v>
      </c>
      <c r="DP92" s="18">
        <f>DO92*VLOOKUP('Données projet'!$B$14,Paramètres!$A$1:$I$89,3,0)*VLOOKUP('Données projet'!$B$14,Paramètres!$A$1:$I$89,5,0)</f>
        <v>195.65</v>
      </c>
      <c r="DQ92" s="14">
        <f t="shared" si="97"/>
        <v>48.786949327182938</v>
      </c>
      <c r="DR92" s="22">
        <f t="shared" si="70"/>
        <v>425.72768674484365</v>
      </c>
      <c r="DS92" s="60">
        <f t="shared" si="71"/>
        <v>699.75033045636724</v>
      </c>
      <c r="DT92" s="60">
        <f ca="1">AVERAGE(OFFSET($DS$3,0,0,'Données projet'!$E$14+1,1))-AVERAGE(OFFSET($H$3,0,0,'Données projet'!$E$14+1,1))</f>
        <v>343.94240546037798</v>
      </c>
      <c r="DU92" s="60">
        <f t="shared" si="98"/>
        <v>277.30931495079346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0.24929723618497432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0.24929723618497432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-2.8421709430404007E-13</v>
      </c>
      <c r="EK92" s="18">
        <f>EJ92*VLOOKUP('Données projet'!$B$15,Paramètres!$A$1:$I$89,3,0)*VLOOKUP('Données projet'!$B$15,Paramètres!$A$1:$I$89,5,0)</f>
        <v>-2.2168933355715128E-13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308.76306523144956</v>
      </c>
      <c r="EP92" s="60">
        <f t="shared" si="100"/>
        <v>283.28099819802776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-1.1368683772161603E-13</v>
      </c>
      <c r="FF92" s="18">
        <f>FE92*VLOOKUP('Données projet'!$B$16,Paramètres!$A$1:$I$89,3,0)*VLOOKUP('Données projet'!$B$16,Paramètres!$A$1:$I$89,5,0)</f>
        <v>-9.9316821433603781E-14</v>
      </c>
      <c r="FG92" s="14" t="e">
        <f t="shared" si="101"/>
        <v>#NUM!</v>
      </c>
      <c r="FH92" s="22" t="e">
        <f t="shared" si="76"/>
        <v>#NUM!</v>
      </c>
      <c r="FI92" s="60" t="e">
        <f t="shared" si="77"/>
        <v>#NUM!</v>
      </c>
      <c r="FJ92" s="60">
        <f ca="1">AVERAGE(OFFSET($FI$3,0,0,'Données projet'!$E$16+1,1))-AVERAGE(OFFSET($H$3,0,0,'Données projet'!$E$16+1,1))</f>
        <v>296.01124173332352</v>
      </c>
      <c r="FK92" s="60">
        <f t="shared" si="102"/>
        <v>315.50730924873733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4.5999999999999996</v>
      </c>
      <c r="FZ92" s="13">
        <f>IF('Données projet'!$A$244&gt;35,FZ91+FY92-GH91,IF(A92&lt;'Données projet'!$A$244,$FW$205^A92,IF(A92='Données projet'!$A$244,'Données projet'!$B$244,FZ91+FY92-GH91)))</f>
        <v>240.39999999999986</v>
      </c>
      <c r="GA92" s="18">
        <f>FZ92*VLOOKUP('Données projet'!$B$17,Paramètres!$A$1:$I$89,3,0)*VLOOKUP('Données projet'!$B$17,Paramètres!$A$1:$I$89,5,0)</f>
        <v>232.51487999999989</v>
      </c>
      <c r="GB92" s="14">
        <f t="shared" si="103"/>
        <v>56.826112740205971</v>
      </c>
      <c r="GC92" s="22">
        <f t="shared" si="79"/>
        <v>503.93556235585856</v>
      </c>
      <c r="GD92" s="60">
        <f t="shared" si="80"/>
        <v>777.95820606738221</v>
      </c>
      <c r="GE92" s="60">
        <f ca="1">AVERAGE(OFFSET($GD$3,0,0,'Données projet'!$E$17+1,1))-AVERAGE(OFFSET($H$3,0,0,'Données projet'!$E$17+1,1))</f>
        <v>391.18744390931187</v>
      </c>
      <c r="GF92" s="60">
        <f t="shared" si="104"/>
        <v>261.46982358454386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0.26573446137611689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0.26573446137611689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247.91519999999991</v>
      </c>
      <c r="P93" s="14">
        <f t="shared" si="87"/>
        <v>60.139294964297406</v>
      </c>
      <c r="Q93" s="22">
        <f t="shared" si="54"/>
        <v>536.52824539615108</v>
      </c>
      <c r="R93" s="60">
        <f t="shared" si="55"/>
        <v>810.88588640037869</v>
      </c>
      <c r="S93" s="60">
        <f ca="1">AVERAGE(OFFSET($R$3,0,0,'Données projet'!$E$9+1,1))-AVERAGE(OFFSET($H$3,0,0,'Données projet'!$E$9+1,1))</f>
        <v>469.15492079216403</v>
      </c>
      <c r="T93" s="60">
        <f t="shared" si="88"/>
        <v>250.47702091764884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273.99999999999989</v>
      </c>
      <c r="AJ93" s="14">
        <f>AI93*VLOOKUP('Données projet'!$B$10,Paramètres!$A$1:$I$89,3,0)*VLOOKUP('Données projet'!$B$10,Paramètres!$A$1:$I$89,5,0)</f>
        <v>230.81759999999994</v>
      </c>
      <c r="AK93" s="14">
        <f t="shared" si="89"/>
        <v>56.459429240325889</v>
      </c>
      <c r="AL93" s="22">
        <f t="shared" si="58"/>
        <v>500.34082592690078</v>
      </c>
      <c r="AM93" s="60">
        <f t="shared" si="59"/>
        <v>774.69846693112845</v>
      </c>
      <c r="AN93" s="60">
        <f ca="1">AVERAGE(OFFSET($AM$3,0,0,'Données projet'!$E$10+1,1))-AVERAGE(OFFSET($H$3,0,0,'Données projet'!$E$10+1,1))</f>
        <v>442.49274132121275</v>
      </c>
      <c r="AO93" s="60">
        <f t="shared" si="90"/>
        <v>237.37463556402756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231</v>
      </c>
      <c r="BB93" s="13">
        <f>VLOOKUP(A93,'Données projet'!$A$87:$I$107,9,0)</f>
        <v>3.4</v>
      </c>
      <c r="BC93" s="13">
        <f t="array" ref="BC93">INDEX(BB:BB,MIN(IF(ISNUMBER(BB93:BB289),ROW(BB93:BB289),"")))</f>
        <v>3.4</v>
      </c>
      <c r="BD93" s="13">
        <f>IF('Données projet'!$A$88&gt;35,BD92+BC93-BL92,IF(A93&lt;'Données projet'!$A$88,$BA$205^A93,IF(A93='Données projet'!$A$88,'Données projet'!$B$88,BD92+BC93-BL92)))</f>
        <v>231.0000000000002</v>
      </c>
      <c r="BE93" s="14">
        <f>BD93*VLOOKUP('Données projet'!$B$11,Paramètres!$A$1:$I$89,3,0)*VLOOKUP('Données projet'!$B$11,Paramètres!$A$1:$I$89,5,0)</f>
        <v>151.35120000000012</v>
      </c>
      <c r="BF93" s="14">
        <f t="shared" si="91"/>
        <v>38.885490222897111</v>
      </c>
      <c r="BG93" s="22">
        <f t="shared" si="61"/>
        <v>331.32890213821264</v>
      </c>
      <c r="BH93" s="60">
        <f t="shared" si="62"/>
        <v>605.68654314244031</v>
      </c>
      <c r="BI93" s="60">
        <f ca="1">AVERAGE(OFFSET($BH$3,0,0,'Données projet'!$E$11+1,1))-AVERAGE(OFFSET($H$3,0,0,'Données projet'!$E$11+1,1))</f>
        <v>267.90768140488603</v>
      </c>
      <c r="BJ93" s="60">
        <f t="shared" si="92"/>
        <v>280.25465074992258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231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259</v>
      </c>
      <c r="BW93" s="13">
        <f>VLOOKUP(A93,'Données projet'!$A$113:$I$133,9,0)</f>
        <v>3.6</v>
      </c>
      <c r="BX93" s="13">
        <f t="array" ref="BX93">INDEX(BW:BW,MIN(IF(ISNUMBER(BW93:BW289),ROW(BW93:BW289),"")))</f>
        <v>3.6</v>
      </c>
      <c r="BY93" s="13">
        <f>IF('Données projet'!$A$114&gt;35,BY92+BX93-CG92,IF(A93&lt;'Données projet'!$A$114,$BV$205^A93,IF(A93='Données projet'!$A$114,'Données projet'!$B$114,BY92+BX93-CG92)))</f>
        <v>259.00000000000006</v>
      </c>
      <c r="BZ93" s="14">
        <f>BY93*VLOOKUP('Données projet'!$B$12,Paramètres!$A$1:$I$89,3,0)*VLOOKUP('Données projet'!$B$12,Paramètres!$A$1:$I$89,5,0)</f>
        <v>210.10080000000005</v>
      </c>
      <c r="CA93" s="14">
        <f t="shared" si="93"/>
        <v>51.95761241914623</v>
      </c>
      <c r="CB93" s="22">
        <f t="shared" si="64"/>
        <v>456.41840163001308</v>
      </c>
      <c r="CC93" s="60">
        <f t="shared" si="65"/>
        <v>730.77604263424075</v>
      </c>
      <c r="CD93" s="60">
        <f ca="1">AVERAGE(OFFSET($CC$3,0,0,'Données projet'!$E$12+1,1))-AVERAGE(OFFSET($H$3,0,0,'Données projet'!$E$12+1,1))</f>
        <v>308.6594206517259</v>
      </c>
      <c r="CE93" s="60">
        <f t="shared" si="94"/>
        <v>258.90832875500325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259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237.17948717948718</v>
      </c>
      <c r="CR93" s="13">
        <f>VLOOKUP(A93,'Données projet'!$A$139:$I$159,9,0)</f>
        <v>3.5897435897435912</v>
      </c>
      <c r="CS93" s="13">
        <f t="array" ref="CS93">INDEX(CR:CR,MIN(IF(ISNUMBER(CR93:CR289),ROW(CR93:CR289),"")))</f>
        <v>3.5897435897435912</v>
      </c>
      <c r="CT93" s="13">
        <f>IF('Données projet'!$A$140&gt;35,CT92+CS93-DB92,IF(A93&lt;'Données projet'!$A$140,$CQ$205^A93,IF(A93='Données projet'!$A$140,'Données projet'!$B$140,CT92+CS93-DB92)))</f>
        <v>237.17948717948707</v>
      </c>
      <c r="CU93" s="18">
        <f>CT93*VLOOKUP('Données projet'!$B$13,Paramètres!$A$1:$I$89,3,0)*VLOOKUP('Données projet'!$B$13,Paramètres!$A$1:$I$89,5,0)</f>
        <v>225.69999999999987</v>
      </c>
      <c r="CV93" s="14">
        <f t="shared" si="95"/>
        <v>55.351902227969966</v>
      </c>
      <c r="CW93" s="22">
        <f t="shared" si="67"/>
        <v>489.49872971371411</v>
      </c>
      <c r="CX93" s="60">
        <f t="shared" si="68"/>
        <v>763.85637071794179</v>
      </c>
      <c r="CY93" s="60">
        <f ca="1">AVERAGE(OFFSET($CX$3,0,0,'Données projet'!$E$13+1,1))-AVERAGE(OFFSET($H$3,0,0,'Données projet'!$E$13+1,1))</f>
        <v>397.63792993520934</v>
      </c>
      <c r="CZ93" s="60">
        <f t="shared" si="96"/>
        <v>300.63705521148802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25.641025641025639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295.5128205128205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295.51282051282055</v>
      </c>
      <c r="DP93" s="18">
        <f>DO93*VLOOKUP('Données projet'!$B$14,Paramètres!$A$1:$I$89,3,0)*VLOOKUP('Données projet'!$B$14,Paramètres!$A$1:$I$89,5,0)</f>
        <v>198.23000000000002</v>
      </c>
      <c r="DQ93" s="14">
        <f t="shared" si="97"/>
        <v>49.354974276661508</v>
      </c>
      <c r="DR93" s="22">
        <f t="shared" si="70"/>
        <v>431.21049686518546</v>
      </c>
      <c r="DS93" s="60">
        <f t="shared" si="71"/>
        <v>705.56813786941314</v>
      </c>
      <c r="DT93" s="60">
        <f ca="1">AVERAGE(OFFSET($DS$3,0,0,'Données projet'!$E$14+1,1))-AVERAGE(OFFSET($H$3,0,0,'Données projet'!$E$14+1,1))</f>
        <v>343.94240546037798</v>
      </c>
      <c r="DU93" s="60">
        <f t="shared" si="98"/>
        <v>277.30931495079346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24.358974358974358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0.24248019015152433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0.24248019015152433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-2.8421709430404007E-13</v>
      </c>
      <c r="EK93" s="18">
        <f>EJ93*VLOOKUP('Données projet'!$B$15,Paramètres!$A$1:$I$89,3,0)*VLOOKUP('Données projet'!$B$15,Paramètres!$A$1:$I$89,5,0)</f>
        <v>-2.2168933355715128E-13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308.76306523144956</v>
      </c>
      <c r="EP93" s="60">
        <f t="shared" si="100"/>
        <v>283.28099819802776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-1.1368683772161603E-13</v>
      </c>
      <c r="FF93" s="18">
        <f>FE93*VLOOKUP('Données projet'!$B$16,Paramètres!$A$1:$I$89,3,0)*VLOOKUP('Données projet'!$B$16,Paramètres!$A$1:$I$89,5,0)</f>
        <v>-9.9316821433603781E-14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296.01124173332352</v>
      </c>
      <c r="FK93" s="60">
        <f t="shared" si="102"/>
        <v>315.50730924873733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245</v>
      </c>
      <c r="FX93" s="13">
        <f>VLOOKUP(A93,'Données projet'!$A$243:$I$263,9,0)</f>
        <v>4.5999999999999996</v>
      </c>
      <c r="FY93" s="13">
        <f t="array" ref="FY93">INDEX(FX:FX,MIN(IF(ISNUMBER(FX93:FX289),ROW(FX93:FX289),"")))</f>
        <v>4.5999999999999996</v>
      </c>
      <c r="FZ93" s="13">
        <f>IF('Données projet'!$A$244&gt;35,FZ92+FY93-GH92,IF(A93&lt;'Données projet'!$A$244,$FW$205^A93,IF(A93='Données projet'!$A$244,'Données projet'!$B$244,FZ92+FY93-GH92)))</f>
        <v>244.99999999999986</v>
      </c>
      <c r="GA93" s="18">
        <f>FZ93*VLOOKUP('Données projet'!$B$17,Paramètres!$A$1:$I$89,3,0)*VLOOKUP('Données projet'!$B$17,Paramètres!$A$1:$I$89,5,0)</f>
        <v>236.96399999999988</v>
      </c>
      <c r="GB93" s="14">
        <f t="shared" si="103"/>
        <v>57.785837100566241</v>
      </c>
      <c r="GC93" s="22">
        <f t="shared" si="79"/>
        <v>513.35596628348594</v>
      </c>
      <c r="GD93" s="60">
        <f t="shared" si="80"/>
        <v>787.71360728771356</v>
      </c>
      <c r="GE93" s="60">
        <f ca="1">AVERAGE(OFFSET($GD$3,0,0,'Données projet'!$E$17+1,1))-AVERAGE(OFFSET($H$3,0,0,'Données projet'!$E$17+1,1))</f>
        <v>391.18744390931187</v>
      </c>
      <c r="GF93" s="60">
        <f t="shared" si="104"/>
        <v>261.46982358454386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33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0.258467938555419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0.258467938555419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252.62015999999988</v>
      </c>
      <c r="P94" s="14">
        <f t="shared" si="87"/>
        <v>61.14666777229877</v>
      </c>
      <c r="Q94" s="22">
        <f t="shared" si="54"/>
        <v>546.47722503675345</v>
      </c>
      <c r="R94" s="60">
        <f t="shared" si="55"/>
        <v>821.16405187959845</v>
      </c>
      <c r="S94" s="60">
        <f ca="1">AVERAGE(OFFSET($R$3,0,0,'Données projet'!$E$9+1,1))-AVERAGE(OFFSET($H$3,0,0,'Données projet'!$E$9+1,1))</f>
        <v>469.15492079216403</v>
      </c>
      <c r="T94" s="60">
        <f t="shared" si="88"/>
        <v>250.47702091764884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279.19999999999987</v>
      </c>
      <c r="AJ94" s="14">
        <f>AI94*VLOOKUP('Données projet'!$B$10,Paramètres!$A$1:$I$89,3,0)*VLOOKUP('Données projet'!$B$10,Paramètres!$A$1:$I$89,5,0)</f>
        <v>235.19807999999992</v>
      </c>
      <c r="AK94" s="14">
        <f t="shared" si="89"/>
        <v>57.40516187330315</v>
      </c>
      <c r="AL94" s="22">
        <f t="shared" si="58"/>
        <v>509.61731292933626</v>
      </c>
      <c r="AM94" s="60">
        <f t="shared" si="59"/>
        <v>784.30413977218132</v>
      </c>
      <c r="AN94" s="60">
        <f ca="1">AVERAGE(OFFSET($AM$3,0,0,'Données projet'!$E$10+1,1))-AVERAGE(OFFSET($H$3,0,0,'Données projet'!$E$10+1,1))</f>
        <v>442.49274132121275</v>
      </c>
      <c r="AO94" s="60">
        <f t="shared" si="90"/>
        <v>237.37463556402756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1.9895196601282805E-13</v>
      </c>
      <c r="BE94" s="14">
        <f>BD94*VLOOKUP('Données projet'!$B$11,Paramètres!$A$1:$I$89,3,0)*VLOOKUP('Données projet'!$B$11,Paramètres!$A$1:$I$89,5,0)</f>
        <v>1.3035332813160495E-13</v>
      </c>
      <c r="BF94" s="14">
        <f t="shared" si="91"/>
        <v>1.8987770485018903E-12</v>
      </c>
      <c r="BG94" s="22">
        <f t="shared" si="61"/>
        <v>3.5340687393033375E-12</v>
      </c>
      <c r="BH94" s="60">
        <f t="shared" si="62"/>
        <v>274.68682684284857</v>
      </c>
      <c r="BI94" s="60">
        <f ca="1">AVERAGE(OFFSET($BH$3,0,0,'Données projet'!$E$11+1,1))-AVERAGE(OFFSET($H$3,0,0,'Données projet'!$E$11+1,1))</f>
        <v>267.90768140488603</v>
      </c>
      <c r="BJ94" s="60">
        <f t="shared" si="92"/>
        <v>280.25465074992258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4.6111381379887463E-14</v>
      </c>
      <c r="CA94" s="14">
        <f t="shared" si="93"/>
        <v>7.5804141040779151E-13</v>
      </c>
      <c r="CB94" s="22">
        <f t="shared" si="64"/>
        <v>1.4005661123635408E-12</v>
      </c>
      <c r="CC94" s="60">
        <f t="shared" si="65"/>
        <v>274.68682684284647</v>
      </c>
      <c r="CD94" s="60">
        <f ca="1">AVERAGE(OFFSET($CC$3,0,0,'Données projet'!$E$12+1,1))-AVERAGE(OFFSET($H$3,0,0,'Données projet'!$E$12+1,1))</f>
        <v>308.6594206517259</v>
      </c>
      <c r="CE94" s="60">
        <f t="shared" si="94"/>
        <v>258.90832875500325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3.4615384615384586</v>
      </c>
      <c r="CT94" s="13">
        <f>IF('Données projet'!$A$140&gt;35,CT93+CS94-DB93,IF(A94&lt;'Données projet'!$A$140,$CQ$205^A94,IF(A94='Données projet'!$A$140,'Données projet'!$B$140,CT93+CS94-DB93)))</f>
        <v>214.99999999999989</v>
      </c>
      <c r="CU94" s="18">
        <f>CT94*VLOOKUP('Données projet'!$B$13,Paramètres!$A$1:$I$89,3,0)*VLOOKUP('Données projet'!$B$13,Paramètres!$A$1:$I$89,5,0)</f>
        <v>204.59399999999988</v>
      </c>
      <c r="CV94" s="14">
        <f t="shared" si="95"/>
        <v>50.752451560432448</v>
      </c>
      <c r="CW94" s="22">
        <f t="shared" si="67"/>
        <v>444.72840313441958</v>
      </c>
      <c r="CX94" s="60">
        <f t="shared" si="68"/>
        <v>719.41522997726463</v>
      </c>
      <c r="CY94" s="60">
        <f ca="1">AVERAGE(OFFSET($CX$3,0,0,'Données projet'!$E$13+1,1))-AVERAGE(OFFSET($H$3,0,0,'Données projet'!$E$13+1,1))</f>
        <v>397.63792993520934</v>
      </c>
      <c r="CZ94" s="60">
        <f t="shared" si="96"/>
        <v>300.63705521148802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3.7179487179487181</v>
      </c>
      <c r="DO94" s="13">
        <f>IF('Données projet'!$A$166&gt;35,DO93+DN94-DW93,IF(A94&lt;'Données projet'!$A$166,$DL$205^A94,IF(A94='Données projet'!$A$166,'Données projet'!$B$166,DO93+DN94-DW93)))</f>
        <v>274.87179487179492</v>
      </c>
      <c r="DP94" s="18">
        <f>DO94*VLOOKUP('Données projet'!$B$14,Paramètres!$A$1:$I$89,3,0)*VLOOKUP('Données projet'!$B$14,Paramètres!$A$1:$I$89,5,0)</f>
        <v>184.38400000000004</v>
      </c>
      <c r="DQ94" s="14">
        <f t="shared" si="97"/>
        <v>46.296175202781576</v>
      </c>
      <c r="DR94" s="22">
        <f t="shared" si="70"/>
        <v>401.76797181151125</v>
      </c>
      <c r="DS94" s="60">
        <f t="shared" si="71"/>
        <v>676.4547986543563</v>
      </c>
      <c r="DT94" s="60">
        <f ca="1">AVERAGE(OFFSET($DS$3,0,0,'Données projet'!$E$14+1,1))-AVERAGE(OFFSET($H$3,0,0,'Données projet'!$E$14+1,1))</f>
        <v>343.94240546037798</v>
      </c>
      <c r="DU94" s="60">
        <f t="shared" si="98"/>
        <v>277.30931495079346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0.2358495566003519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0.2358495566003519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-2.8421709430404007E-13</v>
      </c>
      <c r="EK94" s="18">
        <f>EJ94*VLOOKUP('Données projet'!$B$15,Paramètres!$A$1:$I$89,3,0)*VLOOKUP('Données projet'!$B$15,Paramètres!$A$1:$I$89,5,0)</f>
        <v>-2.2168933355715128E-13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308.76306523144956</v>
      </c>
      <c r="EP94" s="60">
        <f t="shared" si="100"/>
        <v>283.28099819802776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-1.1368683772161603E-13</v>
      </c>
      <c r="FF94" s="18">
        <f>FE94*VLOOKUP('Données projet'!$B$16,Paramètres!$A$1:$I$89,3,0)*VLOOKUP('Données projet'!$B$16,Paramètres!$A$1:$I$89,5,0)</f>
        <v>-9.9316821433603781E-14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296.01124173332352</v>
      </c>
      <c r="FK94" s="60">
        <f t="shared" si="102"/>
        <v>315.50730924873733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4.4000000000000004</v>
      </c>
      <c r="FZ94" s="13">
        <f>IF('Données projet'!$A$244&gt;35,FZ93+FY94-GH93,IF(A94&lt;'Données projet'!$A$244,$FW$205^A94,IF(A94='Données projet'!$A$244,'Données projet'!$B$244,FZ93+FY94-GH93)))</f>
        <v>216.39999999999986</v>
      </c>
      <c r="GA94" s="18">
        <f>FZ94*VLOOKUP('Données projet'!$B$17,Paramètres!$A$1:$I$89,3,0)*VLOOKUP('Données projet'!$B$17,Paramètres!$A$1:$I$89,5,0)</f>
        <v>209.30207999999988</v>
      </c>
      <c r="GB94" s="14">
        <f t="shared" si="103"/>
        <v>51.783043082721207</v>
      </c>
      <c r="GC94" s="22">
        <f t="shared" si="79"/>
        <v>454.72325603573927</v>
      </c>
      <c r="GD94" s="60">
        <f t="shared" si="80"/>
        <v>729.41008287858426</v>
      </c>
      <c r="GE94" s="60">
        <f ca="1">AVERAGE(OFFSET($GD$3,0,0,'Données projet'!$E$17+1,1))-AVERAGE(OFFSET($H$3,0,0,'Données projet'!$E$17+1,1))</f>
        <v>391.18744390931187</v>
      </c>
      <c r="GF94" s="60">
        <f t="shared" si="104"/>
        <v>261.46982358454386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0.2514001191833829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0.2514001191833829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257.32511999999986</v>
      </c>
      <c r="P95" s="14">
        <f t="shared" si="87"/>
        <v>62.151858920612646</v>
      </c>
      <c r="Q95" s="22">
        <f t="shared" si="54"/>
        <v>556.42240495340013</v>
      </c>
      <c r="R95" s="60">
        <f t="shared" si="55"/>
        <v>831.4327069965118</v>
      </c>
      <c r="S95" s="60">
        <f ca="1">AVERAGE(OFFSET($R$3,0,0,'Données projet'!$E$9+1,1))-AVERAGE(OFFSET($H$3,0,0,'Données projet'!$E$9+1,1))</f>
        <v>469.15492079216403</v>
      </c>
      <c r="T95" s="60">
        <f t="shared" si="88"/>
        <v>250.47702091764884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284.39999999999986</v>
      </c>
      <c r="AJ95" s="14">
        <f>AI95*VLOOKUP('Données projet'!$B$10,Paramètres!$A$1:$I$89,3,0)*VLOOKUP('Données projet'!$B$10,Paramètres!$A$1:$I$89,5,0)</f>
        <v>239.5785599999999</v>
      </c>
      <c r="AK95" s="14">
        <f t="shared" si="89"/>
        <v>58.348846340254774</v>
      </c>
      <c r="AL95" s="22">
        <f t="shared" si="58"/>
        <v>518.89023270927692</v>
      </c>
      <c r="AM95" s="60">
        <f t="shared" si="59"/>
        <v>793.90053475238869</v>
      </c>
      <c r="AN95" s="60">
        <f ca="1">AVERAGE(OFFSET($AM$3,0,0,'Données projet'!$E$10+1,1))-AVERAGE(OFFSET($H$3,0,0,'Données projet'!$E$10+1,1))</f>
        <v>442.49274132121275</v>
      </c>
      <c r="AO95" s="60">
        <f t="shared" si="90"/>
        <v>237.37463556402756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1.3035332813160495E-13</v>
      </c>
      <c r="BF95" s="14">
        <f t="shared" si="91"/>
        <v>1.8987770485018903E-12</v>
      </c>
      <c r="BG95" s="22">
        <f t="shared" si="61"/>
        <v>3.5340687393033375E-12</v>
      </c>
      <c r="BH95" s="60">
        <f t="shared" si="62"/>
        <v>275.01030204311525</v>
      </c>
      <c r="BI95" s="60">
        <f ca="1">AVERAGE(OFFSET($BH$3,0,0,'Données projet'!$E$11+1,1))-AVERAGE(OFFSET($H$3,0,0,'Données projet'!$E$11+1,1))</f>
        <v>267.90768140488603</v>
      </c>
      <c r="BJ95" s="60">
        <f t="shared" si="92"/>
        <v>280.25465074992258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4.6111381379887463E-14</v>
      </c>
      <c r="CA95" s="14">
        <f t="shared" si="93"/>
        <v>7.5804141040779151E-13</v>
      </c>
      <c r="CB95" s="22">
        <f t="shared" si="64"/>
        <v>1.4005661123635408E-12</v>
      </c>
      <c r="CC95" s="60">
        <f t="shared" si="65"/>
        <v>275.01030204311314</v>
      </c>
      <c r="CD95" s="60">
        <f ca="1">AVERAGE(OFFSET($CC$3,0,0,'Données projet'!$E$12+1,1))-AVERAGE(OFFSET($H$3,0,0,'Données projet'!$E$12+1,1))</f>
        <v>308.6594206517259</v>
      </c>
      <c r="CE95" s="60">
        <f t="shared" si="94"/>
        <v>258.90832875500325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3.4615384615384586</v>
      </c>
      <c r="CT95" s="13">
        <f>IF('Données projet'!$A$140&gt;35,CT94+CS95-DB94,IF(A95&lt;'Données projet'!$A$140,$CQ$205^A95,IF(A95='Données projet'!$A$140,'Données projet'!$B$140,CT94+CS95-DB94)))</f>
        <v>218.46153846153834</v>
      </c>
      <c r="CU95" s="18">
        <f>CT95*VLOOKUP('Données projet'!$B$13,Paramètres!$A$1:$I$89,3,0)*VLOOKUP('Données projet'!$B$13,Paramètres!$A$1:$I$89,5,0)</f>
        <v>207.88799999999989</v>
      </c>
      <c r="CV95" s="14">
        <f t="shared" si="95"/>
        <v>51.473789402175719</v>
      </c>
      <c r="CW95" s="22">
        <f t="shared" si="67"/>
        <v>451.72178320878908</v>
      </c>
      <c r="CX95" s="60">
        <f t="shared" si="68"/>
        <v>726.7320852519008</v>
      </c>
      <c r="CY95" s="60">
        <f ca="1">AVERAGE(OFFSET($CX$3,0,0,'Données projet'!$E$13+1,1))-AVERAGE(OFFSET($H$3,0,0,'Données projet'!$E$13+1,1))</f>
        <v>397.63792993520934</v>
      </c>
      <c r="CZ95" s="60">
        <f t="shared" si="96"/>
        <v>300.63705521148802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3.7179487179487181</v>
      </c>
      <c r="DO95" s="13">
        <f>IF('Données projet'!$A$166&gt;35,DO94+DN95-DW94,IF(A95&lt;'Données projet'!$A$166,$DL$205^A95,IF(A95='Données projet'!$A$166,'Données projet'!$B$166,DO94+DN95-DW94)))</f>
        <v>278.58974358974365</v>
      </c>
      <c r="DP95" s="18">
        <f>DO95*VLOOKUP('Données projet'!$B$14,Paramètres!$A$1:$I$89,3,0)*VLOOKUP('Données projet'!$B$14,Paramètres!$A$1:$I$89,5,0)</f>
        <v>186.87800000000004</v>
      </c>
      <c r="DQ95" s="14">
        <f t="shared" si="97"/>
        <v>46.849058827207365</v>
      </c>
      <c r="DR95" s="22">
        <f t="shared" si="70"/>
        <v>407.07462745738621</v>
      </c>
      <c r="DS95" s="60">
        <f t="shared" si="71"/>
        <v>682.08492950049799</v>
      </c>
      <c r="DT95" s="60">
        <f ca="1">AVERAGE(OFFSET($DS$3,0,0,'Données projet'!$E$14+1,1))-AVERAGE(OFFSET($H$3,0,0,'Données projet'!$E$14+1,1))</f>
        <v>343.94240546037798</v>
      </c>
      <c r="DU95" s="60">
        <f t="shared" si="98"/>
        <v>277.30931495079346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0.22940023807232612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0.22940023807232612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-2.8421709430404007E-13</v>
      </c>
      <c r="EK95" s="18">
        <f>EJ95*VLOOKUP('Données projet'!$B$15,Paramètres!$A$1:$I$89,3,0)*VLOOKUP('Données projet'!$B$15,Paramètres!$A$1:$I$89,5,0)</f>
        <v>-2.2168933355715128E-13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308.76306523144956</v>
      </c>
      <c r="EP95" s="60">
        <f t="shared" si="100"/>
        <v>283.28099819802776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-1.1368683772161603E-13</v>
      </c>
      <c r="FF95" s="18">
        <f>FE95*VLOOKUP('Données projet'!$B$16,Paramètres!$A$1:$I$89,3,0)*VLOOKUP('Données projet'!$B$16,Paramètres!$A$1:$I$89,5,0)</f>
        <v>-9.9316821433603781E-14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296.01124173332352</v>
      </c>
      <c r="FK95" s="60">
        <f t="shared" si="102"/>
        <v>315.50730924873733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4.4000000000000004</v>
      </c>
      <c r="FZ95" s="13">
        <f>IF('Données projet'!$A$244&gt;35,FZ94+FY95-GH94,IF(A95&lt;'Données projet'!$A$244,$FW$205^A95,IF(A95='Données projet'!$A$244,'Données projet'!$B$244,FZ94+FY95-GH94)))</f>
        <v>220.79999999999987</v>
      </c>
      <c r="GA95" s="18">
        <f>FZ95*VLOOKUP('Données projet'!$B$17,Paramètres!$A$1:$I$89,3,0)*VLOOKUP('Données projet'!$B$17,Paramètres!$A$1:$I$89,5,0)</f>
        <v>213.55775999999989</v>
      </c>
      <c r="GB95" s="14">
        <f t="shared" si="103"/>
        <v>52.712283978668417</v>
      </c>
      <c r="GC95" s="22">
        <f t="shared" si="79"/>
        <v>463.75365992951396</v>
      </c>
      <c r="GD95" s="60">
        <f t="shared" si="80"/>
        <v>738.76396197262568</v>
      </c>
      <c r="GE95" s="60">
        <f ca="1">AVERAGE(OFFSET($GD$3,0,0,'Données projet'!$E$17+1,1))-AVERAGE(OFFSET($H$3,0,0,'Données projet'!$E$17+1,1))</f>
        <v>391.18744390931187</v>
      </c>
      <c r="GF95" s="60">
        <f t="shared" si="104"/>
        <v>261.46982358454386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0.24452556970375561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0.24452556970375561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262.03007999999988</v>
      </c>
      <c r="P96" s="14">
        <f t="shared" si="87"/>
        <v>63.154912899742584</v>
      </c>
      <c r="Q96" s="22">
        <f t="shared" si="54"/>
        <v>566.3638626337181</v>
      </c>
      <c r="R96" s="60">
        <f t="shared" si="55"/>
        <v>841.692028305554</v>
      </c>
      <c r="S96" s="60">
        <f ca="1">AVERAGE(OFFSET($R$3,0,0,'Données projet'!$E$9+1,1))-AVERAGE(OFFSET($H$3,0,0,'Données projet'!$E$9+1,1))</f>
        <v>469.15492079216403</v>
      </c>
      <c r="T96" s="60">
        <f t="shared" si="88"/>
        <v>250.47702091764884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289.59999999999985</v>
      </c>
      <c r="AJ96" s="14">
        <f>AI96*VLOOKUP('Données projet'!$B$10,Paramètres!$A$1:$I$89,3,0)*VLOOKUP('Données projet'!$B$10,Paramètres!$A$1:$I$89,5,0)</f>
        <v>243.9590399999999</v>
      </c>
      <c r="AK96" s="14">
        <f t="shared" si="89"/>
        <v>59.290524409353097</v>
      </c>
      <c r="AL96" s="22">
        <f t="shared" si="58"/>
        <v>528.15965801295647</v>
      </c>
      <c r="AM96" s="60">
        <f t="shared" si="59"/>
        <v>803.48782368479237</v>
      </c>
      <c r="AN96" s="60">
        <f ca="1">AVERAGE(OFFSET($AM$3,0,0,'Données projet'!$E$10+1,1))-AVERAGE(OFFSET($H$3,0,0,'Données projet'!$E$10+1,1))</f>
        <v>442.49274132121275</v>
      </c>
      <c r="AO96" s="60">
        <f t="shared" si="90"/>
        <v>237.37463556402756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1.3035332813160495E-13</v>
      </c>
      <c r="BF96" s="14">
        <f t="shared" si="91"/>
        <v>1.8987770485018903E-12</v>
      </c>
      <c r="BG96" s="22">
        <f t="shared" si="61"/>
        <v>3.5340687393033375E-12</v>
      </c>
      <c r="BH96" s="60">
        <f t="shared" si="62"/>
        <v>275.32816567183949</v>
      </c>
      <c r="BI96" s="60">
        <f ca="1">AVERAGE(OFFSET($BH$3,0,0,'Données projet'!$E$11+1,1))-AVERAGE(OFFSET($H$3,0,0,'Données projet'!$E$11+1,1))</f>
        <v>267.90768140488603</v>
      </c>
      <c r="BJ96" s="60">
        <f t="shared" si="92"/>
        <v>280.25465074992258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4.6111381379887463E-14</v>
      </c>
      <c r="CA96" s="14">
        <f t="shared" si="93"/>
        <v>7.5804141040779151E-13</v>
      </c>
      <c r="CB96" s="22">
        <f t="shared" si="64"/>
        <v>1.4005661123635408E-12</v>
      </c>
      <c r="CC96" s="60">
        <f t="shared" si="65"/>
        <v>275.32816567183738</v>
      </c>
      <c r="CD96" s="60">
        <f ca="1">AVERAGE(OFFSET($CC$3,0,0,'Données projet'!$E$12+1,1))-AVERAGE(OFFSET($H$3,0,0,'Données projet'!$E$12+1,1))</f>
        <v>308.6594206517259</v>
      </c>
      <c r="CE96" s="60">
        <f t="shared" si="94"/>
        <v>258.90832875500325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3.4615384615384586</v>
      </c>
      <c r="CT96" s="13">
        <f>IF('Données projet'!$A$140&gt;35,CT95+CS96-DB95,IF(A96&lt;'Données projet'!$A$140,$CQ$205^A96,IF(A96='Données projet'!$A$140,'Données projet'!$B$140,CT95+CS96-DB95)))</f>
        <v>221.92307692307679</v>
      </c>
      <c r="CU96" s="18">
        <f>CT96*VLOOKUP('Données projet'!$B$13,Paramètres!$A$1:$I$89,3,0)*VLOOKUP('Données projet'!$B$13,Paramètres!$A$1:$I$89,5,0)</f>
        <v>211.18199999999987</v>
      </c>
      <c r="CV96" s="14">
        <f t="shared" si="95"/>
        <v>52.193798000107861</v>
      </c>
      <c r="CW96" s="22">
        <f t="shared" si="67"/>
        <v>458.71284818352098</v>
      </c>
      <c r="CX96" s="60">
        <f t="shared" si="68"/>
        <v>734.04101385535694</v>
      </c>
      <c r="CY96" s="60">
        <f ca="1">AVERAGE(OFFSET($CX$3,0,0,'Données projet'!$E$13+1,1))-AVERAGE(OFFSET($H$3,0,0,'Données projet'!$E$13+1,1))</f>
        <v>397.63792993520934</v>
      </c>
      <c r="CZ96" s="60">
        <f t="shared" si="96"/>
        <v>300.63705521148802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3.7179487179487181</v>
      </c>
      <c r="DO96" s="13">
        <f>IF('Données projet'!$A$166&gt;35,DO95+DN96-DW95,IF(A96&lt;'Données projet'!$A$166,$DL$205^A96,IF(A96='Données projet'!$A$166,'Données projet'!$B$166,DO95+DN96-DW95)))</f>
        <v>282.30769230769238</v>
      </c>
      <c r="DP96" s="18">
        <f>DO96*VLOOKUP('Données projet'!$B$14,Paramètres!$A$1:$I$89,3,0)*VLOOKUP('Données projet'!$B$14,Paramètres!$A$1:$I$89,5,0)</f>
        <v>189.37200000000007</v>
      </c>
      <c r="DQ96" s="14">
        <f t="shared" si="97"/>
        <v>47.401084226295815</v>
      </c>
      <c r="DR96" s="22">
        <f t="shared" si="70"/>
        <v>412.37978836079861</v>
      </c>
      <c r="DS96" s="60">
        <f t="shared" si="71"/>
        <v>687.70795403263458</v>
      </c>
      <c r="DT96" s="60">
        <f ca="1">AVERAGE(OFFSET($DS$3,0,0,'Données projet'!$E$14+1,1))-AVERAGE(OFFSET($H$3,0,0,'Données projet'!$E$14+1,1))</f>
        <v>343.94240546037798</v>
      </c>
      <c r="DU96" s="60">
        <f t="shared" si="98"/>
        <v>277.30931495079346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0.22312727649860414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0.22312727649860414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-2.8421709430404007E-13</v>
      </c>
      <c r="EK96" s="18">
        <f>EJ96*VLOOKUP('Données projet'!$B$15,Paramètres!$A$1:$I$89,3,0)*VLOOKUP('Données projet'!$B$15,Paramètres!$A$1:$I$89,5,0)</f>
        <v>-2.2168933355715128E-13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308.76306523144956</v>
      </c>
      <c r="EP96" s="60">
        <f t="shared" si="100"/>
        <v>283.28099819802776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-1.1368683772161603E-13</v>
      </c>
      <c r="FF96" s="18">
        <f>FE96*VLOOKUP('Données projet'!$B$16,Paramètres!$A$1:$I$89,3,0)*VLOOKUP('Données projet'!$B$16,Paramètres!$A$1:$I$89,5,0)</f>
        <v>-9.9316821433603781E-14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296.01124173332352</v>
      </c>
      <c r="FK96" s="60">
        <f t="shared" si="102"/>
        <v>315.50730924873733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4.4000000000000004</v>
      </c>
      <c r="FZ96" s="13">
        <f>IF('Données projet'!$A$244&gt;35,FZ95+FY96-GH95,IF(A96&lt;'Données projet'!$A$244,$FW$205^A96,IF(A96='Données projet'!$A$244,'Données projet'!$B$244,FZ95+FY96-GH95)))</f>
        <v>225.19999999999987</v>
      </c>
      <c r="GA96" s="18">
        <f>FZ96*VLOOKUP('Données projet'!$B$17,Paramètres!$A$1:$I$89,3,0)*VLOOKUP('Données projet'!$B$17,Paramètres!$A$1:$I$89,5,0)</f>
        <v>217.81343999999987</v>
      </c>
      <c r="GB96" s="14">
        <f t="shared" si="103"/>
        <v>53.639371787024771</v>
      </c>
      <c r="GC96" s="22">
        <f t="shared" si="79"/>
        <v>472.78031386240127</v>
      </c>
      <c r="GD96" s="60">
        <f t="shared" si="80"/>
        <v>748.10847953423718</v>
      </c>
      <c r="GE96" s="60">
        <f ca="1">AVERAGE(OFFSET($GD$3,0,0,'Données projet'!$E$17+1,1))-AVERAGE(OFFSET($H$3,0,0,'Données projet'!$E$17+1,1))</f>
        <v>391.18744390931187</v>
      </c>
      <c r="GF96" s="60">
        <f t="shared" si="104"/>
        <v>261.46982358454386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0.23783900514116557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0.23783900514116557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266.73503999999986</v>
      </c>
      <c r="P97" s="14">
        <f t="shared" si="87"/>
        <v>64.155872510973225</v>
      </c>
      <c r="Q97" s="22">
        <f t="shared" si="54"/>
        <v>576.30167262327802</v>
      </c>
      <c r="R97" s="60">
        <f t="shared" si="55"/>
        <v>851.94218770051657</v>
      </c>
      <c r="S97" s="60">
        <f ca="1">AVERAGE(OFFSET($R$3,0,0,'Données projet'!$E$9+1,1))-AVERAGE(OFFSET($H$3,0,0,'Données projet'!$E$9+1,1))</f>
        <v>469.15492079216403</v>
      </c>
      <c r="T97" s="60">
        <f t="shared" si="88"/>
        <v>250.47702091764884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294.79999999999984</v>
      </c>
      <c r="AJ97" s="14">
        <f>AI97*VLOOKUP('Données projet'!$B$10,Paramètres!$A$1:$I$89,3,0)*VLOOKUP('Données projet'!$B$10,Paramètres!$A$1:$I$89,5,0)</f>
        <v>248.33951999999988</v>
      </c>
      <c r="AK97" s="14">
        <f t="shared" si="89"/>
        <v>60.230236262913245</v>
      </c>
      <c r="AL97" s="22">
        <f t="shared" si="58"/>
        <v>537.42565882457359</v>
      </c>
      <c r="AM97" s="60">
        <f t="shared" si="59"/>
        <v>813.06617390181214</v>
      </c>
      <c r="AN97" s="60">
        <f ca="1">AVERAGE(OFFSET($AM$3,0,0,'Données projet'!$E$10+1,1))-AVERAGE(OFFSET($H$3,0,0,'Données projet'!$E$10+1,1))</f>
        <v>442.49274132121275</v>
      </c>
      <c r="AO97" s="60">
        <f t="shared" si="90"/>
        <v>237.37463556402756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1.3035332813160495E-13</v>
      </c>
      <c r="BF97" s="14">
        <f t="shared" si="91"/>
        <v>1.8987770485018903E-12</v>
      </c>
      <c r="BG97" s="22">
        <f t="shared" si="61"/>
        <v>3.5340687393033375E-12</v>
      </c>
      <c r="BH97" s="60">
        <f t="shared" si="62"/>
        <v>275.64051507724201</v>
      </c>
      <c r="BI97" s="60">
        <f ca="1">AVERAGE(OFFSET($BH$3,0,0,'Données projet'!$E$11+1,1))-AVERAGE(OFFSET($H$3,0,0,'Données projet'!$E$11+1,1))</f>
        <v>267.90768140488603</v>
      </c>
      <c r="BJ97" s="60">
        <f t="shared" si="92"/>
        <v>280.25465074992258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4.6111381379887463E-14</v>
      </c>
      <c r="CA97" s="14">
        <f t="shared" si="93"/>
        <v>7.5804141040779151E-13</v>
      </c>
      <c r="CB97" s="22">
        <f t="shared" si="64"/>
        <v>1.4005661123635408E-12</v>
      </c>
      <c r="CC97" s="60">
        <f t="shared" si="65"/>
        <v>275.64051507723991</v>
      </c>
      <c r="CD97" s="60">
        <f ca="1">AVERAGE(OFFSET($CC$3,0,0,'Données projet'!$E$12+1,1))-AVERAGE(OFFSET($H$3,0,0,'Données projet'!$E$12+1,1))</f>
        <v>308.6594206517259</v>
      </c>
      <c r="CE97" s="60">
        <f t="shared" si="94"/>
        <v>258.90832875500325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3.4615384615384586</v>
      </c>
      <c r="CT97" s="13">
        <f>IF('Données projet'!$A$140&gt;35,CT96+CS97-DB96,IF(A97&lt;'Données projet'!$A$140,$CQ$205^A97,IF(A97='Données projet'!$A$140,'Données projet'!$B$140,CT96+CS97-DB96)))</f>
        <v>225.38461538461524</v>
      </c>
      <c r="CU97" s="18">
        <f>CT97*VLOOKUP('Données projet'!$B$13,Paramètres!$A$1:$I$89,3,0)*VLOOKUP('Données projet'!$B$13,Paramètres!$A$1:$I$89,5,0)</f>
        <v>214.47599999999986</v>
      </c>
      <c r="CV97" s="14">
        <f t="shared" si="95"/>
        <v>52.912500481928973</v>
      </c>
      <c r="CW97" s="22">
        <f t="shared" si="67"/>
        <v>465.70163833935936</v>
      </c>
      <c r="CX97" s="60">
        <f t="shared" si="68"/>
        <v>741.34215341659785</v>
      </c>
      <c r="CY97" s="60">
        <f ca="1">AVERAGE(OFFSET($CX$3,0,0,'Données projet'!$E$13+1,1))-AVERAGE(OFFSET($H$3,0,0,'Données projet'!$E$13+1,1))</f>
        <v>397.63792993520934</v>
      </c>
      <c r="CZ97" s="60">
        <f t="shared" si="96"/>
        <v>300.63705521148802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3.7179487179487181</v>
      </c>
      <c r="DO97" s="13">
        <f>IF('Données projet'!$A$166&gt;35,DO96+DN97-DW96,IF(A97&lt;'Données projet'!$A$166,$DL$205^A97,IF(A97='Données projet'!$A$166,'Données projet'!$B$166,DO96+DN97-DW96)))</f>
        <v>286.02564102564111</v>
      </c>
      <c r="DP97" s="18">
        <f>DO97*VLOOKUP('Données projet'!$B$14,Paramètres!$A$1:$I$89,3,0)*VLOOKUP('Données projet'!$B$14,Paramètres!$A$1:$I$89,5,0)</f>
        <v>191.86600000000004</v>
      </c>
      <c r="DQ97" s="14">
        <f t="shared" si="97"/>
        <v>47.952264009442324</v>
      </c>
      <c r="DR97" s="22">
        <f t="shared" si="70"/>
        <v>417.68347648311209</v>
      </c>
      <c r="DS97" s="60">
        <f t="shared" si="71"/>
        <v>693.32399156035058</v>
      </c>
      <c r="DT97" s="60">
        <f ca="1">AVERAGE(OFFSET($DS$3,0,0,'Données projet'!$E$14+1,1))-AVERAGE(OFFSET($H$3,0,0,'Données projet'!$E$14+1,1))</f>
        <v>343.94240546037798</v>
      </c>
      <c r="DU97" s="60">
        <f t="shared" si="98"/>
        <v>277.30931495079346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0.2170258493889963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0.2170258493889963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-2.8421709430404007E-13</v>
      </c>
      <c r="EK97" s="18">
        <f>EJ97*VLOOKUP('Données projet'!$B$15,Paramètres!$A$1:$I$89,3,0)*VLOOKUP('Données projet'!$B$15,Paramètres!$A$1:$I$89,5,0)</f>
        <v>-2.2168933355715128E-13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308.76306523144956</v>
      </c>
      <c r="EP97" s="60">
        <f t="shared" si="100"/>
        <v>283.28099819802776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-1.1368683772161603E-13</v>
      </c>
      <c r="FF97" s="18">
        <f>FE97*VLOOKUP('Données projet'!$B$16,Paramètres!$A$1:$I$89,3,0)*VLOOKUP('Données projet'!$B$16,Paramètres!$A$1:$I$89,5,0)</f>
        <v>-9.9316821433603781E-14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296.01124173332352</v>
      </c>
      <c r="FK97" s="60">
        <f t="shared" si="102"/>
        <v>315.50730924873733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4.4000000000000004</v>
      </c>
      <c r="FZ97" s="13">
        <f>IF('Données projet'!$A$244&gt;35,FZ96+FY97-GH96,IF(A97&lt;'Données projet'!$A$244,$FW$205^A97,IF(A97='Données projet'!$A$244,'Données projet'!$B$244,FZ96+FY97-GH96)))</f>
        <v>229.59999999999988</v>
      </c>
      <c r="GA97" s="18">
        <f>FZ97*VLOOKUP('Données projet'!$B$17,Paramètres!$A$1:$I$89,3,0)*VLOOKUP('Données projet'!$B$17,Paramètres!$A$1:$I$89,5,0)</f>
        <v>222.06911999999988</v>
      </c>
      <c r="GB97" s="14">
        <f t="shared" si="103"/>
        <v>54.564353424529749</v>
      </c>
      <c r="GC97" s="22">
        <f t="shared" si="79"/>
        <v>481.80329954772242</v>
      </c>
      <c r="GD97" s="60">
        <f t="shared" si="80"/>
        <v>757.44381462496085</v>
      </c>
      <c r="GE97" s="60">
        <f ca="1">AVERAGE(OFFSET($GD$3,0,0,'Données projet'!$E$17+1,1))-AVERAGE(OFFSET($H$3,0,0,'Données projet'!$E$17+1,1))</f>
        <v>391.18744390931187</v>
      </c>
      <c r="GF97" s="60">
        <f t="shared" si="104"/>
        <v>261.46982358454386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0.23133528503817072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0.23133528503817072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271.43999999999983</v>
      </c>
      <c r="P98" s="14">
        <f t="shared" si="87"/>
        <v>65.154778959151173</v>
      </c>
      <c r="Q98" s="22">
        <f t="shared" si="54"/>
        <v>586.23590668718793</v>
      </c>
      <c r="R98" s="60">
        <f t="shared" si="55"/>
        <v>862.18335260595381</v>
      </c>
      <c r="S98" s="60">
        <f ca="1">AVERAGE(OFFSET($R$3,0,0,'Données projet'!$E$9+1,1))-AVERAGE(OFFSET($H$3,0,0,'Données projet'!$E$9+1,1))</f>
        <v>469.15492079216403</v>
      </c>
      <c r="T98" s="60">
        <f t="shared" si="88"/>
        <v>250.47702091764884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299.99999999999983</v>
      </c>
      <c r="AJ98" s="14">
        <f>AI98*VLOOKUP('Données projet'!$B$10,Paramètres!$A$1:$I$89,3,0)*VLOOKUP('Données projet'!$B$10,Paramètres!$A$1:$I$89,5,0)</f>
        <v>252.71999999999989</v>
      </c>
      <c r="AK98" s="14">
        <f t="shared" si="89"/>
        <v>61.168020584496766</v>
      </c>
      <c r="AL98" s="22">
        <f t="shared" si="58"/>
        <v>546.6883025179983</v>
      </c>
      <c r="AM98" s="60">
        <f t="shared" si="59"/>
        <v>822.63574843676429</v>
      </c>
      <c r="AN98" s="60">
        <f ca="1">AVERAGE(OFFSET($AM$3,0,0,'Données projet'!$E$10+1,1))-AVERAGE(OFFSET($H$3,0,0,'Données projet'!$E$10+1,1))</f>
        <v>442.49274132121275</v>
      </c>
      <c r="AO98" s="60">
        <f t="shared" si="90"/>
        <v>237.37463556402756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1.3035332813160495E-13</v>
      </c>
      <c r="BF98" s="14">
        <f t="shared" si="91"/>
        <v>1.8987770485018903E-12</v>
      </c>
      <c r="BG98" s="22">
        <f t="shared" si="61"/>
        <v>3.5340687393033375E-12</v>
      </c>
      <c r="BH98" s="60">
        <f t="shared" si="62"/>
        <v>275.94744591876946</v>
      </c>
      <c r="BI98" s="60">
        <f ca="1">AVERAGE(OFFSET($BH$3,0,0,'Données projet'!$E$11+1,1))-AVERAGE(OFFSET($H$3,0,0,'Données projet'!$E$11+1,1))</f>
        <v>267.90768140488603</v>
      </c>
      <c r="BJ98" s="60">
        <f t="shared" si="92"/>
        <v>280.25465074992258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4.6111381379887463E-14</v>
      </c>
      <c r="CA98" s="14">
        <f t="shared" si="93"/>
        <v>7.5804141040779151E-13</v>
      </c>
      <c r="CB98" s="22">
        <f t="shared" si="64"/>
        <v>1.4005661123635408E-12</v>
      </c>
      <c r="CC98" s="60">
        <f t="shared" si="65"/>
        <v>275.94744591876736</v>
      </c>
      <c r="CD98" s="60">
        <f ca="1">AVERAGE(OFFSET($CC$3,0,0,'Données projet'!$E$12+1,1))-AVERAGE(OFFSET($H$3,0,0,'Données projet'!$E$12+1,1))</f>
        <v>308.6594206517259</v>
      </c>
      <c r="CE98" s="60">
        <f t="shared" si="94"/>
        <v>258.90832875500325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3.4615384615384586</v>
      </c>
      <c r="CT98" s="13">
        <f>IF('Données projet'!$A$140&gt;35,CT97+CS98-DB97,IF(A98&lt;'Données projet'!$A$140,$CQ$205^A98,IF(A98='Données projet'!$A$140,'Données projet'!$B$140,CT97+CS98-DB97)))</f>
        <v>228.8461538461537</v>
      </c>
      <c r="CU98" s="18">
        <f>CT98*VLOOKUP('Données projet'!$B$13,Paramètres!$A$1:$I$89,3,0)*VLOOKUP('Données projet'!$B$13,Paramètres!$A$1:$I$89,5,0)</f>
        <v>217.76999999999987</v>
      </c>
      <c r="CV98" s="14">
        <f t="shared" si="95"/>
        <v>53.629919224169903</v>
      </c>
      <c r="CW98" s="22">
        <f t="shared" si="67"/>
        <v>472.68819264876225</v>
      </c>
      <c r="CX98" s="60">
        <f t="shared" si="68"/>
        <v>748.63563856752819</v>
      </c>
      <c r="CY98" s="60">
        <f ca="1">AVERAGE(OFFSET($CX$3,0,0,'Données projet'!$E$13+1,1))-AVERAGE(OFFSET($H$3,0,0,'Données projet'!$E$13+1,1))</f>
        <v>397.63792993520934</v>
      </c>
      <c r="CZ98" s="60">
        <f t="shared" si="96"/>
        <v>300.63705521148802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289.74358974358972</v>
      </c>
      <c r="DM98" s="13">
        <f>VLOOKUP(A98,'Données projet'!$A$165:$I$185,9,0)</f>
        <v>3.7179487179487181</v>
      </c>
      <c r="DN98" s="13">
        <f t="array" ref="DN98">INDEX(DM:DM,MIN(IF(ISNUMBER(DM98:DM294),ROW(DM98:DM294),"")))</f>
        <v>3.7179487179487181</v>
      </c>
      <c r="DO98" s="13">
        <f>IF('Données projet'!$A$166&gt;35,DO97+DN98-DW97,IF(A98&lt;'Données projet'!$A$166,$DL$205^A98,IF(A98='Données projet'!$A$166,'Données projet'!$B$166,DO97+DN98-DW97)))</f>
        <v>289.74358974358984</v>
      </c>
      <c r="DP98" s="18">
        <f>DO98*VLOOKUP('Données projet'!$B$14,Paramètres!$A$1:$I$89,3,0)*VLOOKUP('Données projet'!$B$14,Paramètres!$A$1:$I$89,5,0)</f>
        <v>194.36000000000007</v>
      </c>
      <c r="DQ98" s="14">
        <f t="shared" si="97"/>
        <v>48.502610439386679</v>
      </c>
      <c r="DR98" s="22">
        <f t="shared" si="70"/>
        <v>422.98571318193189</v>
      </c>
      <c r="DS98" s="60">
        <f t="shared" si="71"/>
        <v>698.93315910069782</v>
      </c>
      <c r="DT98" s="60">
        <f ca="1">AVERAGE(OFFSET($DS$3,0,0,'Données projet'!$E$14+1,1))-AVERAGE(OFFSET($H$3,0,0,'Données projet'!$E$14+1,1))</f>
        <v>343.94240546037798</v>
      </c>
      <c r="DU98" s="60">
        <f t="shared" si="98"/>
        <v>277.30931495079346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0.21109126612456081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0.21109126612456081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-2.8421709430404007E-13</v>
      </c>
      <c r="EK98" s="18">
        <f>EJ98*VLOOKUP('Données projet'!$B$15,Paramètres!$A$1:$I$89,3,0)*VLOOKUP('Données projet'!$B$15,Paramètres!$A$1:$I$89,5,0)</f>
        <v>-2.2168933355715128E-13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308.76306523144956</v>
      </c>
      <c r="EP98" s="60">
        <f t="shared" si="100"/>
        <v>283.28099819802776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-1.1368683772161603E-13</v>
      </c>
      <c r="FF98" s="18">
        <f>FE98*VLOOKUP('Données projet'!$B$16,Paramètres!$A$1:$I$89,3,0)*VLOOKUP('Données projet'!$B$16,Paramètres!$A$1:$I$89,5,0)</f>
        <v>-9.9316821433603781E-14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296.01124173332352</v>
      </c>
      <c r="FK98" s="60">
        <f t="shared" si="102"/>
        <v>315.50730924873733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234</v>
      </c>
      <c r="FX98" s="13">
        <f>VLOOKUP(A98,'Données projet'!$A$243:$I$263,9,0)</f>
        <v>4.4000000000000004</v>
      </c>
      <c r="FY98" s="13">
        <f t="array" ref="FY98">INDEX(FX:FX,MIN(IF(ISNUMBER(FX98:FX294),ROW(FX98:FX294),"")))</f>
        <v>4.4000000000000004</v>
      </c>
      <c r="FZ98" s="13">
        <f>IF('Données projet'!$A$244&gt;35,FZ97+FY98-GH97,IF(A98&lt;'Données projet'!$A$244,$FW$205^A98,IF(A98='Données projet'!$A$244,'Données projet'!$B$244,FZ97+FY98-GH97)))</f>
        <v>233.99999999999989</v>
      </c>
      <c r="GA98" s="18">
        <f>FZ98*VLOOKUP('Données projet'!$B$17,Paramètres!$A$1:$I$89,3,0)*VLOOKUP('Données projet'!$B$17,Paramètres!$A$1:$I$89,5,0)</f>
        <v>226.3247999999999</v>
      </c>
      <c r="GB98" s="14">
        <f t="shared" si="103"/>
        <v>55.48727390683667</v>
      </c>
      <c r="GC98" s="22">
        <f t="shared" si="79"/>
        <v>490.8226953877404</v>
      </c>
      <c r="GD98" s="60">
        <f t="shared" si="80"/>
        <v>766.77014130650628</v>
      </c>
      <c r="GE98" s="60">
        <f ca="1">AVERAGE(OFFSET($GD$3,0,0,'Données projet'!$E$17+1,1))-AVERAGE(OFFSET($H$3,0,0,'Données projet'!$E$17+1,1))</f>
        <v>391.18744390931187</v>
      </c>
      <c r="GF98" s="60">
        <f t="shared" si="104"/>
        <v>261.46982358454386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0.22500940950340803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0.22500940950340803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237.69095999999982</v>
      </c>
      <c r="P99" s="14">
        <f t="shared" si="87"/>
        <v>57.942450096949393</v>
      </c>
      <c r="Q99" s="22">
        <f t="shared" ref="Q99:Q130" si="107">(O99+P99)*0.475*44/12</f>
        <v>514.89485591885318</v>
      </c>
      <c r="R99" s="60">
        <f t="shared" si="55"/>
        <v>791.14390811524061</v>
      </c>
      <c r="S99" s="60">
        <f ca="1">AVERAGE(OFFSET($R$3,0,0,'Données projet'!$E$9+1,1))-AVERAGE(OFFSET($H$3,0,0,'Données projet'!$E$9+1,1))</f>
        <v>469.15492079216403</v>
      </c>
      <c r="T99" s="60">
        <f t="shared" si="88"/>
        <v>250.47702091764884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262.69999999999982</v>
      </c>
      <c r="AJ99" s="14">
        <f>AI99*VLOOKUP('Données projet'!$B$10,Paramètres!$A$1:$I$89,3,0)*VLOOKUP('Données projet'!$B$10,Paramètres!$A$1:$I$89,5,0)</f>
        <v>221.29847999999987</v>
      </c>
      <c r="AK99" s="14">
        <f t="shared" si="89"/>
        <v>54.397007201397059</v>
      </c>
      <c r="AL99" s="22">
        <f t="shared" si="58"/>
        <v>480.16964020909967</v>
      </c>
      <c r="AM99" s="60">
        <f t="shared" si="59"/>
        <v>756.41869240548704</v>
      </c>
      <c r="AN99" s="60">
        <f ca="1">AVERAGE(OFFSET($AM$3,0,0,'Données projet'!$E$10+1,1))-AVERAGE(OFFSET($H$3,0,0,'Données projet'!$E$10+1,1))</f>
        <v>442.49274132121275</v>
      </c>
      <c r="AO99" s="60">
        <f t="shared" si="90"/>
        <v>237.37463556402756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1.3035332813160495E-13</v>
      </c>
      <c r="BF99" s="14">
        <f t="shared" si="91"/>
        <v>1.8987770485018903E-12</v>
      </c>
      <c r="BG99" s="22">
        <f t="shared" si="61"/>
        <v>3.5340687393033375E-12</v>
      </c>
      <c r="BH99" s="60">
        <f t="shared" si="62"/>
        <v>276.24905219639095</v>
      </c>
      <c r="BI99" s="60">
        <f ca="1">AVERAGE(OFFSET($BH$3,0,0,'Données projet'!$E$11+1,1))-AVERAGE(OFFSET($H$3,0,0,'Données projet'!$E$11+1,1))</f>
        <v>267.90768140488603</v>
      </c>
      <c r="BJ99" s="60">
        <f t="shared" si="92"/>
        <v>280.25465074992258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4.6111381379887463E-14</v>
      </c>
      <c r="CA99" s="14">
        <f t="shared" si="93"/>
        <v>7.5804141040779151E-13</v>
      </c>
      <c r="CB99" s="22">
        <f t="shared" si="64"/>
        <v>1.4005661123635408E-12</v>
      </c>
      <c r="CC99" s="60">
        <f t="shared" si="65"/>
        <v>276.24905219638885</v>
      </c>
      <c r="CD99" s="60">
        <f ca="1">AVERAGE(OFFSET($CC$3,0,0,'Données projet'!$E$12+1,1))-AVERAGE(OFFSET($H$3,0,0,'Données projet'!$E$12+1,1))</f>
        <v>308.6594206517259</v>
      </c>
      <c r="CE99" s="60">
        <f t="shared" si="94"/>
        <v>258.90832875500325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3.4615384615384586</v>
      </c>
      <c r="CT99" s="13">
        <f>IF('Données projet'!$A$140&gt;35,CT98+CS99-DB98,IF(A99&lt;'Données projet'!$A$140,$CQ$205^A99,IF(A99='Données projet'!$A$140,'Données projet'!$B$140,CT98+CS99-DB98)))</f>
        <v>232.30769230769215</v>
      </c>
      <c r="CU99" s="18">
        <f>CT99*VLOOKUP('Données projet'!$B$13,Paramètres!$A$1:$I$89,3,0)*VLOOKUP('Données projet'!$B$13,Paramètres!$A$1:$I$89,5,0)</f>
        <v>221.06399999999985</v>
      </c>
      <c r="CV99" s="14">
        <f t="shared" si="95"/>
        <v>54.346075887575267</v>
      </c>
      <c r="CW99" s="22">
        <f t="shared" si="67"/>
        <v>479.67254883752656</v>
      </c>
      <c r="CX99" s="60">
        <f t="shared" si="68"/>
        <v>755.92160103391393</v>
      </c>
      <c r="CY99" s="60">
        <f ca="1">AVERAGE(OFFSET($CX$3,0,0,'Données projet'!$E$13+1,1))-AVERAGE(OFFSET($H$3,0,0,'Données projet'!$E$13+1,1))</f>
        <v>397.63792993520934</v>
      </c>
      <c r="CZ99" s="60">
        <f t="shared" si="96"/>
        <v>300.63705521148802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3.5897435897435912</v>
      </c>
      <c r="DO99" s="13">
        <f>IF('Données projet'!$A$166&gt;35,DO98+DN99-DW98,IF(A99&lt;'Données projet'!$A$166,$DL$205^A99,IF(A99='Données projet'!$A$166,'Données projet'!$B$166,DO98+DN99-DW98)))</f>
        <v>293.33333333333343</v>
      </c>
      <c r="DP99" s="18">
        <f>DO99*VLOOKUP('Données projet'!$B$14,Paramètres!$A$1:$I$89,3,0)*VLOOKUP('Données projet'!$B$14,Paramètres!$A$1:$I$89,5,0)</f>
        <v>196.76800000000006</v>
      </c>
      <c r="DQ99" s="14">
        <f t="shared" si="97"/>
        <v>49.033199854505554</v>
      </c>
      <c r="DR99" s="22">
        <f t="shared" si="70"/>
        <v>428.10375641326391</v>
      </c>
      <c r="DS99" s="60">
        <f t="shared" si="71"/>
        <v>704.35280860965133</v>
      </c>
      <c r="DT99" s="60">
        <f ca="1">AVERAGE(OFFSET($DS$3,0,0,'Données projet'!$E$14+1,1))-AVERAGE(OFFSET($H$3,0,0,'Données projet'!$E$14+1,1))</f>
        <v>343.94240546037798</v>
      </c>
      <c r="DU99" s="60">
        <f t="shared" si="98"/>
        <v>277.30931495079346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0.20531896435157745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0.20531896435157745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-2.8421709430404007E-13</v>
      </c>
      <c r="EK99" s="18">
        <f>EJ99*VLOOKUP('Données projet'!$B$15,Paramètres!$A$1:$I$89,3,0)*VLOOKUP('Données projet'!$B$15,Paramètres!$A$1:$I$89,5,0)</f>
        <v>-2.2168933355715128E-13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308.76306523144956</v>
      </c>
      <c r="EP99" s="60">
        <f t="shared" si="100"/>
        <v>283.28099819802776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-1.1368683772161603E-13</v>
      </c>
      <c r="FF99" s="18">
        <f>FE99*VLOOKUP('Données projet'!$B$16,Paramètres!$A$1:$I$89,3,0)*VLOOKUP('Données projet'!$B$16,Paramètres!$A$1:$I$89,5,0)</f>
        <v>-9.9316821433603781E-14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296.01124173332352</v>
      </c>
      <c r="FK99" s="60">
        <f t="shared" si="102"/>
        <v>315.50730924873733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4.4000000000000004</v>
      </c>
      <c r="FZ99" s="13">
        <f>IF('Données projet'!$A$244&gt;35,FZ98+FY99-GH98,IF(A99&lt;'Données projet'!$A$244,$FW$205^A99,IF(A99='Données projet'!$A$244,'Données projet'!$B$244,FZ98+FY99-GH98)))</f>
        <v>238.39999999999989</v>
      </c>
      <c r="GA99" s="18">
        <f>FZ99*VLOOKUP('Données projet'!$B$17,Paramètres!$A$1:$I$89,3,0)*VLOOKUP('Données projet'!$B$17,Paramètres!$A$1:$I$89,5,0)</f>
        <v>230.58047999999991</v>
      </c>
      <c r="GB99" s="14">
        <f t="shared" si="103"/>
        <v>56.408176459819195</v>
      </c>
      <c r="GC99" s="22">
        <f t="shared" si="79"/>
        <v>499.83857666751811</v>
      </c>
      <c r="GD99" s="60">
        <f t="shared" si="80"/>
        <v>776.08762886390559</v>
      </c>
      <c r="GE99" s="60">
        <f ca="1">AVERAGE(OFFSET($GD$3,0,0,'Données projet'!$E$17+1,1))-AVERAGE(OFFSET($H$3,0,0,'Données projet'!$E$17+1,1))</f>
        <v>391.18744390931187</v>
      </c>
      <c r="GF99" s="60">
        <f t="shared" si="104"/>
        <v>261.46982358454386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0.21885651536780676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0.21885651536780676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241.94351999999981</v>
      </c>
      <c r="P100" s="14">
        <f t="shared" si="87"/>
        <v>58.857491789961337</v>
      </c>
      <c r="Q100" s="22">
        <f t="shared" si="107"/>
        <v>523.89509553418225</v>
      </c>
      <c r="R100" s="60">
        <f t="shared" si="55"/>
        <v>800.44052181356506</v>
      </c>
      <c r="S100" s="60">
        <f ca="1">AVERAGE(OFFSET($R$3,0,0,'Données projet'!$E$9+1,1))-AVERAGE(OFFSET($H$3,0,0,'Données projet'!$E$9+1,1))</f>
        <v>469.15492079216403</v>
      </c>
      <c r="T100" s="60">
        <f t="shared" si="88"/>
        <v>250.47702091764884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267.39999999999981</v>
      </c>
      <c r="AJ100" s="14">
        <f>AI100*VLOOKUP('Données projet'!$B$10,Paramètres!$A$1:$I$89,3,0)*VLOOKUP('Données projet'!$B$10,Paramètres!$A$1:$I$89,5,0)</f>
        <v>225.25775999999985</v>
      </c>
      <c r="AK100" s="14">
        <f t="shared" si="89"/>
        <v>55.256058371671443</v>
      </c>
      <c r="AL100" s="22">
        <f t="shared" si="58"/>
        <v>488.56156699732747</v>
      </c>
      <c r="AM100" s="60">
        <f t="shared" si="59"/>
        <v>765.10699327671023</v>
      </c>
      <c r="AN100" s="60">
        <f ca="1">AVERAGE(OFFSET($AM$3,0,0,'Données projet'!$E$10+1,1))-AVERAGE(OFFSET($H$3,0,0,'Données projet'!$E$10+1,1))</f>
        <v>442.49274132121275</v>
      </c>
      <c r="AO100" s="60">
        <f t="shared" si="90"/>
        <v>237.37463556402756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1.3035332813160495E-13</v>
      </c>
      <c r="BF100" s="14">
        <f t="shared" si="91"/>
        <v>1.8987770485018903E-12</v>
      </c>
      <c r="BG100" s="22">
        <f t="shared" si="61"/>
        <v>3.5340687393033375E-12</v>
      </c>
      <c r="BH100" s="60">
        <f t="shared" si="62"/>
        <v>276.54542627938633</v>
      </c>
      <c r="BI100" s="60">
        <f ca="1">AVERAGE(OFFSET($BH$3,0,0,'Données projet'!$E$11+1,1))-AVERAGE(OFFSET($H$3,0,0,'Données projet'!$E$11+1,1))</f>
        <v>267.90768140488603</v>
      </c>
      <c r="BJ100" s="60">
        <f t="shared" si="92"/>
        <v>280.25465074992258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4.6111381379887463E-14</v>
      </c>
      <c r="CA100" s="14">
        <f t="shared" si="93"/>
        <v>7.5804141040779151E-13</v>
      </c>
      <c r="CB100" s="22">
        <f t="shared" si="64"/>
        <v>1.4005661123635408E-12</v>
      </c>
      <c r="CC100" s="60">
        <f t="shared" si="65"/>
        <v>276.54542627938423</v>
      </c>
      <c r="CD100" s="60">
        <f ca="1">AVERAGE(OFFSET($CC$3,0,0,'Données projet'!$E$12+1,1))-AVERAGE(OFFSET($H$3,0,0,'Données projet'!$E$12+1,1))</f>
        <v>308.6594206517259</v>
      </c>
      <c r="CE100" s="60">
        <f t="shared" si="94"/>
        <v>258.90832875500325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3.4615384615384586</v>
      </c>
      <c r="CT100" s="13">
        <f>IF('Données projet'!$A$140&gt;35,CT99+CS100-DB99,IF(A100&lt;'Données projet'!$A$140,$CQ$205^A100,IF(A100='Données projet'!$A$140,'Données projet'!$B$140,CT99+CS100-DB99)))</f>
        <v>235.7692307692306</v>
      </c>
      <c r="CU100" s="18">
        <f>CT100*VLOOKUP('Données projet'!$B$13,Paramètres!$A$1:$I$89,3,0)*VLOOKUP('Données projet'!$B$13,Paramètres!$A$1:$I$89,5,0)</f>
        <v>224.35799999999986</v>
      </c>
      <c r="CV100" s="14">
        <f t="shared" si="95"/>
        <v>55.060991450318411</v>
      </c>
      <c r="CW100" s="22">
        <f t="shared" si="67"/>
        <v>486.65474344263771</v>
      </c>
      <c r="CX100" s="60">
        <f t="shared" si="68"/>
        <v>763.20016972202052</v>
      </c>
      <c r="CY100" s="60">
        <f ca="1">AVERAGE(OFFSET($CX$3,0,0,'Données projet'!$E$13+1,1))-AVERAGE(OFFSET($H$3,0,0,'Données projet'!$E$13+1,1))</f>
        <v>397.63792993520934</v>
      </c>
      <c r="CZ100" s="60">
        <f t="shared" si="96"/>
        <v>300.63705521148802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3.5897435897435912</v>
      </c>
      <c r="DO100" s="13">
        <f>IF('Données projet'!$A$166&gt;35,DO99+DN100-DW99,IF(A100&lt;'Données projet'!$A$166,$DL$205^A100,IF(A100='Données projet'!$A$166,'Données projet'!$B$166,DO99+DN100-DW99)))</f>
        <v>296.92307692307702</v>
      </c>
      <c r="DP100" s="18">
        <f>DO100*VLOOKUP('Données projet'!$B$14,Paramètres!$A$1:$I$89,3,0)*VLOOKUP('Données projet'!$B$14,Paramètres!$A$1:$I$89,5,0)</f>
        <v>199.17600000000007</v>
      </c>
      <c r="DQ100" s="14">
        <f t="shared" si="97"/>
        <v>49.563033976114944</v>
      </c>
      <c r="DR100" s="22">
        <f t="shared" si="70"/>
        <v>433.22048417506699</v>
      </c>
      <c r="DS100" s="60">
        <f t="shared" si="71"/>
        <v>709.76591045444979</v>
      </c>
      <c r="DT100" s="60">
        <f ca="1">AVERAGE(OFFSET($DS$3,0,0,'Données projet'!$E$14+1,1))-AVERAGE(OFFSET($H$3,0,0,'Données projet'!$E$14+1,1))</f>
        <v>343.94240546037798</v>
      </c>
      <c r="DU100" s="60">
        <f t="shared" si="98"/>
        <v>277.30931495079346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0.19970450647412849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0.19970450647412849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-2.8421709430404007E-13</v>
      </c>
      <c r="EK100" s="18">
        <f>EJ100*VLOOKUP('Données projet'!$B$15,Paramètres!$A$1:$I$89,3,0)*VLOOKUP('Données projet'!$B$15,Paramètres!$A$1:$I$89,5,0)</f>
        <v>-2.2168933355715128E-13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308.76306523144956</v>
      </c>
      <c r="EP100" s="60">
        <f t="shared" si="100"/>
        <v>283.28099819802776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-1.1368683772161603E-13</v>
      </c>
      <c r="FF100" s="18">
        <f>FE100*VLOOKUP('Données projet'!$B$16,Paramètres!$A$1:$I$89,3,0)*VLOOKUP('Données projet'!$B$16,Paramètres!$A$1:$I$89,5,0)</f>
        <v>-9.9316821433603781E-14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296.01124173332352</v>
      </c>
      <c r="FK100" s="60">
        <f t="shared" si="102"/>
        <v>315.50730924873733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4.4000000000000004</v>
      </c>
      <c r="FZ100" s="13">
        <f>IF('Données projet'!$A$244&gt;35,FZ99+FY100-GH99,IF(A100&lt;'Données projet'!$A$244,$FW$205^A100,IF(A100='Données projet'!$A$244,'Données projet'!$B$244,FZ99+FY100-GH99)))</f>
        <v>242.7999999999999</v>
      </c>
      <c r="GA100" s="18">
        <f>FZ100*VLOOKUP('Données projet'!$B$17,Paramètres!$A$1:$I$89,3,0)*VLOOKUP('Données projet'!$B$17,Paramètres!$A$1:$I$89,5,0)</f>
        <v>234.83615999999992</v>
      </c>
      <c r="GB100" s="14">
        <f t="shared" si="103"/>
        <v>57.327102622427432</v>
      </c>
      <c r="GC100" s="22">
        <f t="shared" si="79"/>
        <v>508.85101573406092</v>
      </c>
      <c r="GD100" s="60">
        <f t="shared" si="80"/>
        <v>785.39644201344368</v>
      </c>
      <c r="GE100" s="60">
        <f ca="1">AVERAGE(OFFSET($GD$3,0,0,'Données projet'!$E$17+1,1))-AVERAGE(OFFSET($H$3,0,0,'Données projet'!$E$17+1,1))</f>
        <v>391.18744390931187</v>
      </c>
      <c r="GF100" s="60">
        <f t="shared" si="104"/>
        <v>261.46982358454386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0.21287187244591013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0.21287187244591013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246.1960799999998</v>
      </c>
      <c r="P101" s="14">
        <f t="shared" si="87"/>
        <v>59.770663189456066</v>
      </c>
      <c r="Q101" s="22">
        <f t="shared" si="107"/>
        <v>532.8920777216357</v>
      </c>
      <c r="R101" s="60">
        <f t="shared" si="55"/>
        <v>809.72873665626707</v>
      </c>
      <c r="S101" s="60">
        <f ca="1">AVERAGE(OFFSET($R$3,0,0,'Données projet'!$E$9+1,1))-AVERAGE(OFFSET($H$3,0,0,'Données projet'!$E$9+1,1))</f>
        <v>469.15492079216403</v>
      </c>
      <c r="T101" s="60">
        <f t="shared" si="88"/>
        <v>250.47702091764884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272.0999999999998</v>
      </c>
      <c r="AJ101" s="14">
        <f>AI101*VLOOKUP('Données projet'!$B$10,Paramètres!$A$1:$I$89,3,0)*VLOOKUP('Données projet'!$B$10,Paramètres!$A$1:$I$89,5,0)</f>
        <v>229.21703999999988</v>
      </c>
      <c r="AK101" s="14">
        <f t="shared" si="89"/>
        <v>56.113353689893408</v>
      </c>
      <c r="AL101" s="22">
        <f t="shared" si="58"/>
        <v>496.95043567656421</v>
      </c>
      <c r="AM101" s="60">
        <f t="shared" si="59"/>
        <v>773.78709461119558</v>
      </c>
      <c r="AN101" s="60">
        <f ca="1">AVERAGE(OFFSET($AM$3,0,0,'Données projet'!$E$10+1,1))-AVERAGE(OFFSET($H$3,0,0,'Données projet'!$E$10+1,1))</f>
        <v>442.49274132121275</v>
      </c>
      <c r="AO101" s="60">
        <f t="shared" si="90"/>
        <v>237.37463556402756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1.3035332813160495E-13</v>
      </c>
      <c r="BF101" s="14">
        <f t="shared" si="91"/>
        <v>1.8987770485018903E-12</v>
      </c>
      <c r="BG101" s="22">
        <f t="shared" si="61"/>
        <v>3.5340687393033375E-12</v>
      </c>
      <c r="BH101" s="60">
        <f t="shared" si="62"/>
        <v>276.8366589346349</v>
      </c>
      <c r="BI101" s="60">
        <f ca="1">AVERAGE(OFFSET($BH$3,0,0,'Données projet'!$E$11+1,1))-AVERAGE(OFFSET($H$3,0,0,'Données projet'!$E$11+1,1))</f>
        <v>267.90768140488603</v>
      </c>
      <c r="BJ101" s="60">
        <f t="shared" si="92"/>
        <v>280.25465074992258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4.6111381379887463E-14</v>
      </c>
      <c r="CA101" s="14">
        <f t="shared" si="93"/>
        <v>7.5804141040779151E-13</v>
      </c>
      <c r="CB101" s="22">
        <f t="shared" si="64"/>
        <v>1.4005661123635408E-12</v>
      </c>
      <c r="CC101" s="60">
        <f t="shared" si="65"/>
        <v>276.83665893463279</v>
      </c>
      <c r="CD101" s="60">
        <f ca="1">AVERAGE(OFFSET($CC$3,0,0,'Données projet'!$E$12+1,1))-AVERAGE(OFFSET($H$3,0,0,'Données projet'!$E$12+1,1))</f>
        <v>308.6594206517259</v>
      </c>
      <c r="CE101" s="60">
        <f t="shared" si="94"/>
        <v>258.90832875500325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3.4615384615384586</v>
      </c>
      <c r="CT101" s="13">
        <f>IF('Données projet'!$A$140&gt;35,CT100+CS101-DB100,IF(A101&lt;'Données projet'!$A$140,$CQ$205^A101,IF(A101='Données projet'!$A$140,'Données projet'!$B$140,CT100+CS101-DB100)))</f>
        <v>239.23076923076906</v>
      </c>
      <c r="CU101" s="18">
        <f>CT101*VLOOKUP('Données projet'!$B$13,Paramètres!$A$1:$I$89,3,0)*VLOOKUP('Données projet'!$B$13,Paramètres!$A$1:$I$89,5,0)</f>
        <v>227.65199999999984</v>
      </c>
      <c r="CV101" s="14">
        <f t="shared" si="95"/>
        <v>55.774686239209757</v>
      </c>
      <c r="CW101" s="22">
        <f t="shared" si="67"/>
        <v>493.63481186662347</v>
      </c>
      <c r="CX101" s="60">
        <f t="shared" si="68"/>
        <v>770.47147080125478</v>
      </c>
      <c r="CY101" s="60">
        <f ca="1">AVERAGE(OFFSET($CX$3,0,0,'Données projet'!$E$13+1,1))-AVERAGE(OFFSET($H$3,0,0,'Données projet'!$E$13+1,1))</f>
        <v>397.63792993520934</v>
      </c>
      <c r="CZ101" s="60">
        <f t="shared" si="96"/>
        <v>300.63705521148802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3.5897435897435912</v>
      </c>
      <c r="DO101" s="13">
        <f>IF('Données projet'!$A$166&gt;35,DO100+DN101-DW100,IF(A101&lt;'Données projet'!$A$166,$DL$205^A101,IF(A101='Données projet'!$A$166,'Données projet'!$B$166,DO100+DN101-DW100)))</f>
        <v>300.51282051282061</v>
      </c>
      <c r="DP101" s="18">
        <f>DO101*VLOOKUP('Données projet'!$B$14,Paramètres!$A$1:$I$89,3,0)*VLOOKUP('Données projet'!$B$14,Paramètres!$A$1:$I$89,5,0)</f>
        <v>201.58400000000006</v>
      </c>
      <c r="DQ101" s="14">
        <f t="shared" si="97"/>
        <v>50.092122991789054</v>
      </c>
      <c r="DR101" s="22">
        <f t="shared" si="70"/>
        <v>438.33591421069929</v>
      </c>
      <c r="DS101" s="60">
        <f t="shared" si="71"/>
        <v>715.17257314533072</v>
      </c>
      <c r="DT101" s="60">
        <f ca="1">AVERAGE(OFFSET($DS$3,0,0,'Données projet'!$E$14+1,1))-AVERAGE(OFFSET($H$3,0,0,'Données projet'!$E$14+1,1))</f>
        <v>343.94240546037798</v>
      </c>
      <c r="DU101" s="60">
        <f t="shared" si="98"/>
        <v>277.30931495079346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0.19424357624258989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0.19424357624258989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-2.8421709430404007E-13</v>
      </c>
      <c r="EK101" s="18">
        <f>EJ101*VLOOKUP('Données projet'!$B$15,Paramètres!$A$1:$I$89,3,0)*VLOOKUP('Données projet'!$B$15,Paramètres!$A$1:$I$89,5,0)</f>
        <v>-2.2168933355715128E-13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308.76306523144956</v>
      </c>
      <c r="EP101" s="60">
        <f t="shared" si="100"/>
        <v>283.28099819802776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-1.1368683772161603E-13</v>
      </c>
      <c r="FF101" s="18">
        <f>FE101*VLOOKUP('Données projet'!$B$16,Paramètres!$A$1:$I$89,3,0)*VLOOKUP('Données projet'!$B$16,Paramètres!$A$1:$I$89,5,0)</f>
        <v>-9.9316821433603781E-14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296.01124173332352</v>
      </c>
      <c r="FK101" s="60">
        <f t="shared" si="102"/>
        <v>315.50730924873733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4.4000000000000004</v>
      </c>
      <c r="FZ101" s="13">
        <f>IF('Données projet'!$A$244&gt;35,FZ100+FY101-GH100,IF(A101&lt;'Données projet'!$A$244,$FW$205^A101,IF(A101='Données projet'!$A$244,'Données projet'!$B$244,FZ100+FY101-GH100)))</f>
        <v>247.1999999999999</v>
      </c>
      <c r="GA101" s="18">
        <f>FZ101*VLOOKUP('Données projet'!$B$17,Paramètres!$A$1:$I$89,3,0)*VLOOKUP('Données projet'!$B$17,Paramètres!$A$1:$I$89,5,0)</f>
        <v>239.09183999999993</v>
      </c>
      <c r="GB101" s="14">
        <f t="shared" si="103"/>
        <v>58.244092341877483</v>
      </c>
      <c r="GC101" s="22">
        <f t="shared" si="79"/>
        <v>517.86008216210314</v>
      </c>
      <c r="GD101" s="60">
        <f t="shared" si="80"/>
        <v>794.69674109673451</v>
      </c>
      <c r="GE101" s="60">
        <f ca="1">AVERAGE(OFFSET($GD$3,0,0,'Données projet'!$E$17+1,1))-AVERAGE(OFFSET($H$3,0,0,'Données projet'!$E$17+1,1))</f>
        <v>391.18744390931187</v>
      </c>
      <c r="GF101" s="60">
        <f t="shared" si="104"/>
        <v>261.46982358454386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0.20705087989943147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0.20705087989943147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250.44863999999981</v>
      </c>
      <c r="P102" s="14">
        <f t="shared" si="87"/>
        <v>60.682000328889998</v>
      </c>
      <c r="Q102" s="22">
        <f t="shared" si="107"/>
        <v>541.885865239483</v>
      </c>
      <c r="R102" s="60">
        <f t="shared" si="55"/>
        <v>819.00870459389307</v>
      </c>
      <c r="S102" s="60">
        <f ca="1">AVERAGE(OFFSET($R$3,0,0,'Données projet'!$E$9+1,1))-AVERAGE(OFFSET($H$3,0,0,'Données projet'!$E$9+1,1))</f>
        <v>469.15492079216403</v>
      </c>
      <c r="T102" s="60">
        <f t="shared" si="88"/>
        <v>250.47702091764884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276.79999999999978</v>
      </c>
      <c r="AJ102" s="14">
        <f>AI102*VLOOKUP('Données projet'!$B$10,Paramètres!$A$1:$I$89,3,0)*VLOOKUP('Données projet'!$B$10,Paramètres!$A$1:$I$89,5,0)</f>
        <v>233.17631999999983</v>
      </c>
      <c r="AK102" s="14">
        <f t="shared" si="89"/>
        <v>56.968926984666723</v>
      </c>
      <c r="AL102" s="22">
        <f t="shared" si="58"/>
        <v>505.33630516496095</v>
      </c>
      <c r="AM102" s="60">
        <f t="shared" si="59"/>
        <v>782.45914451937108</v>
      </c>
      <c r="AN102" s="60">
        <f ca="1">AVERAGE(OFFSET($AM$3,0,0,'Données projet'!$E$10+1,1))-AVERAGE(OFFSET($H$3,0,0,'Données projet'!$E$10+1,1))</f>
        <v>442.49274132121275</v>
      </c>
      <c r="AO102" s="60">
        <f t="shared" si="90"/>
        <v>237.37463556402756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1.3035332813160495E-13</v>
      </c>
      <c r="BF102" s="14">
        <f t="shared" si="91"/>
        <v>1.8987770485018903E-12</v>
      </c>
      <c r="BG102" s="22">
        <f t="shared" si="61"/>
        <v>3.5340687393033375E-12</v>
      </c>
      <c r="BH102" s="60">
        <f t="shared" si="62"/>
        <v>277.12283935441366</v>
      </c>
      <c r="BI102" s="60">
        <f ca="1">AVERAGE(OFFSET($BH$3,0,0,'Données projet'!$E$11+1,1))-AVERAGE(OFFSET($H$3,0,0,'Données projet'!$E$11+1,1))</f>
        <v>267.90768140488603</v>
      </c>
      <c r="BJ102" s="60">
        <f t="shared" si="92"/>
        <v>280.25465074992258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4.6111381379887463E-14</v>
      </c>
      <c r="CA102" s="14">
        <f t="shared" si="93"/>
        <v>7.5804141040779151E-13</v>
      </c>
      <c r="CB102" s="22">
        <f t="shared" si="64"/>
        <v>1.4005661123635408E-12</v>
      </c>
      <c r="CC102" s="60">
        <f t="shared" si="65"/>
        <v>277.12283935441155</v>
      </c>
      <c r="CD102" s="60">
        <f ca="1">AVERAGE(OFFSET($CC$3,0,0,'Données projet'!$E$12+1,1))-AVERAGE(OFFSET($H$3,0,0,'Données projet'!$E$12+1,1))</f>
        <v>308.6594206517259</v>
      </c>
      <c r="CE102" s="60">
        <f t="shared" si="94"/>
        <v>258.90832875500325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3.4615384615384586</v>
      </c>
      <c r="CT102" s="13">
        <f>IF('Données projet'!$A$140&gt;35,CT101+CS102-DB101,IF(A102&lt;'Données projet'!$A$140,$CQ$205^A102,IF(A102='Données projet'!$A$140,'Données projet'!$B$140,CT101+CS102-DB101)))</f>
        <v>242.69230769230751</v>
      </c>
      <c r="CU102" s="18">
        <f>CT102*VLOOKUP('Données projet'!$B$13,Paramètres!$A$1:$I$89,3,0)*VLOOKUP('Données projet'!$B$13,Paramètres!$A$1:$I$89,5,0)</f>
        <v>230.94599999999986</v>
      </c>
      <c r="CV102" s="14">
        <f t="shared" si="95"/>
        <v>56.487179959047957</v>
      </c>
      <c r="CW102" s="22">
        <f t="shared" si="67"/>
        <v>500.61278842867495</v>
      </c>
      <c r="CX102" s="60">
        <f t="shared" si="68"/>
        <v>777.73562778308508</v>
      </c>
      <c r="CY102" s="60">
        <f ca="1">AVERAGE(OFFSET($CX$3,0,0,'Données projet'!$E$13+1,1))-AVERAGE(OFFSET($H$3,0,0,'Données projet'!$E$13+1,1))</f>
        <v>397.63792993520934</v>
      </c>
      <c r="CZ102" s="60">
        <f t="shared" si="96"/>
        <v>300.63705521148802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3.5897435897435912</v>
      </c>
      <c r="DO102" s="13">
        <f>IF('Données projet'!$A$166&gt;35,DO101+DN102-DW101,IF(A102&lt;'Données projet'!$A$166,$DL$205^A102,IF(A102='Données projet'!$A$166,'Données projet'!$B$166,DO101+DN102-DW101)))</f>
        <v>304.1025641025642</v>
      </c>
      <c r="DP102" s="18">
        <f>DO102*VLOOKUP('Données projet'!$B$14,Paramètres!$A$1:$I$89,3,0)*VLOOKUP('Données projet'!$B$14,Paramètres!$A$1:$I$89,5,0)</f>
        <v>203.99200000000008</v>
      </c>
      <c r="DQ102" s="14">
        <f t="shared" si="97"/>
        <v>50.620476831708423</v>
      </c>
      <c r="DR102" s="22">
        <f t="shared" si="70"/>
        <v>443.45006381522563</v>
      </c>
      <c r="DS102" s="60">
        <f t="shared" si="71"/>
        <v>720.57290316963577</v>
      </c>
      <c r="DT102" s="60">
        <f ca="1">AVERAGE(OFFSET($DS$3,0,0,'Données projet'!$E$14+1,1))-AVERAGE(OFFSET($H$3,0,0,'Données projet'!$E$14+1,1))</f>
        <v>343.94240546037798</v>
      </c>
      <c r="DU102" s="60">
        <f t="shared" si="98"/>
        <v>277.30931495079346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0.18893197543541054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0.18893197543541054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-2.8421709430404007E-13</v>
      </c>
      <c r="EK102" s="18">
        <f>EJ102*VLOOKUP('Données projet'!$B$15,Paramètres!$A$1:$I$89,3,0)*VLOOKUP('Données projet'!$B$15,Paramètres!$A$1:$I$89,5,0)</f>
        <v>-2.2168933355715128E-13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308.76306523144956</v>
      </c>
      <c r="EP102" s="60">
        <f t="shared" si="100"/>
        <v>283.28099819802776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-1.1368683772161603E-13</v>
      </c>
      <c r="FF102" s="18">
        <f>FE102*VLOOKUP('Données projet'!$B$16,Paramètres!$A$1:$I$89,3,0)*VLOOKUP('Données projet'!$B$16,Paramètres!$A$1:$I$89,5,0)</f>
        <v>-9.9316821433603781E-14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296.01124173332352</v>
      </c>
      <c r="FK102" s="60">
        <f t="shared" si="102"/>
        <v>315.50730924873733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4.4000000000000004</v>
      </c>
      <c r="FZ102" s="13">
        <f>IF('Données projet'!$A$244&gt;35,FZ101+FY102-GH101,IF(A102&lt;'Données projet'!$A$244,$FW$205^A102,IF(A102='Données projet'!$A$244,'Données projet'!$B$244,FZ101+FY102-GH101)))</f>
        <v>251.59999999999991</v>
      </c>
      <c r="GA102" s="18">
        <f>FZ102*VLOOKUP('Données projet'!$B$17,Paramètres!$A$1:$I$89,3,0)*VLOOKUP('Données projet'!$B$17,Paramètres!$A$1:$I$89,5,0)</f>
        <v>243.34751999999992</v>
      </c>
      <c r="GB102" s="14">
        <f t="shared" si="103"/>
        <v>59.159184061872203</v>
      </c>
      <c r="GC102" s="22">
        <f t="shared" si="79"/>
        <v>526.86584290776057</v>
      </c>
      <c r="GD102" s="60">
        <f t="shared" si="80"/>
        <v>803.98868226217064</v>
      </c>
      <c r="GE102" s="60">
        <f ca="1">AVERAGE(OFFSET($GD$3,0,0,'Données projet'!$E$17+1,1))-AVERAGE(OFFSET($H$3,0,0,'Données projet'!$E$17+1,1))</f>
        <v>391.18744390931187</v>
      </c>
      <c r="GF102" s="60">
        <f t="shared" si="104"/>
        <v>261.46982358454386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0.20138906270024895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0.20138906270024895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254.7011999999998</v>
      </c>
      <c r="P103" s="14">
        <f t="shared" si="87"/>
        <v>61.591537947915171</v>
      </c>
      <c r="Q103" s="22">
        <f t="shared" si="107"/>
        <v>550.87651859261859</v>
      </c>
      <c r="R103" s="60">
        <f t="shared" si="55"/>
        <v>828.28057377632786</v>
      </c>
      <c r="S103" s="60">
        <f ca="1">AVERAGE(OFFSET($R$3,0,0,'Données projet'!$E$9+1,1))-AVERAGE(OFFSET($H$3,0,0,'Données projet'!$E$9+1,1))</f>
        <v>469.15492079216403</v>
      </c>
      <c r="T103" s="60">
        <f t="shared" si="88"/>
        <v>250.47702091764884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281.49999999999977</v>
      </c>
      <c r="AJ103" s="14">
        <f>AI103*VLOOKUP('Données projet'!$B$10,Paramètres!$A$1:$I$89,3,0)*VLOOKUP('Données projet'!$B$10,Paramètres!$A$1:$I$89,5,0)</f>
        <v>237.13559999999981</v>
      </c>
      <c r="AK103" s="14">
        <f t="shared" si="89"/>
        <v>57.822810869957614</v>
      </c>
      <c r="AL103" s="22">
        <f t="shared" si="58"/>
        <v>513.71923226517583</v>
      </c>
      <c r="AM103" s="60">
        <f t="shared" si="59"/>
        <v>791.12328744888509</v>
      </c>
      <c r="AN103" s="60">
        <f ca="1">AVERAGE(OFFSET($AM$3,0,0,'Données projet'!$E$10+1,1))-AVERAGE(OFFSET($H$3,0,0,'Données projet'!$E$10+1,1))</f>
        <v>442.49274132121275</v>
      </c>
      <c r="AO103" s="60">
        <f t="shared" si="90"/>
        <v>237.37463556402756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1.3035332813160495E-13</v>
      </c>
      <c r="BF103" s="14">
        <f t="shared" si="91"/>
        <v>1.8987770485018903E-12</v>
      </c>
      <c r="BG103" s="22">
        <f t="shared" si="61"/>
        <v>3.5340687393033375E-12</v>
      </c>
      <c r="BH103" s="60">
        <f t="shared" si="62"/>
        <v>277.40405518371273</v>
      </c>
      <c r="BI103" s="60">
        <f ca="1">AVERAGE(OFFSET($BH$3,0,0,'Données projet'!$E$11+1,1))-AVERAGE(OFFSET($H$3,0,0,'Données projet'!$E$11+1,1))</f>
        <v>267.90768140488603</v>
      </c>
      <c r="BJ103" s="60">
        <f t="shared" si="92"/>
        <v>280.25465074992258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4.6111381379887463E-14</v>
      </c>
      <c r="CA103" s="14">
        <f t="shared" si="93"/>
        <v>7.5804141040779151E-13</v>
      </c>
      <c r="CB103" s="22">
        <f t="shared" si="64"/>
        <v>1.4005661123635408E-12</v>
      </c>
      <c r="CC103" s="60">
        <f t="shared" si="65"/>
        <v>277.40405518371062</v>
      </c>
      <c r="CD103" s="60">
        <f ca="1">AVERAGE(OFFSET($CC$3,0,0,'Données projet'!$E$12+1,1))-AVERAGE(OFFSET($H$3,0,0,'Données projet'!$E$12+1,1))</f>
        <v>308.6594206517259</v>
      </c>
      <c r="CE103" s="60">
        <f t="shared" si="94"/>
        <v>258.90832875500325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246.15384615384613</v>
      </c>
      <c r="CR103" s="13">
        <f>VLOOKUP(A103,'Données projet'!$A$139:$I$159,9,0)</f>
        <v>3.4615384615384586</v>
      </c>
      <c r="CS103" s="13">
        <f t="array" ref="CS103">INDEX(CR:CR,MIN(IF(ISNUMBER(CR103:CR299),ROW(CR103:CR299),"")))</f>
        <v>3.4615384615384586</v>
      </c>
      <c r="CT103" s="13">
        <f>IF('Données projet'!$A$140&gt;35,CT102+CS103-DB102,IF(A103&lt;'Données projet'!$A$140,$CQ$205^A103,IF(A103='Données projet'!$A$140,'Données projet'!$B$140,CT102+CS103-DB102)))</f>
        <v>246.15384615384596</v>
      </c>
      <c r="CU103" s="18">
        <f>CT103*VLOOKUP('Données projet'!$B$13,Paramètres!$A$1:$I$89,3,0)*VLOOKUP('Données projet'!$B$13,Paramètres!$A$1:$I$89,5,0)</f>
        <v>234.23999999999984</v>
      </c>
      <c r="CV103" s="14">
        <f t="shared" si="95"/>
        <v>57.19849172024869</v>
      </c>
      <c r="CW103" s="22">
        <f t="shared" si="67"/>
        <v>507.58870641276621</v>
      </c>
      <c r="CX103" s="60">
        <f t="shared" si="68"/>
        <v>784.99276159647548</v>
      </c>
      <c r="CY103" s="60">
        <f ca="1">AVERAGE(OFFSET($CX$3,0,0,'Données projet'!$E$13+1,1))-AVERAGE(OFFSET($H$3,0,0,'Données projet'!$E$13+1,1))</f>
        <v>397.63792993520934</v>
      </c>
      <c r="CZ103" s="60">
        <f t="shared" si="96"/>
        <v>300.63705521148802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23.717948717948715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307.69230769230768</v>
      </c>
      <c r="DM103" s="13">
        <f>VLOOKUP(A103,'Données projet'!$A$165:$I$185,9,0)</f>
        <v>3.5897435897435912</v>
      </c>
      <c r="DN103" s="13">
        <f t="array" ref="DN103">INDEX(DM:DM,MIN(IF(ISNUMBER(DM103:DM299),ROW(DM103:DM299),"")))</f>
        <v>3.5897435897435912</v>
      </c>
      <c r="DO103" s="13">
        <f>IF('Données projet'!$A$166&gt;35,DO102+DN103-DW102,IF(A103&lt;'Données projet'!$A$166,$DL$205^A103,IF(A103='Données projet'!$A$166,'Données projet'!$B$166,DO102+DN103-DW102)))</f>
        <v>307.69230769230779</v>
      </c>
      <c r="DP103" s="18">
        <f>DO103*VLOOKUP('Données projet'!$B$14,Paramètres!$A$1:$I$89,3,0)*VLOOKUP('Données projet'!$B$14,Paramètres!$A$1:$I$89,5,0)</f>
        <v>206.40000000000006</v>
      </c>
      <c r="DQ103" s="14">
        <f t="shared" si="97"/>
        <v>51.148105178123217</v>
      </c>
      <c r="DR103" s="22">
        <f t="shared" si="70"/>
        <v>448.56294985189794</v>
      </c>
      <c r="DS103" s="60">
        <f t="shared" si="71"/>
        <v>725.96700503560714</v>
      </c>
      <c r="DT103" s="60">
        <f ca="1">AVERAGE(OFFSET($DS$3,0,0,'Données projet'!$E$14+1,1))-AVERAGE(OFFSET($H$3,0,0,'Données projet'!$E$14+1,1))</f>
        <v>343.94240546037798</v>
      </c>
      <c r="DU103" s="60">
        <f t="shared" si="98"/>
        <v>277.30931495079346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22.435897435897434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0.18376562063162846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0.18376562063162846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-2.8421709430404007E-13</v>
      </c>
      <c r="EK103" s="18">
        <f>EJ103*VLOOKUP('Données projet'!$B$15,Paramètres!$A$1:$I$89,3,0)*VLOOKUP('Données projet'!$B$15,Paramètres!$A$1:$I$89,5,0)</f>
        <v>-2.2168933355715128E-13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308.76306523144956</v>
      </c>
      <c r="EP103" s="60">
        <f t="shared" si="100"/>
        <v>283.28099819802776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-9.9316821433603781E-14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296.01124173332352</v>
      </c>
      <c r="FK103" s="60">
        <f t="shared" si="102"/>
        <v>315.50730924873733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256</v>
      </c>
      <c r="FX103" s="13">
        <f>VLOOKUP(A103,'Données projet'!$A$243:$I$263,9,0)</f>
        <v>4.4000000000000004</v>
      </c>
      <c r="FY103" s="13">
        <f t="array" ref="FY103">INDEX(FX:FX,MIN(IF(ISNUMBER(FX103:FX299),ROW(FX103:FX299),"")))</f>
        <v>4.4000000000000004</v>
      </c>
      <c r="FZ103" s="13">
        <f>IF('Données projet'!$A$244&gt;35,FZ102+FY103-GH102,IF(A103&lt;'Données projet'!$A$244,$FW$205^A103,IF(A103='Données projet'!$A$244,'Données projet'!$B$244,FZ102+FY103-GH102)))</f>
        <v>255.99999999999991</v>
      </c>
      <c r="GA103" s="18">
        <f>FZ103*VLOOKUP('Données projet'!$B$17,Paramètres!$A$1:$I$89,3,0)*VLOOKUP('Données projet'!$B$17,Paramètres!$A$1:$I$89,5,0)</f>
        <v>247.60319999999993</v>
      </c>
      <c r="GB103" s="14">
        <f t="shared" si="103"/>
        <v>60.072414804475414</v>
      </c>
      <c r="GC103" s="22">
        <f t="shared" si="79"/>
        <v>535.86836245112784</v>
      </c>
      <c r="GD103" s="60">
        <f t="shared" si="80"/>
        <v>813.27241763483698</v>
      </c>
      <c r="GE103" s="60">
        <f ca="1">AVERAGE(OFFSET($GD$3,0,0,'Données projet'!$E$17+1,1))-AVERAGE(OFFSET($H$3,0,0,'Données projet'!$E$17+1,1))</f>
        <v>391.18744390931187</v>
      </c>
      <c r="GF103" s="60">
        <f t="shared" si="104"/>
        <v>261.46982358454386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30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0.19588206819012011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0.19588206819012011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258.95375999999976</v>
      </c>
      <c r="P104" s="14">
        <f t="shared" si="87"/>
        <v>62.499309559645262</v>
      </c>
      <c r="Q104" s="22">
        <f t="shared" si="107"/>
        <v>559.86409614971501</v>
      </c>
      <c r="R104" s="60">
        <f t="shared" si="55"/>
        <v>837.54448869678936</v>
      </c>
      <c r="S104" s="60">
        <f ca="1">AVERAGE(OFFSET($R$3,0,0,'Données projet'!$E$9+1,1))-AVERAGE(OFFSET($H$3,0,0,'Données projet'!$E$9+1,1))</f>
        <v>469.15492079216403</v>
      </c>
      <c r="T104" s="60">
        <f t="shared" si="88"/>
        <v>250.47702091764884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286.19999999999976</v>
      </c>
      <c r="AJ104" s="14">
        <f>AI104*VLOOKUP('Données projet'!$B$10,Paramètres!$A$1:$I$89,3,0)*VLOOKUP('Données projet'!$B$10,Paramètres!$A$1:$I$89,5,0)</f>
        <v>241.09487999999985</v>
      </c>
      <c r="AK104" s="14">
        <f t="shared" si="89"/>
        <v>58.675036808244307</v>
      </c>
      <c r="AL104" s="22">
        <f t="shared" si="58"/>
        <v>522.0992717743585</v>
      </c>
      <c r="AM104" s="60">
        <f t="shared" si="59"/>
        <v>799.77966432143285</v>
      </c>
      <c r="AN104" s="60">
        <f ca="1">AVERAGE(OFFSET($AM$3,0,0,'Données projet'!$E$10+1,1))-AVERAGE(OFFSET($H$3,0,0,'Données projet'!$E$10+1,1))</f>
        <v>442.49274132121275</v>
      </c>
      <c r="AO104" s="60">
        <f t="shared" si="90"/>
        <v>237.37463556402756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1.3035332813160495E-13</v>
      </c>
      <c r="BF104" s="14">
        <f t="shared" si="91"/>
        <v>1.8987770485018903E-12</v>
      </c>
      <c r="BG104" s="22">
        <f t="shared" si="61"/>
        <v>3.5340687393033375E-12</v>
      </c>
      <c r="BH104" s="60">
        <f t="shared" si="62"/>
        <v>277.68039254707793</v>
      </c>
      <c r="BI104" s="60">
        <f ca="1">AVERAGE(OFFSET($BH$3,0,0,'Données projet'!$E$11+1,1))-AVERAGE(OFFSET($H$3,0,0,'Données projet'!$E$11+1,1))</f>
        <v>267.90768140488603</v>
      </c>
      <c r="BJ104" s="60">
        <f t="shared" si="92"/>
        <v>280.25465074992258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4.6111381379887463E-14</v>
      </c>
      <c r="CA104" s="14">
        <f t="shared" si="93"/>
        <v>7.5804141040779151E-13</v>
      </c>
      <c r="CB104" s="22">
        <f t="shared" si="64"/>
        <v>1.4005661123635408E-12</v>
      </c>
      <c r="CC104" s="60">
        <f t="shared" si="65"/>
        <v>277.68039254707583</v>
      </c>
      <c r="CD104" s="60">
        <f ca="1">AVERAGE(OFFSET($CC$3,0,0,'Données projet'!$E$12+1,1))-AVERAGE(OFFSET($H$3,0,0,'Données projet'!$E$12+1,1))</f>
        <v>308.6594206517259</v>
      </c>
      <c r="CE104" s="60">
        <f t="shared" si="94"/>
        <v>258.90832875500325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3.0769230769230802</v>
      </c>
      <c r="CT104" s="13">
        <f>IF('Données projet'!$A$140&gt;35,CT103+CS104-DB103,IF(A104&lt;'Données projet'!$A$140,$CQ$205^A104,IF(A104='Données projet'!$A$140,'Données projet'!$B$140,CT103+CS104-DB103)))</f>
        <v>225.51282051282033</v>
      </c>
      <c r="CU104" s="18">
        <f>CT104*VLOOKUP('Données projet'!$B$13,Paramètres!$A$1:$I$89,3,0)*VLOOKUP('Données projet'!$B$13,Paramètres!$A$1:$I$89,5,0)</f>
        <v>214.59799999999981</v>
      </c>
      <c r="CV104" s="14">
        <f t="shared" si="95"/>
        <v>52.939094303283817</v>
      </c>
      <c r="CW104" s="22">
        <f t="shared" si="67"/>
        <v>465.96043924488566</v>
      </c>
      <c r="CX104" s="60">
        <f t="shared" si="68"/>
        <v>743.64083179196007</v>
      </c>
      <c r="CY104" s="60">
        <f ca="1">AVERAGE(OFFSET($CX$3,0,0,'Données projet'!$E$13+1,1))-AVERAGE(OFFSET($H$3,0,0,'Données projet'!$E$13+1,1))</f>
        <v>397.63792993520934</v>
      </c>
      <c r="CZ104" s="60">
        <f t="shared" si="96"/>
        <v>300.63705521148802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3.2051282051282102</v>
      </c>
      <c r="DO104" s="13">
        <f>IF('Données projet'!$A$166&gt;35,DO103+DN104-DW103,IF(A104&lt;'Données projet'!$A$166,$DL$205^A104,IF(A104='Données projet'!$A$166,'Données projet'!$B$166,DO103+DN104-DW103)))</f>
        <v>288.46153846153857</v>
      </c>
      <c r="DP104" s="18">
        <f>DO104*VLOOKUP('Données projet'!$B$14,Paramètres!$A$1:$I$89,3,0)*VLOOKUP('Données projet'!$B$14,Paramètres!$A$1:$I$89,5,0)</f>
        <v>193.50000000000006</v>
      </c>
      <c r="DQ104" s="14">
        <f t="shared" si="97"/>
        <v>48.312929194247424</v>
      </c>
      <c r="DR104" s="22">
        <f t="shared" si="70"/>
        <v>421.15751834664769</v>
      </c>
      <c r="DS104" s="60">
        <f t="shared" si="71"/>
        <v>698.8379108937221</v>
      </c>
      <c r="DT104" s="60">
        <f ca="1">AVERAGE(OFFSET($DS$3,0,0,'Données projet'!$E$14+1,1))-AVERAGE(OFFSET($H$3,0,0,'Données projet'!$E$14+1,1))</f>
        <v>343.94240546037798</v>
      </c>
      <c r="DU104" s="60">
        <f t="shared" si="98"/>
        <v>277.30931495079346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0.17874054007164258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0.17874054007164258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-2.8421709430404007E-13</v>
      </c>
      <c r="EK104" s="18">
        <f>EJ104*VLOOKUP('Données projet'!$B$15,Paramètres!$A$1:$I$89,3,0)*VLOOKUP('Données projet'!$B$15,Paramètres!$A$1:$I$89,5,0)</f>
        <v>-2.2168933355715128E-13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308.76306523144956</v>
      </c>
      <c r="EP104" s="60">
        <f t="shared" si="100"/>
        <v>283.28099819802776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-9.9316821433603781E-14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296.01124173332352</v>
      </c>
      <c r="FK104" s="60">
        <f t="shared" si="102"/>
        <v>315.50730924873733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3.9</v>
      </c>
      <c r="FZ104" s="13">
        <f>IF('Données projet'!$A$244&gt;35,FZ103+FY104-GH103,IF(A104&lt;'Données projet'!$A$244,$FW$205^A104,IF(A104='Données projet'!$A$244,'Données projet'!$B$244,FZ103+FY104-GH103)))</f>
        <v>229.89999999999992</v>
      </c>
      <c r="GA104" s="18">
        <f>FZ104*VLOOKUP('Données projet'!$B$17,Paramètres!$A$1:$I$89,3,0)*VLOOKUP('Données projet'!$B$17,Paramètres!$A$1:$I$89,5,0)</f>
        <v>222.35927999999993</v>
      </c>
      <c r="GB104" s="14">
        <f t="shared" si="103"/>
        <v>54.627344798341738</v>
      </c>
      <c r="GC104" s="22">
        <f t="shared" si="79"/>
        <v>482.41837152377838</v>
      </c>
      <c r="GD104" s="60">
        <f t="shared" si="80"/>
        <v>760.09876407085278</v>
      </c>
      <c r="GE104" s="60">
        <f ca="1">AVERAGE(OFFSET($GD$3,0,0,'Données projet'!$E$17+1,1))-AVERAGE(OFFSET($H$3,0,0,'Données projet'!$E$17+1,1))</f>
        <v>391.18744390931187</v>
      </c>
      <c r="GF104" s="60">
        <f t="shared" si="104"/>
        <v>261.46982358454386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0.190525662734471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0.190525662734471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263.20631999999978</v>
      </c>
      <c r="P105" s="14">
        <f t="shared" si="87"/>
        <v>63.405347513378558</v>
      </c>
      <c r="Q105" s="22">
        <f t="shared" si="107"/>
        <v>568.84865425246721</v>
      </c>
      <c r="R105" s="60">
        <f t="shared" si="55"/>
        <v>846.80059032745021</v>
      </c>
      <c r="S105" s="60">
        <f ca="1">AVERAGE(OFFSET($R$3,0,0,'Données projet'!$E$9+1,1))-AVERAGE(OFFSET($H$3,0,0,'Données projet'!$E$9+1,1))</f>
        <v>469.15492079216403</v>
      </c>
      <c r="T105" s="60">
        <f t="shared" si="88"/>
        <v>250.47702091764884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290.89999999999975</v>
      </c>
      <c r="AJ105" s="14">
        <f>AI105*VLOOKUP('Données projet'!$B$10,Paramètres!$A$1:$I$89,3,0)*VLOOKUP('Données projet'!$B$10,Paramètres!$A$1:$I$89,5,0)</f>
        <v>245.0541599999998</v>
      </c>
      <c r="AK105" s="14">
        <f t="shared" si="89"/>
        <v>59.525635169402783</v>
      </c>
      <c r="AL105" s="22">
        <f t="shared" si="58"/>
        <v>530.47647658670951</v>
      </c>
      <c r="AM105" s="60">
        <f t="shared" si="59"/>
        <v>808.42841266169239</v>
      </c>
      <c r="AN105" s="60">
        <f ca="1">AVERAGE(OFFSET($AM$3,0,0,'Données projet'!$E$10+1,1))-AVERAGE(OFFSET($H$3,0,0,'Données projet'!$E$10+1,1))</f>
        <v>442.49274132121275</v>
      </c>
      <c r="AO105" s="60">
        <f t="shared" si="90"/>
        <v>237.37463556402756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1.3035332813160495E-13</v>
      </c>
      <c r="BF105" s="14">
        <f t="shared" si="91"/>
        <v>1.8987770485018903E-12</v>
      </c>
      <c r="BG105" s="22">
        <f t="shared" si="61"/>
        <v>3.5340687393033375E-12</v>
      </c>
      <c r="BH105" s="60">
        <f t="shared" si="62"/>
        <v>277.95193607498646</v>
      </c>
      <c r="BI105" s="60">
        <f ca="1">AVERAGE(OFFSET($BH$3,0,0,'Données projet'!$E$11+1,1))-AVERAGE(OFFSET($H$3,0,0,'Données projet'!$E$11+1,1))</f>
        <v>267.90768140488603</v>
      </c>
      <c r="BJ105" s="60">
        <f t="shared" si="92"/>
        <v>280.25465074992258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4.6111381379887463E-14</v>
      </c>
      <c r="CA105" s="14">
        <f t="shared" si="93"/>
        <v>7.5804141040779151E-13</v>
      </c>
      <c r="CB105" s="22">
        <f t="shared" si="64"/>
        <v>1.4005661123635408E-12</v>
      </c>
      <c r="CC105" s="60">
        <f t="shared" si="65"/>
        <v>277.95193607498436</v>
      </c>
      <c r="CD105" s="60">
        <f ca="1">AVERAGE(OFFSET($CC$3,0,0,'Données projet'!$E$12+1,1))-AVERAGE(OFFSET($H$3,0,0,'Données projet'!$E$12+1,1))</f>
        <v>308.6594206517259</v>
      </c>
      <c r="CE105" s="60">
        <f t="shared" si="94"/>
        <v>258.90832875500325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3.0769230769230802</v>
      </c>
      <c r="CT105" s="13">
        <f>IF('Données projet'!$A$140&gt;35,CT104+CS105-DB104,IF(A105&lt;'Données projet'!$A$140,$CQ$205^A105,IF(A105='Données projet'!$A$140,'Données projet'!$B$140,CT104+CS105-DB104)))</f>
        <v>228.58974358974342</v>
      </c>
      <c r="CU105" s="18">
        <f>CT105*VLOOKUP('Données projet'!$B$13,Paramètres!$A$1:$I$89,3,0)*VLOOKUP('Données projet'!$B$13,Paramètres!$A$1:$I$89,5,0)</f>
        <v>217.52599999999981</v>
      </c>
      <c r="CV105" s="14">
        <f t="shared" si="95"/>
        <v>53.576820638117454</v>
      </c>
      <c r="CW105" s="22">
        <f t="shared" si="67"/>
        <v>472.17074594472086</v>
      </c>
      <c r="CX105" s="60">
        <f t="shared" si="68"/>
        <v>750.1226820197038</v>
      </c>
      <c r="CY105" s="60">
        <f ca="1">AVERAGE(OFFSET($CX$3,0,0,'Données projet'!$E$13+1,1))-AVERAGE(OFFSET($H$3,0,0,'Données projet'!$E$13+1,1))</f>
        <v>397.63792993520934</v>
      </c>
      <c r="CZ105" s="60">
        <f t="shared" si="96"/>
        <v>300.63705521148802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3.2051282051282102</v>
      </c>
      <c r="DO105" s="13">
        <f>IF('Données projet'!$A$166&gt;35,DO104+DN105-DW104,IF(A105&lt;'Données projet'!$A$166,$DL$205^A105,IF(A105='Données projet'!$A$166,'Données projet'!$B$166,DO104+DN105-DW104)))</f>
        <v>291.6666666666668</v>
      </c>
      <c r="DP105" s="18">
        <f>DO105*VLOOKUP('Données projet'!$B$14,Paramètres!$A$1:$I$89,3,0)*VLOOKUP('Données projet'!$B$14,Paramètres!$A$1:$I$89,5,0)</f>
        <v>195.65000000000009</v>
      </c>
      <c r="DQ105" s="14">
        <f t="shared" si="97"/>
        <v>48.786949327182981</v>
      </c>
      <c r="DR105" s="22">
        <f t="shared" si="70"/>
        <v>425.72768674484382</v>
      </c>
      <c r="DS105" s="60">
        <f t="shared" si="71"/>
        <v>703.67962281982682</v>
      </c>
      <c r="DT105" s="60">
        <f ca="1">AVERAGE(OFFSET($DS$3,0,0,'Données projet'!$E$14+1,1))-AVERAGE(OFFSET($H$3,0,0,'Données projet'!$E$14+1,1))</f>
        <v>343.94240546037798</v>
      </c>
      <c r="DU105" s="60">
        <f t="shared" si="98"/>
        <v>277.30931495079346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0.17385287060382704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0.17385287060382704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-2.8421709430404007E-13</v>
      </c>
      <c r="EK105" s="18">
        <f>EJ105*VLOOKUP('Données projet'!$B$15,Paramètres!$A$1:$I$89,3,0)*VLOOKUP('Données projet'!$B$15,Paramètres!$A$1:$I$89,5,0)</f>
        <v>-2.2168933355715128E-13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308.76306523144956</v>
      </c>
      <c r="EP105" s="60">
        <f t="shared" si="100"/>
        <v>283.28099819802776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-9.9316821433603781E-14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296.01124173332352</v>
      </c>
      <c r="FK105" s="60">
        <f t="shared" si="102"/>
        <v>315.50730924873733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3.9</v>
      </c>
      <c r="FZ105" s="13">
        <f>IF('Données projet'!$A$244&gt;35,FZ104+FY105-GH104,IF(A105&lt;'Données projet'!$A$244,$FW$205^A105,IF(A105='Données projet'!$A$244,'Données projet'!$B$244,FZ104+FY105-GH104)))</f>
        <v>233.79999999999993</v>
      </c>
      <c r="GA105" s="18">
        <f>FZ105*VLOOKUP('Données projet'!$B$17,Paramètres!$A$1:$I$89,3,0)*VLOOKUP('Données projet'!$B$17,Paramètres!$A$1:$I$89,5,0)</f>
        <v>226.13135999999994</v>
      </c>
      <c r="GB105" s="14">
        <f t="shared" si="103"/>
        <v>55.445367073626016</v>
      </c>
      <c r="GC105" s="22">
        <f t="shared" si="79"/>
        <v>490.41279965323196</v>
      </c>
      <c r="GD105" s="60">
        <f t="shared" si="80"/>
        <v>768.3647357282149</v>
      </c>
      <c r="GE105" s="60">
        <f ca="1">AVERAGE(OFFSET($GD$3,0,0,'Données projet'!$E$17+1,1))-AVERAGE(OFFSET($H$3,0,0,'Données projet'!$E$17+1,1))</f>
        <v>391.18744390931187</v>
      </c>
      <c r="GF105" s="60">
        <f t="shared" si="104"/>
        <v>261.46982358454386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0.18531572846768773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0.18531572846768773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267.45887999999974</v>
      </c>
      <c r="P106" s="14">
        <f t="shared" si="87"/>
        <v>64.309683053152384</v>
      </c>
      <c r="Q106" s="22">
        <f t="shared" si="107"/>
        <v>577.83024731757325</v>
      </c>
      <c r="R106" s="60">
        <f t="shared" si="55"/>
        <v>856.04901624733589</v>
      </c>
      <c r="S106" s="60">
        <f ca="1">AVERAGE(OFFSET($R$3,0,0,'Données projet'!$E$9+1,1))-AVERAGE(OFFSET($H$3,0,0,'Données projet'!$E$9+1,1))</f>
        <v>469.15492079216403</v>
      </c>
      <c r="T106" s="60">
        <f t="shared" si="88"/>
        <v>250.47702091764884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295.59999999999974</v>
      </c>
      <c r="AJ106" s="14">
        <f>AI106*VLOOKUP('Données projet'!$B$10,Paramètres!$A$1:$I$89,3,0)*VLOOKUP('Données projet'!$B$10,Paramètres!$A$1:$I$89,5,0)</f>
        <v>249.01343999999983</v>
      </c>
      <c r="AK106" s="14">
        <f t="shared" si="89"/>
        <v>60.374635285677527</v>
      </c>
      <c r="AL106" s="22">
        <f t="shared" si="58"/>
        <v>538.85089778922145</v>
      </c>
      <c r="AM106" s="60">
        <f t="shared" si="59"/>
        <v>817.06966671898408</v>
      </c>
      <c r="AN106" s="60">
        <f ca="1">AVERAGE(OFFSET($AM$3,0,0,'Données projet'!$E$10+1,1))-AVERAGE(OFFSET($H$3,0,0,'Données projet'!$E$10+1,1))</f>
        <v>442.49274132121275</v>
      </c>
      <c r="AO106" s="60">
        <f t="shared" si="90"/>
        <v>237.37463556402756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1.3035332813160495E-13</v>
      </c>
      <c r="BF106" s="14">
        <f t="shared" si="91"/>
        <v>1.8987770485018903E-12</v>
      </c>
      <c r="BG106" s="22">
        <f t="shared" si="61"/>
        <v>3.5340687393033375E-12</v>
      </c>
      <c r="BH106" s="60">
        <f t="shared" si="62"/>
        <v>278.21876892976621</v>
      </c>
      <c r="BI106" s="60">
        <f ca="1">AVERAGE(OFFSET($BH$3,0,0,'Données projet'!$E$11+1,1))-AVERAGE(OFFSET($H$3,0,0,'Données projet'!$E$11+1,1))</f>
        <v>267.90768140488603</v>
      </c>
      <c r="BJ106" s="60">
        <f t="shared" si="92"/>
        <v>280.25465074992258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4.6111381379887463E-14</v>
      </c>
      <c r="CA106" s="14">
        <f t="shared" si="93"/>
        <v>7.5804141040779151E-13</v>
      </c>
      <c r="CB106" s="22">
        <f t="shared" si="64"/>
        <v>1.4005661123635408E-12</v>
      </c>
      <c r="CC106" s="60">
        <f t="shared" si="65"/>
        <v>278.21876892976411</v>
      </c>
      <c r="CD106" s="60">
        <f ca="1">AVERAGE(OFFSET($CC$3,0,0,'Données projet'!$E$12+1,1))-AVERAGE(OFFSET($H$3,0,0,'Données projet'!$E$12+1,1))</f>
        <v>308.6594206517259</v>
      </c>
      <c r="CE106" s="60">
        <f t="shared" si="94"/>
        <v>258.90832875500325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3.0769230769230802</v>
      </c>
      <c r="CT106" s="13">
        <f>IF('Données projet'!$A$140&gt;35,CT105+CS106-DB105,IF(A106&lt;'Données projet'!$A$140,$CQ$205^A106,IF(A106='Données projet'!$A$140,'Données projet'!$B$140,CT105+CS106-DB105)))</f>
        <v>231.66666666666652</v>
      </c>
      <c r="CU106" s="18">
        <f>CT106*VLOOKUP('Données projet'!$B$13,Paramètres!$A$1:$I$89,3,0)*VLOOKUP('Données projet'!$B$13,Paramètres!$A$1:$I$89,5,0)</f>
        <v>220.45399999999987</v>
      </c>
      <c r="CV106" s="14">
        <f t="shared" si="95"/>
        <v>54.213548535376205</v>
      </c>
      <c r="CW106" s="22">
        <f t="shared" si="67"/>
        <v>478.37931369911325</v>
      </c>
      <c r="CX106" s="60">
        <f t="shared" si="68"/>
        <v>756.598082628876</v>
      </c>
      <c r="CY106" s="60">
        <f ca="1">AVERAGE(OFFSET($CX$3,0,0,'Données projet'!$E$13+1,1))-AVERAGE(OFFSET($H$3,0,0,'Données projet'!$E$13+1,1))</f>
        <v>397.63792993520934</v>
      </c>
      <c r="CZ106" s="60">
        <f t="shared" si="96"/>
        <v>300.63705521148802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3.2051282051282102</v>
      </c>
      <c r="DO106" s="13">
        <f>IF('Données projet'!$A$166&gt;35,DO105+DN106-DW105,IF(A106&lt;'Données projet'!$A$166,$DL$205^A106,IF(A106='Données projet'!$A$166,'Données projet'!$B$166,DO105+DN106-DW105)))</f>
        <v>294.87179487179503</v>
      </c>
      <c r="DP106" s="18">
        <f>DO106*VLOOKUP('Données projet'!$B$14,Paramètres!$A$1:$I$89,3,0)*VLOOKUP('Données projet'!$B$14,Paramètres!$A$1:$I$89,5,0)</f>
        <v>197.80000000000013</v>
      </c>
      <c r="DQ106" s="14">
        <f t="shared" si="97"/>
        <v>49.260363505790551</v>
      </c>
      <c r="DR106" s="22">
        <f t="shared" si="70"/>
        <v>430.29679977258542</v>
      </c>
      <c r="DS106" s="60">
        <f t="shared" si="71"/>
        <v>708.51556870234811</v>
      </c>
      <c r="DT106" s="60">
        <f ca="1">AVERAGE(OFFSET($DS$3,0,0,'Données projet'!$E$14+1,1))-AVERAGE(OFFSET($H$3,0,0,'Données projet'!$E$14+1,1))</f>
        <v>343.94240546037798</v>
      </c>
      <c r="DU106" s="60">
        <f t="shared" si="98"/>
        <v>277.30931495079346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0.16909885471464026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0.16909885471464026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-2.8421709430404007E-13</v>
      </c>
      <c r="EK106" s="18">
        <f>EJ106*VLOOKUP('Données projet'!$B$15,Paramètres!$A$1:$I$89,3,0)*VLOOKUP('Données projet'!$B$15,Paramètres!$A$1:$I$89,5,0)</f>
        <v>-2.2168933355715128E-13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308.76306523144956</v>
      </c>
      <c r="EP106" s="60">
        <f t="shared" si="100"/>
        <v>283.28099819802776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-9.9316821433603781E-14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296.01124173332352</v>
      </c>
      <c r="FK106" s="60">
        <f t="shared" si="102"/>
        <v>315.50730924873733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3.9</v>
      </c>
      <c r="FZ106" s="13">
        <f>IF('Données projet'!$A$244&gt;35,FZ105+FY106-GH105,IF(A106&lt;'Données projet'!$A$244,$FW$205^A106,IF(A106='Données projet'!$A$244,'Données projet'!$B$244,FZ105+FY106-GH105)))</f>
        <v>237.69999999999993</v>
      </c>
      <c r="GA106" s="18">
        <f>FZ106*VLOOKUP('Données projet'!$B$17,Paramètres!$A$1:$I$89,3,0)*VLOOKUP('Données projet'!$B$17,Paramètres!$A$1:$I$89,5,0)</f>
        <v>229.90343999999996</v>
      </c>
      <c r="GB106" s="14">
        <f t="shared" si="103"/>
        <v>56.26180249134466</v>
      </c>
      <c r="GC106" s="22">
        <f t="shared" si="79"/>
        <v>498.40446400575848</v>
      </c>
      <c r="GD106" s="60">
        <f t="shared" si="80"/>
        <v>776.62323293552117</v>
      </c>
      <c r="GE106" s="60">
        <f ca="1">AVERAGE(OFFSET($GD$3,0,0,'Données projet'!$E$17+1,1))-AVERAGE(OFFSET($H$3,0,0,'Données projet'!$E$17+1,1))</f>
        <v>391.18744390931187</v>
      </c>
      <c r="GF106" s="60">
        <f t="shared" si="104"/>
        <v>261.46982358454386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0.18024826012740819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0.18024826012740819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271.71143999999975</v>
      </c>
      <c r="P107" s="14">
        <f t="shared" si="87"/>
        <v>65.212346372467266</v>
      </c>
      <c r="Q107" s="22">
        <f t="shared" si="107"/>
        <v>586.80892793204669</v>
      </c>
      <c r="R107" s="60">
        <f t="shared" si="55"/>
        <v>865.28990076310765</v>
      </c>
      <c r="S107" s="60">
        <f ca="1">AVERAGE(OFFSET($R$3,0,0,'Données projet'!$E$9+1,1))-AVERAGE(OFFSET($H$3,0,0,'Données projet'!$E$9+1,1))</f>
        <v>469.15492079216403</v>
      </c>
      <c r="T107" s="60">
        <f t="shared" si="88"/>
        <v>250.47702091764884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300.29999999999973</v>
      </c>
      <c r="AJ107" s="14">
        <f>AI107*VLOOKUP('Données projet'!$B$10,Paramètres!$A$1:$I$89,3,0)*VLOOKUP('Données projet'!$B$10,Paramètres!$A$1:$I$89,5,0)</f>
        <v>252.97271999999981</v>
      </c>
      <c r="AK107" s="14">
        <f t="shared" si="89"/>
        <v>61.222065503057934</v>
      </c>
      <c r="AL107" s="22">
        <f t="shared" si="58"/>
        <v>547.22258475115893</v>
      </c>
      <c r="AM107" s="60">
        <f t="shared" si="59"/>
        <v>825.7035575822199</v>
      </c>
      <c r="AN107" s="60">
        <f ca="1">AVERAGE(OFFSET($AM$3,0,0,'Données projet'!$E$10+1,1))-AVERAGE(OFFSET($H$3,0,0,'Données projet'!$E$10+1,1))</f>
        <v>442.49274132121275</v>
      </c>
      <c r="AO107" s="60">
        <f t="shared" si="90"/>
        <v>237.37463556402756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1.3035332813160495E-13</v>
      </c>
      <c r="BF107" s="14">
        <f t="shared" si="91"/>
        <v>1.8987770485018903E-12</v>
      </c>
      <c r="BG107" s="22">
        <f t="shared" si="61"/>
        <v>3.5340687393033375E-12</v>
      </c>
      <c r="BH107" s="60">
        <f t="shared" si="62"/>
        <v>278.48097283106443</v>
      </c>
      <c r="BI107" s="60">
        <f ca="1">AVERAGE(OFFSET($BH$3,0,0,'Données projet'!$E$11+1,1))-AVERAGE(OFFSET($H$3,0,0,'Données projet'!$E$11+1,1))</f>
        <v>267.90768140488603</v>
      </c>
      <c r="BJ107" s="60">
        <f t="shared" si="92"/>
        <v>280.25465074992258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4.6111381379887463E-14</v>
      </c>
      <c r="CA107" s="14">
        <f t="shared" si="93"/>
        <v>7.5804141040779151E-13</v>
      </c>
      <c r="CB107" s="22">
        <f t="shared" si="64"/>
        <v>1.4005661123635408E-12</v>
      </c>
      <c r="CC107" s="60">
        <f t="shared" si="65"/>
        <v>278.48097283106233</v>
      </c>
      <c r="CD107" s="60">
        <f ca="1">AVERAGE(OFFSET($CC$3,0,0,'Données projet'!$E$12+1,1))-AVERAGE(OFFSET($H$3,0,0,'Données projet'!$E$12+1,1))</f>
        <v>308.6594206517259</v>
      </c>
      <c r="CE107" s="60">
        <f t="shared" si="94"/>
        <v>258.90832875500325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3.0769230769230802</v>
      </c>
      <c r="CT107" s="13">
        <f>IF('Données projet'!$A$140&gt;35,CT106+CS107-DB106,IF(A107&lt;'Données projet'!$A$140,$CQ$205^A107,IF(A107='Données projet'!$A$140,'Données projet'!$B$140,CT106+CS107-DB106)))</f>
        <v>234.74358974358961</v>
      </c>
      <c r="CU107" s="18">
        <f>CT107*VLOOKUP('Données projet'!$B$13,Paramètres!$A$1:$I$89,3,0)*VLOOKUP('Données projet'!$B$13,Paramètres!$A$1:$I$89,5,0)</f>
        <v>223.38199999999986</v>
      </c>
      <c r="CV107" s="14">
        <f t="shared" si="95"/>
        <v>54.849292789000252</v>
      </c>
      <c r="CW107" s="22">
        <f t="shared" si="67"/>
        <v>484.58616827417518</v>
      </c>
      <c r="CX107" s="60">
        <f t="shared" si="68"/>
        <v>763.06714110523603</v>
      </c>
      <c r="CY107" s="60">
        <f ca="1">AVERAGE(OFFSET($CX$3,0,0,'Données projet'!$E$13+1,1))-AVERAGE(OFFSET($H$3,0,0,'Données projet'!$E$13+1,1))</f>
        <v>397.63792993520934</v>
      </c>
      <c r="CZ107" s="60">
        <f t="shared" si="96"/>
        <v>300.63705521148802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3.2051282051282102</v>
      </c>
      <c r="DO107" s="13">
        <f>IF('Données projet'!$A$166&gt;35,DO106+DN107-DW106,IF(A107&lt;'Données projet'!$A$166,$DL$205^A107,IF(A107='Données projet'!$A$166,'Données projet'!$B$166,DO106+DN107-DW106)))</f>
        <v>298.07692307692326</v>
      </c>
      <c r="DP107" s="18">
        <f>DO107*VLOOKUP('Données projet'!$B$14,Paramètres!$A$1:$I$89,3,0)*VLOOKUP('Données projet'!$B$14,Paramètres!$A$1:$I$89,5,0)</f>
        <v>199.9500000000001</v>
      </c>
      <c r="DQ107" s="14">
        <f t="shared" si="97"/>
        <v>49.733179078835313</v>
      </c>
      <c r="DR107" s="22">
        <f t="shared" si="70"/>
        <v>434.86487022897171</v>
      </c>
      <c r="DS107" s="60">
        <f t="shared" si="71"/>
        <v>713.34584306003262</v>
      </c>
      <c r="DT107" s="60">
        <f ca="1">AVERAGE(OFFSET($DS$3,0,0,'Données projet'!$E$14+1,1))-AVERAGE(OFFSET($H$3,0,0,'Données projet'!$E$14+1,1))</f>
        <v>343.94240546037798</v>
      </c>
      <c r="DU107" s="60">
        <f t="shared" si="98"/>
        <v>277.30931495079346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0.16447483763994614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0.16447483763994614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-2.8421709430404007E-13</v>
      </c>
      <c r="EK107" s="18">
        <f>EJ107*VLOOKUP('Données projet'!$B$15,Paramètres!$A$1:$I$89,3,0)*VLOOKUP('Données projet'!$B$15,Paramètres!$A$1:$I$89,5,0)</f>
        <v>-2.2168933355715128E-13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308.76306523144956</v>
      </c>
      <c r="EP107" s="60">
        <f t="shared" si="100"/>
        <v>283.28099819802776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-9.9316821433603781E-14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296.01124173332352</v>
      </c>
      <c r="FK107" s="60">
        <f t="shared" si="102"/>
        <v>315.50730924873733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3.9</v>
      </c>
      <c r="FZ107" s="13">
        <f>IF('Données projet'!$A$244&gt;35,FZ106+FY107-GH106,IF(A107&lt;'Données projet'!$A$244,$FW$205^A107,IF(A107='Données projet'!$A$244,'Données projet'!$B$244,FZ106+FY107-GH106)))</f>
        <v>241.59999999999994</v>
      </c>
      <c r="GA107" s="18">
        <f>FZ107*VLOOKUP('Données projet'!$B$17,Paramètres!$A$1:$I$89,3,0)*VLOOKUP('Données projet'!$B$17,Paramètres!$A$1:$I$89,5,0)</f>
        <v>233.67551999999998</v>
      </c>
      <c r="GB107" s="14">
        <f t="shared" si="103"/>
        <v>57.07668009291573</v>
      </c>
      <c r="GC107" s="22">
        <f t="shared" si="79"/>
        <v>506.39341516182822</v>
      </c>
      <c r="GD107" s="60">
        <f t="shared" si="80"/>
        <v>784.87438799288907</v>
      </c>
      <c r="GE107" s="60">
        <f ca="1">AVERAGE(OFFSET($GD$3,0,0,'Données projet'!$E$17+1,1))-AVERAGE(OFFSET($H$3,0,0,'Données projet'!$E$17+1,1))</f>
        <v>391.18744390931187</v>
      </c>
      <c r="GF107" s="60">
        <f t="shared" si="104"/>
        <v>261.46982358454386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0.17531936197538017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0.17531936197538017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275.96399999999977</v>
      </c>
      <c r="P108" s="14">
        <f t="shared" si="87"/>
        <v>66.113366665488854</v>
      </c>
      <c r="Q108" s="22">
        <f t="shared" si="107"/>
        <v>595.78474694239264</v>
      </c>
      <c r="R108" s="60">
        <f t="shared" si="55"/>
        <v>874.52337502326441</v>
      </c>
      <c r="S108" s="60">
        <f ca="1">AVERAGE(OFFSET($R$3,0,0,'Données projet'!$E$9+1,1))-AVERAGE(OFFSET($H$3,0,0,'Données projet'!$E$9+1,1))</f>
        <v>469.15492079216403</v>
      </c>
      <c r="T108" s="60">
        <f t="shared" si="88"/>
        <v>250.47702091764884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304.99999999999972</v>
      </c>
      <c r="AJ108" s="14">
        <f>AI108*VLOOKUP('Données projet'!$B$10,Paramètres!$A$1:$I$89,3,0)*VLOOKUP('Données projet'!$B$10,Paramètres!$A$1:$I$89,5,0)</f>
        <v>256.93199999999979</v>
      </c>
      <c r="AK108" s="14">
        <f t="shared" si="89"/>
        <v>62.067953229346557</v>
      </c>
      <c r="AL108" s="22">
        <f t="shared" si="58"/>
        <v>555.59158520777828</v>
      </c>
      <c r="AM108" s="60">
        <f t="shared" si="59"/>
        <v>834.33021328865004</v>
      </c>
      <c r="AN108" s="60">
        <f ca="1">AVERAGE(OFFSET($AM$3,0,0,'Données projet'!$E$10+1,1))-AVERAGE(OFFSET($H$3,0,0,'Données projet'!$E$10+1,1))</f>
        <v>442.49274132121275</v>
      </c>
      <c r="AO108" s="60">
        <f t="shared" si="90"/>
        <v>237.37463556402756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1.3035332813160495E-13</v>
      </c>
      <c r="BF108" s="14">
        <f t="shared" si="91"/>
        <v>1.8987770485018903E-12</v>
      </c>
      <c r="BG108" s="22">
        <f t="shared" si="61"/>
        <v>3.5340687393033375E-12</v>
      </c>
      <c r="BH108" s="60">
        <f t="shared" si="62"/>
        <v>278.73862808087529</v>
      </c>
      <c r="BI108" s="60">
        <f ca="1">AVERAGE(OFFSET($BH$3,0,0,'Données projet'!$E$11+1,1))-AVERAGE(OFFSET($H$3,0,0,'Données projet'!$E$11+1,1))</f>
        <v>267.90768140488603</v>
      </c>
      <c r="BJ108" s="60">
        <f t="shared" si="92"/>
        <v>280.25465074992258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4.6111381379887463E-14</v>
      </c>
      <c r="CA108" s="14">
        <f t="shared" si="93"/>
        <v>7.5804141040779151E-13</v>
      </c>
      <c r="CB108" s="22">
        <f t="shared" si="64"/>
        <v>1.4005661123635408E-12</v>
      </c>
      <c r="CC108" s="60">
        <f t="shared" si="65"/>
        <v>278.73862808087318</v>
      </c>
      <c r="CD108" s="60">
        <f ca="1">AVERAGE(OFFSET($CC$3,0,0,'Données projet'!$E$12+1,1))-AVERAGE(OFFSET($H$3,0,0,'Données projet'!$E$12+1,1))</f>
        <v>308.6594206517259</v>
      </c>
      <c r="CE108" s="60">
        <f t="shared" si="94"/>
        <v>258.90832875500325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3.0769230769230802</v>
      </c>
      <c r="CT108" s="13">
        <f>IF('Données projet'!$A$140&gt;35,CT107+CS108-DB107,IF(A108&lt;'Données projet'!$A$140,$CQ$205^A108,IF(A108='Données projet'!$A$140,'Données projet'!$B$140,CT107+CS108-DB107)))</f>
        <v>237.8205128205127</v>
      </c>
      <c r="CU108" s="18">
        <f>CT108*VLOOKUP('Données projet'!$B$13,Paramètres!$A$1:$I$89,3,0)*VLOOKUP('Données projet'!$B$13,Paramètres!$A$1:$I$89,5,0)</f>
        <v>226.30999999999986</v>
      </c>
      <c r="CV108" s="14">
        <f t="shared" si="95"/>
        <v>55.484067782810477</v>
      </c>
      <c r="CW108" s="22">
        <f t="shared" si="67"/>
        <v>490.79133472172794</v>
      </c>
      <c r="CX108" s="60">
        <f t="shared" si="68"/>
        <v>769.5299628025997</v>
      </c>
      <c r="CY108" s="60">
        <f ca="1">AVERAGE(OFFSET($CX$3,0,0,'Données projet'!$E$13+1,1))-AVERAGE(OFFSET($H$3,0,0,'Données projet'!$E$13+1,1))</f>
        <v>397.63792993520934</v>
      </c>
      <c r="CZ108" s="60">
        <f t="shared" si="96"/>
        <v>300.63705521148802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301.28205128205127</v>
      </c>
      <c r="DM108" s="13">
        <f>VLOOKUP(A108,'Données projet'!$A$165:$I$185,9,0)</f>
        <v>3.2051282051282102</v>
      </c>
      <c r="DN108" s="13">
        <f t="array" ref="DN108">INDEX(DM:DM,MIN(IF(ISNUMBER(DM108:DM304),ROW(DM108:DM304),"")))</f>
        <v>3.2051282051282102</v>
      </c>
      <c r="DO108" s="13">
        <f>IF('Données projet'!$A$166&gt;35,DO107+DN108-DW107,IF(A108&lt;'Données projet'!$A$166,$DL$205^A108,IF(A108='Données projet'!$A$166,'Données projet'!$B$166,DO107+DN108-DW107)))</f>
        <v>301.2820512820515</v>
      </c>
      <c r="DP108" s="18">
        <f>DO108*VLOOKUP('Données projet'!$B$14,Paramètres!$A$1:$I$89,3,0)*VLOOKUP('Données projet'!$B$14,Paramètres!$A$1:$I$89,5,0)</f>
        <v>202.10000000000014</v>
      </c>
      <c r="DQ108" s="14">
        <f t="shared" si="97"/>
        <v>50.205403227941737</v>
      </c>
      <c r="DR108" s="22">
        <f t="shared" si="70"/>
        <v>439.43191062199872</v>
      </c>
      <c r="DS108" s="60">
        <f t="shared" si="71"/>
        <v>718.17053870287054</v>
      </c>
      <c r="DT108" s="60">
        <f ca="1">AVERAGE(OFFSET($DS$3,0,0,'Données projet'!$E$14+1,1))-AVERAGE(OFFSET($H$3,0,0,'Données projet'!$E$14+1,1))</f>
        <v>343.94240546037798</v>
      </c>
      <c r="DU108" s="60">
        <f t="shared" si="98"/>
        <v>277.30931495079346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0.15997726455532602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0.15997726455532602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-2.8421709430404007E-13</v>
      </c>
      <c r="EK108" s="18">
        <f>EJ108*VLOOKUP('Données projet'!$B$15,Paramètres!$A$1:$I$89,3,0)*VLOOKUP('Données projet'!$B$15,Paramètres!$A$1:$I$89,5,0)</f>
        <v>-2.2168933355715128E-13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308.76306523144956</v>
      </c>
      <c r="EP108" s="60">
        <f t="shared" si="100"/>
        <v>283.28099819802776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-9.9316821433603781E-14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296.01124173332352</v>
      </c>
      <c r="FK108" s="60">
        <f t="shared" si="102"/>
        <v>315.50730924873733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3.9</v>
      </c>
      <c r="FZ108" s="13">
        <f>IF('Données projet'!$A$244&gt;35,FZ107+FY108-GH107,IF(A108&lt;'Données projet'!$A$244,$FW$205^A108,IF(A108='Données projet'!$A$244,'Données projet'!$B$244,FZ107+FY108-GH107)))</f>
        <v>245.49999999999994</v>
      </c>
      <c r="GA108" s="18">
        <f>FZ108*VLOOKUP('Données projet'!$B$17,Paramètres!$A$1:$I$89,3,0)*VLOOKUP('Données projet'!$B$17,Paramètres!$A$1:$I$89,5,0)</f>
        <v>237.44759999999994</v>
      </c>
      <c r="GB108" s="14">
        <f t="shared" si="103"/>
        <v>57.890027928396762</v>
      </c>
      <c r="GC108" s="22">
        <f t="shared" si="79"/>
        <v>514.37970197529091</v>
      </c>
      <c r="GD108" s="60">
        <f t="shared" si="80"/>
        <v>793.11833005616268</v>
      </c>
      <c r="GE108" s="60">
        <f ca="1">AVERAGE(OFFSET($GD$3,0,0,'Données projet'!$E$17+1,1))-AVERAGE(OFFSET($H$3,0,0,'Données projet'!$E$17+1,1))</f>
        <v>391.18744390931187</v>
      </c>
      <c r="GF108" s="60">
        <f t="shared" si="104"/>
        <v>261.46982358454386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0.17052524480251885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0.17052524480251885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242.48639999999975</v>
      </c>
      <c r="P109" s="14">
        <f t="shared" si="87"/>
        <v>58.97417023537237</v>
      </c>
      <c r="Q109" s="22">
        <f t="shared" si="107"/>
        <v>525.04382649327317</v>
      </c>
      <c r="R109" s="60">
        <f t="shared" si="55"/>
        <v>804.03564008140233</v>
      </c>
      <c r="S109" s="60">
        <f ca="1">AVERAGE(OFFSET($R$3,0,0,'Données projet'!$E$9+1,1))-AVERAGE(OFFSET($H$3,0,0,'Données projet'!$E$9+1,1))</f>
        <v>469.15492079216403</v>
      </c>
      <c r="T109" s="60">
        <f t="shared" si="88"/>
        <v>250.47702091764884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267.99999999999972</v>
      </c>
      <c r="AJ109" s="14">
        <f>AI109*VLOOKUP('Données projet'!$B$10,Paramètres!$A$1:$I$89,3,0)*VLOOKUP('Données projet'!$B$10,Paramètres!$A$1:$I$89,5,0)</f>
        <v>225.76319999999978</v>
      </c>
      <c r="AK109" s="14">
        <f t="shared" si="89"/>
        <v>55.365597375021352</v>
      </c>
      <c r="AL109" s="22">
        <f t="shared" si="58"/>
        <v>489.6326554281618</v>
      </c>
      <c r="AM109" s="60">
        <f t="shared" si="59"/>
        <v>768.62446901629096</v>
      </c>
      <c r="AN109" s="60">
        <f ca="1">AVERAGE(OFFSET($AM$3,0,0,'Données projet'!$E$10+1,1))-AVERAGE(OFFSET($H$3,0,0,'Données projet'!$E$10+1,1))</f>
        <v>442.49274132121275</v>
      </c>
      <c r="AO109" s="60">
        <f t="shared" si="90"/>
        <v>237.37463556402756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1.3035332813160495E-13</v>
      </c>
      <c r="BF109" s="14">
        <f t="shared" si="91"/>
        <v>1.8987770485018903E-12</v>
      </c>
      <c r="BG109" s="22">
        <f t="shared" si="61"/>
        <v>3.5340687393033375E-12</v>
      </c>
      <c r="BH109" s="60">
        <f t="shared" si="62"/>
        <v>278.99181358813263</v>
      </c>
      <c r="BI109" s="60">
        <f ca="1">AVERAGE(OFFSET($BH$3,0,0,'Données projet'!$E$11+1,1))-AVERAGE(OFFSET($H$3,0,0,'Données projet'!$E$11+1,1))</f>
        <v>267.90768140488603</v>
      </c>
      <c r="BJ109" s="60">
        <f t="shared" si="92"/>
        <v>280.25465074992258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4.6111381379887463E-14</v>
      </c>
      <c r="CA109" s="14">
        <f t="shared" si="93"/>
        <v>7.5804141040779151E-13</v>
      </c>
      <c r="CB109" s="22">
        <f t="shared" si="64"/>
        <v>1.4005661123635408E-12</v>
      </c>
      <c r="CC109" s="60">
        <f t="shared" si="65"/>
        <v>278.99181358813053</v>
      </c>
      <c r="CD109" s="60">
        <f ca="1">AVERAGE(OFFSET($CC$3,0,0,'Données projet'!$E$12+1,1))-AVERAGE(OFFSET($H$3,0,0,'Données projet'!$E$12+1,1))</f>
        <v>308.6594206517259</v>
      </c>
      <c r="CE109" s="60">
        <f t="shared" si="94"/>
        <v>258.90832875500325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3.0769230769230802</v>
      </c>
      <c r="CT109" s="13">
        <f>IF('Données projet'!$A$140&gt;35,CT108+CS109-DB108,IF(A109&lt;'Données projet'!$A$140,$CQ$205^A109,IF(A109='Données projet'!$A$140,'Données projet'!$B$140,CT108+CS109-DB108)))</f>
        <v>240.8974358974358</v>
      </c>
      <c r="CU109" s="18">
        <f>CT109*VLOOKUP('Données projet'!$B$13,Paramètres!$A$1:$I$89,3,0)*VLOOKUP('Données projet'!$B$13,Paramètres!$A$1:$I$89,5,0)</f>
        <v>229.23799999999991</v>
      </c>
      <c r="CV109" s="14">
        <f t="shared" si="95"/>
        <v>56.117887507033878</v>
      </c>
      <c r="CW109" s="22">
        <f t="shared" si="67"/>
        <v>496.99483740808387</v>
      </c>
      <c r="CX109" s="60">
        <f t="shared" si="68"/>
        <v>775.98665099621303</v>
      </c>
      <c r="CY109" s="60">
        <f ca="1">AVERAGE(OFFSET($CX$3,0,0,'Données projet'!$E$13+1,1))-AVERAGE(OFFSET($H$3,0,0,'Données projet'!$E$13+1,1))</f>
        <v>397.63792993520934</v>
      </c>
      <c r="CZ109" s="60">
        <f t="shared" si="96"/>
        <v>300.63705521148802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3.333333333333337</v>
      </c>
      <c r="DO109" s="13">
        <f>IF('Données projet'!$A$166&gt;35,DO108+DN109-DW108,IF(A109&lt;'Données projet'!$A$166,$DL$205^A109,IF(A109='Données projet'!$A$166,'Données projet'!$B$166,DO108+DN109-DW108)))</f>
        <v>304.61538461538481</v>
      </c>
      <c r="DP109" s="18">
        <f>DO109*VLOOKUP('Données projet'!$B$14,Paramètres!$A$1:$I$89,3,0)*VLOOKUP('Données projet'!$B$14,Paramètres!$A$1:$I$89,5,0)</f>
        <v>204.33600000000013</v>
      </c>
      <c r="DQ109" s="14">
        <f t="shared" si="97"/>
        <v>50.695896504938297</v>
      </c>
      <c r="DR109" s="22">
        <f t="shared" si="70"/>
        <v>444.18055307943445</v>
      </c>
      <c r="DS109" s="60">
        <f t="shared" si="71"/>
        <v>723.17236666756355</v>
      </c>
      <c r="DT109" s="60">
        <f ca="1">AVERAGE(OFFSET($DS$3,0,0,'Données projet'!$E$14+1,1))-AVERAGE(OFFSET($H$3,0,0,'Données projet'!$E$14+1,1))</f>
        <v>343.94240546037798</v>
      </c>
      <c r="DU109" s="60">
        <f t="shared" si="98"/>
        <v>277.30931495079346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0.1556026778432219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0.1556026778432219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-2.8421709430404007E-13</v>
      </c>
      <c r="EK109" s="18">
        <f>EJ109*VLOOKUP('Données projet'!$B$15,Paramètres!$A$1:$I$89,3,0)*VLOOKUP('Données projet'!$B$15,Paramètres!$A$1:$I$89,5,0)</f>
        <v>-2.2168933355715128E-13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308.76306523144956</v>
      </c>
      <c r="EP109" s="60">
        <f t="shared" si="100"/>
        <v>283.28099819802776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-9.9316821433603781E-14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296.01124173332352</v>
      </c>
      <c r="FK109" s="60">
        <f t="shared" si="102"/>
        <v>315.50730924873733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3.9</v>
      </c>
      <c r="FZ109" s="13">
        <f>IF('Données projet'!$A$244&gt;35,FZ108+FY109-GH108,IF(A109&lt;'Données projet'!$A$244,$FW$205^A109,IF(A109='Données projet'!$A$244,'Données projet'!$B$244,FZ108+FY109-GH108)))</f>
        <v>249.39999999999995</v>
      </c>
      <c r="GA109" s="18">
        <f>FZ109*VLOOKUP('Données projet'!$B$17,Paramètres!$A$1:$I$89,3,0)*VLOOKUP('Données projet'!$B$17,Paramètres!$A$1:$I$89,5,0)</f>
        <v>241.21967999999995</v>
      </c>
      <c r="GB109" s="14">
        <f t="shared" si="103"/>
        <v>58.701873105526744</v>
      </c>
      <c r="GC109" s="22">
        <f t="shared" si="79"/>
        <v>522.36337165879229</v>
      </c>
      <c r="GD109" s="60">
        <f t="shared" si="80"/>
        <v>801.35518524692134</v>
      </c>
      <c r="GE109" s="60">
        <f ca="1">AVERAGE(OFFSET($GD$3,0,0,'Données projet'!$E$17+1,1))-AVERAGE(OFFSET($H$3,0,0,'Données projet'!$E$17+1,1))</f>
        <v>391.18744390931187</v>
      </c>
      <c r="GF109" s="60">
        <f t="shared" si="104"/>
        <v>261.46982358454386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0.16586222301586109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0.16586222301586109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246.10559999999973</v>
      </c>
      <c r="P110" s="14">
        <f t="shared" si="87"/>
        <v>59.751253234371873</v>
      </c>
      <c r="Q110" s="22">
        <f t="shared" si="107"/>
        <v>532.70068604986398</v>
      </c>
      <c r="R110" s="60">
        <f t="shared" si="55"/>
        <v>811.94129294273762</v>
      </c>
      <c r="S110" s="60">
        <f ca="1">AVERAGE(OFFSET($R$3,0,0,'Données projet'!$E$9+1,1))-AVERAGE(OFFSET($H$3,0,0,'Données projet'!$E$9+1,1))</f>
        <v>469.15492079216403</v>
      </c>
      <c r="T110" s="60">
        <f t="shared" si="88"/>
        <v>250.47702091764884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271.99999999999972</v>
      </c>
      <c r="AJ110" s="14">
        <f>AI110*VLOOKUP('Données projet'!$B$10,Paramètres!$A$1:$I$89,3,0)*VLOOKUP('Données projet'!$B$10,Paramètres!$A$1:$I$89,5,0)</f>
        <v>229.13279999999978</v>
      </c>
      <c r="AK110" s="14">
        <f t="shared" si="89"/>
        <v>56.095131411326882</v>
      </c>
      <c r="AL110" s="22">
        <f t="shared" si="58"/>
        <v>496.77198054139399</v>
      </c>
      <c r="AM110" s="60">
        <f t="shared" si="59"/>
        <v>776.01258743426763</v>
      </c>
      <c r="AN110" s="60">
        <f ca="1">AVERAGE(OFFSET($AM$3,0,0,'Données projet'!$E$10+1,1))-AVERAGE(OFFSET($H$3,0,0,'Données projet'!$E$10+1,1))</f>
        <v>442.49274132121275</v>
      </c>
      <c r="AO110" s="60">
        <f t="shared" si="90"/>
        <v>237.37463556402756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1.3035332813160495E-13</v>
      </c>
      <c r="BF110" s="14">
        <f t="shared" si="91"/>
        <v>1.8987770485018903E-12</v>
      </c>
      <c r="BG110" s="22">
        <f t="shared" si="61"/>
        <v>3.5340687393033375E-12</v>
      </c>
      <c r="BH110" s="60">
        <f t="shared" si="62"/>
        <v>279.24060689287717</v>
      </c>
      <c r="BI110" s="60">
        <f ca="1">AVERAGE(OFFSET($BH$3,0,0,'Données projet'!$E$11+1,1))-AVERAGE(OFFSET($H$3,0,0,'Données projet'!$E$11+1,1))</f>
        <v>267.90768140488603</v>
      </c>
      <c r="BJ110" s="60">
        <f t="shared" si="92"/>
        <v>280.25465074992258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4.6111381379887463E-14</v>
      </c>
      <c r="CA110" s="14">
        <f t="shared" si="93"/>
        <v>7.5804141040779151E-13</v>
      </c>
      <c r="CB110" s="22">
        <f t="shared" si="64"/>
        <v>1.4005661123635408E-12</v>
      </c>
      <c r="CC110" s="60">
        <f t="shared" si="65"/>
        <v>279.24060689287506</v>
      </c>
      <c r="CD110" s="60">
        <f ca="1">AVERAGE(OFFSET($CC$3,0,0,'Données projet'!$E$12+1,1))-AVERAGE(OFFSET($H$3,0,0,'Données projet'!$E$12+1,1))</f>
        <v>308.6594206517259</v>
      </c>
      <c r="CE110" s="60">
        <f t="shared" si="94"/>
        <v>258.90832875500325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3.0769230769230802</v>
      </c>
      <c r="CT110" s="13">
        <f>IF('Données projet'!$A$140&gt;35,CT109+CS110-DB109,IF(A110&lt;'Données projet'!$A$140,$CQ$205^A110,IF(A110='Données projet'!$A$140,'Données projet'!$B$140,CT109+CS110-DB109)))</f>
        <v>243.97435897435889</v>
      </c>
      <c r="CU110" s="18">
        <f>CT110*VLOOKUP('Données projet'!$B$13,Paramètres!$A$1:$I$89,3,0)*VLOOKUP('Données projet'!$B$13,Paramètres!$A$1:$I$89,5,0)</f>
        <v>232.16599999999991</v>
      </c>
      <c r="CV110" s="14">
        <f t="shared" si="95"/>
        <v>56.750765573960223</v>
      </c>
      <c r="CW110" s="22">
        <f t="shared" si="67"/>
        <v>503.19670004131376</v>
      </c>
      <c r="CX110" s="60">
        <f t="shared" si="68"/>
        <v>782.4373069341874</v>
      </c>
      <c r="CY110" s="60">
        <f ca="1">AVERAGE(OFFSET($CX$3,0,0,'Données projet'!$E$13+1,1))-AVERAGE(OFFSET($H$3,0,0,'Données projet'!$E$13+1,1))</f>
        <v>397.63792993520934</v>
      </c>
      <c r="CZ110" s="60">
        <f t="shared" si="96"/>
        <v>300.63705521148802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3.333333333333337</v>
      </c>
      <c r="DO110" s="13">
        <f>IF('Données projet'!$A$166&gt;35,DO109+DN110-DW109,IF(A110&lt;'Données projet'!$A$166,$DL$205^A110,IF(A110='Données projet'!$A$166,'Données projet'!$B$166,DO109+DN110-DW109)))</f>
        <v>307.94871794871813</v>
      </c>
      <c r="DP110" s="18">
        <f>DO110*VLOOKUP('Données projet'!$B$14,Paramètres!$A$1:$I$89,3,0)*VLOOKUP('Données projet'!$B$14,Paramètres!$A$1:$I$89,5,0)</f>
        <v>206.57200000000014</v>
      </c>
      <c r="DQ110" s="14">
        <f t="shared" si="97"/>
        <v>51.185765406859268</v>
      </c>
      <c r="DR110" s="22">
        <f t="shared" si="70"/>
        <v>448.92810808361338</v>
      </c>
      <c r="DS110" s="60">
        <f t="shared" si="71"/>
        <v>728.16871497648708</v>
      </c>
      <c r="DT110" s="60">
        <f ca="1">AVERAGE(OFFSET($DS$3,0,0,'Données projet'!$E$14+1,1))-AVERAGE(OFFSET($H$3,0,0,'Données projet'!$E$14+1,1))</f>
        <v>343.94240546037798</v>
      </c>
      <c r="DU110" s="60">
        <f t="shared" si="98"/>
        <v>277.30931495079346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0.15134771443480982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0.15134771443480982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-2.8421709430404007E-13</v>
      </c>
      <c r="EK110" s="18">
        <f>EJ110*VLOOKUP('Données projet'!$B$15,Paramètres!$A$1:$I$89,3,0)*VLOOKUP('Données projet'!$B$15,Paramètres!$A$1:$I$89,5,0)</f>
        <v>-2.2168933355715128E-13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308.76306523144956</v>
      </c>
      <c r="EP110" s="60">
        <f t="shared" si="100"/>
        <v>283.28099819802776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-9.9316821433603781E-14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296.01124173332352</v>
      </c>
      <c r="FK110" s="60">
        <f t="shared" si="102"/>
        <v>315.50730924873733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3.9</v>
      </c>
      <c r="FZ110" s="13">
        <f>IF('Données projet'!$A$244&gt;35,FZ109+FY110-GH109,IF(A110&lt;'Données projet'!$A$244,$FW$205^A110,IF(A110='Données projet'!$A$244,'Données projet'!$B$244,FZ109+FY110-GH109)))</f>
        <v>253.29999999999995</v>
      </c>
      <c r="GA110" s="18">
        <f>FZ110*VLOOKUP('Données projet'!$B$17,Paramètres!$A$1:$I$89,3,0)*VLOOKUP('Données projet'!$B$17,Paramètres!$A$1:$I$89,5,0)</f>
        <v>244.99175999999994</v>
      </c>
      <c r="GB110" s="14">
        <f t="shared" si="103"/>
        <v>59.512241835613679</v>
      </c>
      <c r="GC110" s="22">
        <f t="shared" si="79"/>
        <v>530.34446986369369</v>
      </c>
      <c r="GD110" s="60">
        <f t="shared" si="80"/>
        <v>809.58507675656733</v>
      </c>
      <c r="GE110" s="60">
        <f ca="1">AVERAGE(OFFSET($GD$3,0,0,'Données projet'!$E$17+1,1))-AVERAGE(OFFSET($H$3,0,0,'Données projet'!$E$17+1,1))</f>
        <v>391.18744390931187</v>
      </c>
      <c r="GF110" s="60">
        <f t="shared" si="104"/>
        <v>261.46982358454386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0.16132671180517716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0.16132671180517716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249.72479999999973</v>
      </c>
      <c r="P111" s="14">
        <f t="shared" si="87"/>
        <v>60.527007137298092</v>
      </c>
      <c r="Q111" s="22">
        <f t="shared" si="107"/>
        <v>540.35523076412699</v>
      </c>
      <c r="R111" s="60">
        <f t="shared" si="55"/>
        <v>819.84031495412637</v>
      </c>
      <c r="S111" s="60">
        <f ca="1">AVERAGE(OFFSET($R$3,0,0,'Données projet'!$E$9+1,1))-AVERAGE(OFFSET($H$3,0,0,'Données projet'!$E$9+1,1))</f>
        <v>469.15492079216403</v>
      </c>
      <c r="T111" s="60">
        <f t="shared" si="88"/>
        <v>250.47702091764884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275.99999999999972</v>
      </c>
      <c r="AJ111" s="14">
        <f>AI111*VLOOKUP('Données projet'!$B$10,Paramètres!$A$1:$I$89,3,0)*VLOOKUP('Données projet'!$B$10,Paramètres!$A$1:$I$89,5,0)</f>
        <v>232.50239999999977</v>
      </c>
      <c r="AK111" s="14">
        <f t="shared" si="89"/>
        <v>56.823417677671891</v>
      </c>
      <c r="AL111" s="22">
        <f t="shared" si="58"/>
        <v>503.9091324552781</v>
      </c>
      <c r="AM111" s="60">
        <f t="shared" si="59"/>
        <v>783.39421664527742</v>
      </c>
      <c r="AN111" s="60">
        <f ca="1">AVERAGE(OFFSET($AM$3,0,0,'Données projet'!$E$10+1,1))-AVERAGE(OFFSET($H$3,0,0,'Données projet'!$E$10+1,1))</f>
        <v>442.49274132121275</v>
      </c>
      <c r="AO111" s="60">
        <f t="shared" si="90"/>
        <v>237.37463556402756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1.3035332813160495E-13</v>
      </c>
      <c r="BF111" s="14">
        <f t="shared" si="91"/>
        <v>1.8987770485018903E-12</v>
      </c>
      <c r="BG111" s="22">
        <f t="shared" si="61"/>
        <v>3.5340687393033375E-12</v>
      </c>
      <c r="BH111" s="60">
        <f t="shared" si="62"/>
        <v>279.48508419000285</v>
      </c>
      <c r="BI111" s="60">
        <f ca="1">AVERAGE(OFFSET($BH$3,0,0,'Données projet'!$E$11+1,1))-AVERAGE(OFFSET($H$3,0,0,'Données projet'!$E$11+1,1))</f>
        <v>267.90768140488603</v>
      </c>
      <c r="BJ111" s="60">
        <f t="shared" si="92"/>
        <v>280.25465074992258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4.6111381379887463E-14</v>
      </c>
      <c r="CA111" s="14">
        <f t="shared" si="93"/>
        <v>7.5804141040779151E-13</v>
      </c>
      <c r="CB111" s="22">
        <f t="shared" si="64"/>
        <v>1.4005661123635408E-12</v>
      </c>
      <c r="CC111" s="60">
        <f t="shared" si="65"/>
        <v>279.48508419000075</v>
      </c>
      <c r="CD111" s="60">
        <f ca="1">AVERAGE(OFFSET($CC$3,0,0,'Données projet'!$E$12+1,1))-AVERAGE(OFFSET($H$3,0,0,'Données projet'!$E$12+1,1))</f>
        <v>308.6594206517259</v>
      </c>
      <c r="CE111" s="60">
        <f t="shared" si="94"/>
        <v>258.90832875500325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3.0769230769230802</v>
      </c>
      <c r="CT111" s="13">
        <f>IF('Données projet'!$A$140&gt;35,CT110+CS111-DB110,IF(A111&lt;'Données projet'!$A$140,$CQ$205^A111,IF(A111='Données projet'!$A$140,'Données projet'!$B$140,CT110+CS111-DB110)))</f>
        <v>247.05128205128199</v>
      </c>
      <c r="CU111" s="18">
        <f>CT111*VLOOKUP('Données projet'!$B$13,Paramètres!$A$1:$I$89,3,0)*VLOOKUP('Données projet'!$B$13,Paramètres!$A$1:$I$89,5,0)</f>
        <v>235.09399999999997</v>
      </c>
      <c r="CV111" s="14">
        <f t="shared" si="95"/>
        <v>57.382715232787334</v>
      </c>
      <c r="CW111" s="22">
        <f t="shared" si="67"/>
        <v>509.39694569710446</v>
      </c>
      <c r="CX111" s="60">
        <f t="shared" si="68"/>
        <v>788.88202988710373</v>
      </c>
      <c r="CY111" s="60">
        <f ca="1">AVERAGE(OFFSET($CX$3,0,0,'Données projet'!$E$13+1,1))-AVERAGE(OFFSET($H$3,0,0,'Données projet'!$E$13+1,1))</f>
        <v>397.63792993520934</v>
      </c>
      <c r="CZ111" s="60">
        <f t="shared" si="96"/>
        <v>300.63705521148802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3.333333333333337</v>
      </c>
      <c r="DO111" s="13">
        <f>IF('Données projet'!$A$166&gt;35,DO110+DN111-DW110,IF(A111&lt;'Données projet'!$A$166,$DL$205^A111,IF(A111='Données projet'!$A$166,'Données projet'!$B$166,DO110+DN111-DW110)))</f>
        <v>311.28205128205144</v>
      </c>
      <c r="DP111" s="18">
        <f>DO111*VLOOKUP('Données projet'!$B$14,Paramètres!$A$1:$I$89,3,0)*VLOOKUP('Données projet'!$B$14,Paramètres!$A$1:$I$89,5,0)</f>
        <v>208.80800000000011</v>
      </c>
      <c r="DQ111" s="14">
        <f t="shared" si="97"/>
        <v>51.675017474362001</v>
      </c>
      <c r="DR111" s="22">
        <f t="shared" si="70"/>
        <v>453.6745887678473</v>
      </c>
      <c r="DS111" s="60">
        <f t="shared" si="71"/>
        <v>733.15967295784662</v>
      </c>
      <c r="DT111" s="60">
        <f ca="1">AVERAGE(OFFSET($DS$3,0,0,'Données projet'!$E$14+1,1))-AVERAGE(OFFSET($H$3,0,0,'Données projet'!$E$14+1,1))</f>
        <v>343.94240546037798</v>
      </c>
      <c r="DU111" s="60">
        <f t="shared" si="98"/>
        <v>277.30931495079346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0.14720910322455955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0.14720910322455955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-2.8421709430404007E-13</v>
      </c>
      <c r="EK111" s="18">
        <f>EJ111*VLOOKUP('Données projet'!$B$15,Paramètres!$A$1:$I$89,3,0)*VLOOKUP('Données projet'!$B$15,Paramètres!$A$1:$I$89,5,0)</f>
        <v>-2.2168933355715128E-13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308.76306523144956</v>
      </c>
      <c r="EP111" s="60">
        <f t="shared" si="100"/>
        <v>283.28099819802776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-9.9316821433603781E-14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296.01124173332352</v>
      </c>
      <c r="FK111" s="60">
        <f t="shared" si="102"/>
        <v>315.50730924873733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3.9</v>
      </c>
      <c r="FZ111" s="13">
        <f>IF('Données projet'!$A$244&gt;35,FZ110+FY111-GH110,IF(A111&lt;'Données projet'!$A$244,$FW$205^A111,IF(A111='Données projet'!$A$244,'Données projet'!$B$244,FZ110+FY111-GH110)))</f>
        <v>257.19999999999993</v>
      </c>
      <c r="GA111" s="18">
        <f>FZ111*VLOOKUP('Données projet'!$B$17,Paramètres!$A$1:$I$89,3,0)*VLOOKUP('Données projet'!$B$17,Paramètres!$A$1:$I$89,5,0)</f>
        <v>248.76383999999996</v>
      </c>
      <c r="GB111" s="14">
        <f t="shared" si="103"/>
        <v>60.321159476515668</v>
      </c>
      <c r="GC111" s="22">
        <f t="shared" si="79"/>
        <v>538.32304075493141</v>
      </c>
      <c r="GD111" s="60">
        <f t="shared" si="80"/>
        <v>817.8081249449308</v>
      </c>
      <c r="GE111" s="60">
        <f ca="1">AVERAGE(OFFSET($GD$3,0,0,'Données projet'!$E$17+1,1))-AVERAGE(OFFSET($H$3,0,0,'Données projet'!$E$17+1,1))</f>
        <v>391.18744390931187</v>
      </c>
      <c r="GF111" s="60">
        <f t="shared" si="104"/>
        <v>261.46982358454386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0.15691522438706154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0.15691522438706154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253.34399999999974</v>
      </c>
      <c r="P112" s="14">
        <f t="shared" si="87"/>
        <v>61.301453431926198</v>
      </c>
      <c r="Q112" s="22">
        <f t="shared" si="107"/>
        <v>548.00749806060423</v>
      </c>
      <c r="R112" s="60">
        <f t="shared" si="55"/>
        <v>827.73281841319351</v>
      </c>
      <c r="S112" s="60">
        <f ca="1">AVERAGE(OFFSET($R$3,0,0,'Données projet'!$E$9+1,1))-AVERAGE(OFFSET($H$3,0,0,'Données projet'!$E$9+1,1))</f>
        <v>469.15492079216403</v>
      </c>
      <c r="T112" s="60">
        <f t="shared" si="88"/>
        <v>250.47702091764884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279.99999999999972</v>
      </c>
      <c r="AJ112" s="14">
        <f>AI112*VLOOKUP('Données projet'!$B$10,Paramètres!$A$1:$I$89,3,0)*VLOOKUP('Données projet'!$B$10,Paramètres!$A$1:$I$89,5,0)</f>
        <v>235.87199999999976</v>
      </c>
      <c r="AK112" s="14">
        <f t="shared" si="89"/>
        <v>57.55047634701522</v>
      </c>
      <c r="AL112" s="22">
        <f t="shared" si="58"/>
        <v>511.04414630438441</v>
      </c>
      <c r="AM112" s="60">
        <f t="shared" si="59"/>
        <v>790.76946665697369</v>
      </c>
      <c r="AN112" s="60">
        <f ca="1">AVERAGE(OFFSET($AM$3,0,0,'Données projet'!$E$10+1,1))-AVERAGE(OFFSET($H$3,0,0,'Données projet'!$E$10+1,1))</f>
        <v>442.49274132121275</v>
      </c>
      <c r="AO112" s="60">
        <f t="shared" si="90"/>
        <v>237.37463556402756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1.3035332813160495E-13</v>
      </c>
      <c r="BF112" s="14">
        <f t="shared" si="91"/>
        <v>1.8987770485018903E-12</v>
      </c>
      <c r="BG112" s="22">
        <f t="shared" si="61"/>
        <v>3.5340687393033375E-12</v>
      </c>
      <c r="BH112" s="60">
        <f t="shared" si="62"/>
        <v>279.7253203525928</v>
      </c>
      <c r="BI112" s="60">
        <f ca="1">AVERAGE(OFFSET($BH$3,0,0,'Données projet'!$E$11+1,1))-AVERAGE(OFFSET($H$3,0,0,'Données projet'!$E$11+1,1))</f>
        <v>267.90768140488603</v>
      </c>
      <c r="BJ112" s="60">
        <f t="shared" si="92"/>
        <v>280.25465074992258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4.6111381379887463E-14</v>
      </c>
      <c r="CA112" s="14">
        <f t="shared" si="93"/>
        <v>7.5804141040779151E-13</v>
      </c>
      <c r="CB112" s="22">
        <f t="shared" si="64"/>
        <v>1.4005661123635408E-12</v>
      </c>
      <c r="CC112" s="60">
        <f t="shared" si="65"/>
        <v>279.7253203525907</v>
      </c>
      <c r="CD112" s="60">
        <f ca="1">AVERAGE(OFFSET($CC$3,0,0,'Données projet'!$E$12+1,1))-AVERAGE(OFFSET($H$3,0,0,'Données projet'!$E$12+1,1))</f>
        <v>308.6594206517259</v>
      </c>
      <c r="CE112" s="60">
        <f t="shared" si="94"/>
        <v>258.90832875500325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3.0769230769230802</v>
      </c>
      <c r="CT112" s="13">
        <f>IF('Données projet'!$A$140&gt;35,CT111+CS112-DB111,IF(A112&lt;'Données projet'!$A$140,$CQ$205^A112,IF(A112='Données projet'!$A$140,'Données projet'!$B$140,CT111+CS112-DB111)))</f>
        <v>250.12820512820508</v>
      </c>
      <c r="CU112" s="18">
        <f>CT112*VLOOKUP('Données projet'!$B$13,Paramètres!$A$1:$I$89,3,0)*VLOOKUP('Données projet'!$B$13,Paramètres!$A$1:$I$89,5,0)</f>
        <v>238.02199999999996</v>
      </c>
      <c r="CV112" s="14">
        <f t="shared" si="95"/>
        <v>58.013749383704898</v>
      </c>
      <c r="CW112" s="22">
        <f t="shared" si="67"/>
        <v>515.59559684328599</v>
      </c>
      <c r="CX112" s="60">
        <f t="shared" si="68"/>
        <v>795.32091719587527</v>
      </c>
      <c r="CY112" s="60">
        <f ca="1">AVERAGE(OFFSET($CX$3,0,0,'Données projet'!$E$13+1,1))-AVERAGE(OFFSET($H$3,0,0,'Données projet'!$E$13+1,1))</f>
        <v>397.63792993520934</v>
      </c>
      <c r="CZ112" s="60">
        <f t="shared" si="96"/>
        <v>300.63705521148802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3.333333333333337</v>
      </c>
      <c r="DO112" s="13">
        <f>IF('Données projet'!$A$166&gt;35,DO111+DN112-DW111,IF(A112&lt;'Données projet'!$A$166,$DL$205^A112,IF(A112='Données projet'!$A$166,'Données projet'!$B$166,DO111+DN112-DW111)))</f>
        <v>314.61538461538476</v>
      </c>
      <c r="DP112" s="18">
        <f>DO112*VLOOKUP('Données projet'!$B$14,Paramètres!$A$1:$I$89,3,0)*VLOOKUP('Données projet'!$B$14,Paramètres!$A$1:$I$89,5,0)</f>
        <v>211.0440000000001</v>
      </c>
      <c r="DQ112" s="14">
        <f t="shared" si="97"/>
        <v>52.163660077304868</v>
      </c>
      <c r="DR112" s="22">
        <f t="shared" si="70"/>
        <v>458.42000796797282</v>
      </c>
      <c r="DS112" s="60">
        <f t="shared" si="71"/>
        <v>738.14532832056216</v>
      </c>
      <c r="DT112" s="60">
        <f ca="1">AVERAGE(OFFSET($DS$3,0,0,'Données projet'!$E$14+1,1))-AVERAGE(OFFSET($H$3,0,0,'Données projet'!$E$14+1,1))</f>
        <v>343.94240546037798</v>
      </c>
      <c r="DU112" s="60">
        <f t="shared" si="98"/>
        <v>277.30931495079346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0.14318366255549367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0.14318366255549367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-2.8421709430404007E-13</v>
      </c>
      <c r="EK112" s="18">
        <f>EJ112*VLOOKUP('Données projet'!$B$15,Paramètres!$A$1:$I$89,3,0)*VLOOKUP('Données projet'!$B$15,Paramètres!$A$1:$I$89,5,0)</f>
        <v>-2.2168933355715128E-13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308.76306523144956</v>
      </c>
      <c r="EP112" s="60">
        <f t="shared" si="100"/>
        <v>283.28099819802776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-9.9316821433603781E-14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296.01124173332352</v>
      </c>
      <c r="FK112" s="60">
        <f t="shared" si="102"/>
        <v>315.50730924873733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3.9</v>
      </c>
      <c r="FZ112" s="13">
        <f>IF('Données projet'!$A$244&gt;35,FZ111+FY112-GH111,IF(A112&lt;'Données projet'!$A$244,$FW$205^A112,IF(A112='Données projet'!$A$244,'Données projet'!$B$244,FZ111+FY112-GH111)))</f>
        <v>261.09999999999991</v>
      </c>
      <c r="GA112" s="18">
        <f>FZ112*VLOOKUP('Données projet'!$B$17,Paramètres!$A$1:$I$89,3,0)*VLOOKUP('Données projet'!$B$17,Paramètres!$A$1:$I$89,5,0)</f>
        <v>252.53591999999992</v>
      </c>
      <c r="GB112" s="14">
        <f t="shared" si="103"/>
        <v>61.128650572941396</v>
      </c>
      <c r="GC112" s="22">
        <f t="shared" si="79"/>
        <v>546.29912708120617</v>
      </c>
      <c r="GD112" s="60">
        <f t="shared" si="80"/>
        <v>826.02444743379544</v>
      </c>
      <c r="GE112" s="60">
        <f ca="1">AVERAGE(OFFSET($GD$3,0,0,'Données projet'!$E$17+1,1))-AVERAGE(OFFSET($H$3,0,0,'Données projet'!$E$17+1,1))</f>
        <v>391.18744390931187</v>
      </c>
      <c r="GF112" s="60">
        <f t="shared" si="104"/>
        <v>261.46982358454386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0.15262436932438433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0.15262436932438433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256.96319999999974</v>
      </c>
      <c r="P113" s="14">
        <f t="shared" si="87"/>
        <v>62.074612956837967</v>
      </c>
      <c r="Q113" s="22">
        <f t="shared" si="107"/>
        <v>555.65752423315905</v>
      </c>
      <c r="R113" s="60">
        <f t="shared" si="55"/>
        <v>835.61891318800485</v>
      </c>
      <c r="S113" s="60">
        <f ca="1">AVERAGE(OFFSET($R$3,0,0,'Données projet'!$E$9+1,1))-AVERAGE(OFFSET($H$3,0,0,'Données projet'!$E$9+1,1))</f>
        <v>469.15492079216403</v>
      </c>
      <c r="T113" s="60">
        <f t="shared" si="88"/>
        <v>250.47702091764884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283.99999999999972</v>
      </c>
      <c r="AJ113" s="14">
        <f>AI113*VLOOKUP('Données projet'!$B$10,Paramètres!$A$1:$I$89,3,0)*VLOOKUP('Données projet'!$B$10,Paramètres!$A$1:$I$89,5,0)</f>
        <v>239.24159999999975</v>
      </c>
      <c r="AK113" s="14">
        <f t="shared" si="89"/>
        <v>58.276326982845781</v>
      </c>
      <c r="AL113" s="22">
        <f t="shared" si="58"/>
        <v>518.17705616178932</v>
      </c>
      <c r="AM113" s="60">
        <f t="shared" si="59"/>
        <v>798.13844511663524</v>
      </c>
      <c r="AN113" s="60">
        <f ca="1">AVERAGE(OFFSET($AM$3,0,0,'Données projet'!$E$10+1,1))-AVERAGE(OFFSET($H$3,0,0,'Données projet'!$E$10+1,1))</f>
        <v>442.49274132121275</v>
      </c>
      <c r="AO113" s="60">
        <f t="shared" si="90"/>
        <v>237.37463556402756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1.3035332813160495E-13</v>
      </c>
      <c r="BF113" s="14">
        <f t="shared" si="91"/>
        <v>1.8987770485018903E-12</v>
      </c>
      <c r="BG113" s="22">
        <f t="shared" si="61"/>
        <v>3.5340687393033375E-12</v>
      </c>
      <c r="BH113" s="60">
        <f t="shared" si="62"/>
        <v>279.96138895484938</v>
      </c>
      <c r="BI113" s="60">
        <f ca="1">AVERAGE(OFFSET($BH$3,0,0,'Données projet'!$E$11+1,1))-AVERAGE(OFFSET($H$3,0,0,'Données projet'!$E$11+1,1))</f>
        <v>267.90768140488603</v>
      </c>
      <c r="BJ113" s="60">
        <f t="shared" si="92"/>
        <v>280.25465074992258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4.6111381379887463E-14</v>
      </c>
      <c r="CA113" s="14">
        <f t="shared" si="93"/>
        <v>7.5804141040779151E-13</v>
      </c>
      <c r="CB113" s="22">
        <f t="shared" si="64"/>
        <v>1.4005661123635408E-12</v>
      </c>
      <c r="CC113" s="60">
        <f t="shared" si="65"/>
        <v>279.96138895484728</v>
      </c>
      <c r="CD113" s="60">
        <f ca="1">AVERAGE(OFFSET($CC$3,0,0,'Données projet'!$E$12+1,1))-AVERAGE(OFFSET($H$3,0,0,'Données projet'!$E$12+1,1))</f>
        <v>308.6594206517259</v>
      </c>
      <c r="CE113" s="60">
        <f t="shared" si="94"/>
        <v>258.90832875500325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253.2051282051282</v>
      </c>
      <c r="CR113" s="13">
        <f>VLOOKUP(A113,'Données projet'!$A$139:$I$159,9,0)</f>
        <v>3.0769230769230802</v>
      </c>
      <c r="CS113" s="13">
        <f t="array" ref="CS113">INDEX(CR:CR,MIN(IF(ISNUMBER(CR113:CR309),ROW(CR113:CR309),"")))</f>
        <v>3.0769230769230802</v>
      </c>
      <c r="CT113" s="13">
        <f>IF('Données projet'!$A$140&gt;35,CT112+CS113-DB112,IF(A113&lt;'Données projet'!$A$140,$CQ$205^A113,IF(A113='Données projet'!$A$140,'Données projet'!$B$140,CT112+CS113-DB112)))</f>
        <v>253.20512820512818</v>
      </c>
      <c r="CU113" s="18">
        <f>CT113*VLOOKUP('Données projet'!$B$13,Paramètres!$A$1:$I$89,3,0)*VLOOKUP('Données projet'!$B$13,Paramètres!$A$1:$I$89,5,0)</f>
        <v>240.94999999999996</v>
      </c>
      <c r="CV113" s="14">
        <f t="shared" si="95"/>
        <v>58.643880591265635</v>
      </c>
      <c r="CW113" s="22">
        <f t="shared" si="67"/>
        <v>521.79267536312091</v>
      </c>
      <c r="CX113" s="60">
        <f t="shared" si="68"/>
        <v>801.75406431796682</v>
      </c>
      <c r="CY113" s="60">
        <f ca="1">AVERAGE(OFFSET($CX$3,0,0,'Données projet'!$E$13+1,1))-AVERAGE(OFFSET($H$3,0,0,'Données projet'!$E$13+1,1))</f>
        <v>397.63792993520934</v>
      </c>
      <c r="CZ113" s="60">
        <f t="shared" si="96"/>
        <v>300.63705521148802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22.435897435897434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317.94871794871796</v>
      </c>
      <c r="DM113" s="13">
        <f>VLOOKUP(A113,'Données projet'!$A$165:$I$185,9,0)</f>
        <v>3.333333333333337</v>
      </c>
      <c r="DN113" s="13">
        <f t="array" ref="DN113">INDEX(DM:DM,MIN(IF(ISNUMBER(DM113:DM309),ROW(DM113:DM309),"")))</f>
        <v>3.333333333333337</v>
      </c>
      <c r="DO113" s="13">
        <f>IF('Données projet'!$A$166&gt;35,DO112+DN113-DW112,IF(A113&lt;'Données projet'!$A$166,$DL$205^A113,IF(A113='Données projet'!$A$166,'Données projet'!$B$166,DO112+DN113-DW112)))</f>
        <v>317.94871794871807</v>
      </c>
      <c r="DP113" s="18">
        <f>DO113*VLOOKUP('Données projet'!$B$14,Paramètres!$A$1:$I$89,3,0)*VLOOKUP('Données projet'!$B$14,Paramètres!$A$1:$I$89,5,0)</f>
        <v>213.28000000000006</v>
      </c>
      <c r="DQ113" s="14">
        <f t="shared" si="97"/>
        <v>52.651700420383257</v>
      </c>
      <c r="DR113" s="22">
        <f t="shared" si="70"/>
        <v>463.16437823216756</v>
      </c>
      <c r="DS113" s="60">
        <f t="shared" si="71"/>
        <v>743.12576718701348</v>
      </c>
      <c r="DT113" s="60">
        <f ca="1">AVERAGE(OFFSET($DS$3,0,0,'Données projet'!$E$14+1,1))-AVERAGE(OFFSET($H$3,0,0,'Données projet'!$E$14+1,1))</f>
        <v>343.94240546037798</v>
      </c>
      <c r="DU113" s="60">
        <f t="shared" si="98"/>
        <v>277.30931495079346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317.94871794871796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0.13926829777321212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0.13926829777321212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-2.8421709430404007E-13</v>
      </c>
      <c r="EK113" s="18">
        <f>EJ113*VLOOKUP('Données projet'!$B$15,Paramètres!$A$1:$I$89,3,0)*VLOOKUP('Données projet'!$B$15,Paramètres!$A$1:$I$89,5,0)</f>
        <v>-2.2168933355715128E-13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308.76306523144956</v>
      </c>
      <c r="EP113" s="60">
        <f t="shared" si="100"/>
        <v>283.28099819802776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-9.9316821433603781E-14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296.01124173332352</v>
      </c>
      <c r="FK113" s="60">
        <f t="shared" si="102"/>
        <v>315.50730924873733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265</v>
      </c>
      <c r="FX113" s="13">
        <f>VLOOKUP(A113,'Données projet'!$A$243:$I$263,9,0)</f>
        <v>3.9</v>
      </c>
      <c r="FY113" s="13">
        <f t="array" ref="FY113">INDEX(FX:FX,MIN(IF(ISNUMBER(FX113:FX309),ROW(FX113:FX309),"")))</f>
        <v>3.9</v>
      </c>
      <c r="FZ113" s="13">
        <f>IF('Données projet'!$A$244&gt;35,FZ112+FY113-GH112,IF(A113&lt;'Données projet'!$A$244,$FW$205^A113,IF(A113='Données projet'!$A$244,'Données projet'!$B$244,FZ112+FY113-GH112)))</f>
        <v>264.99999999999989</v>
      </c>
      <c r="GA113" s="18">
        <f>FZ113*VLOOKUP('Données projet'!$B$17,Paramètres!$A$1:$I$89,3,0)*VLOOKUP('Données projet'!$B$17,Paramètres!$A$1:$I$89,5,0)</f>
        <v>256.30799999999988</v>
      </c>
      <c r="GB113" s="14">
        <f t="shared" si="103"/>
        <v>61.934738894273849</v>
      </c>
      <c r="GC113" s="22">
        <f t="shared" si="79"/>
        <v>554.27277024086004</v>
      </c>
      <c r="GD113" s="60">
        <f t="shared" si="80"/>
        <v>834.23415919570584</v>
      </c>
      <c r="GE113" s="60">
        <f ca="1">AVERAGE(OFFSET($GD$3,0,0,'Données projet'!$E$17+1,1))-AVERAGE(OFFSET($H$3,0,0,'Données projet'!$E$17+1,1))</f>
        <v>391.18744390931187</v>
      </c>
      <c r="GF113" s="60">
        <f t="shared" si="104"/>
        <v>261.46982358454386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28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0.14845084791904228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0.14845084791904228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260.58239999999972</v>
      </c>
      <c r="P114" s="14">
        <f t="shared" si="87"/>
        <v>62.84650592989685</v>
      </c>
      <c r="Q114" s="22">
        <f t="shared" si="107"/>
        <v>563.30534449456991</v>
      </c>
      <c r="R114" s="60">
        <f t="shared" si="55"/>
        <v>843.49870678919342</v>
      </c>
      <c r="S114" s="60">
        <f ca="1">AVERAGE(OFFSET($R$3,0,0,'Données projet'!$E$9+1,1))-AVERAGE(OFFSET($H$3,0,0,'Données projet'!$E$9+1,1))</f>
        <v>469.15492079216403</v>
      </c>
      <c r="T114" s="60">
        <f t="shared" si="88"/>
        <v>250.47702091764884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287.99999999999972</v>
      </c>
      <c r="AJ114" s="14">
        <f>AI114*VLOOKUP('Données projet'!$B$10,Paramètres!$A$1:$I$89,3,0)*VLOOKUP('Données projet'!$B$10,Paramètres!$A$1:$I$89,5,0)</f>
        <v>242.6111999999998</v>
      </c>
      <c r="AK114" s="14">
        <f t="shared" si="89"/>
        <v>59.000988565915527</v>
      </c>
      <c r="AL114" s="22">
        <f t="shared" si="58"/>
        <v>525.30789508563589</v>
      </c>
      <c r="AM114" s="60">
        <f t="shared" si="59"/>
        <v>805.5012573802594</v>
      </c>
      <c r="AN114" s="60">
        <f ca="1">AVERAGE(OFFSET($AM$3,0,0,'Données projet'!$E$10+1,1))-AVERAGE(OFFSET($H$3,0,0,'Données projet'!$E$10+1,1))</f>
        <v>442.49274132121275</v>
      </c>
      <c r="AO114" s="60">
        <f t="shared" si="90"/>
        <v>237.37463556402756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1.3035332813160495E-13</v>
      </c>
      <c r="BF114" s="14">
        <f t="shared" si="91"/>
        <v>1.8987770485018903E-12</v>
      </c>
      <c r="BG114" s="22">
        <f t="shared" si="61"/>
        <v>3.5340687393033375E-12</v>
      </c>
      <c r="BH114" s="60">
        <f t="shared" si="62"/>
        <v>280.19336229462709</v>
      </c>
      <c r="BI114" s="60">
        <f ca="1">AVERAGE(OFFSET($BH$3,0,0,'Données projet'!$E$11+1,1))-AVERAGE(OFFSET($H$3,0,0,'Données projet'!$E$11+1,1))</f>
        <v>267.90768140488603</v>
      </c>
      <c r="BJ114" s="60">
        <f t="shared" si="92"/>
        <v>280.25465074992258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4.6111381379887463E-14</v>
      </c>
      <c r="CA114" s="14">
        <f t="shared" si="93"/>
        <v>7.5804141040779151E-13</v>
      </c>
      <c r="CB114" s="22">
        <f t="shared" si="64"/>
        <v>1.4005661123635408E-12</v>
      </c>
      <c r="CC114" s="60">
        <f t="shared" si="65"/>
        <v>280.19336229462499</v>
      </c>
      <c r="CD114" s="60">
        <f ca="1">AVERAGE(OFFSET($CC$3,0,0,'Données projet'!$E$12+1,1))-AVERAGE(OFFSET($H$3,0,0,'Données projet'!$E$12+1,1))</f>
        <v>308.6594206517259</v>
      </c>
      <c r="CE114" s="60">
        <f t="shared" si="94"/>
        <v>258.90832875500325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2.884615384615381</v>
      </c>
      <c r="CT114" s="13">
        <f>IF('Données projet'!$A$140&gt;35,CT113+CS114-DB113,IF(A114&lt;'Données projet'!$A$140,$CQ$205^A114,IF(A114='Données projet'!$A$140,'Données projet'!$B$140,CT113+CS114-DB113)))</f>
        <v>233.6538461538461</v>
      </c>
      <c r="CU114" s="18">
        <f>CT114*VLOOKUP('Données projet'!$B$13,Paramètres!$A$1:$I$89,3,0)*VLOOKUP('Données projet'!$B$13,Paramètres!$A$1:$I$89,5,0)</f>
        <v>222.34499999999997</v>
      </c>
      <c r="CV114" s="14">
        <f t="shared" si="95"/>
        <v>54.624244950543414</v>
      </c>
      <c r="CW114" s="22">
        <f t="shared" si="67"/>
        <v>482.3881016221963</v>
      </c>
      <c r="CX114" s="60">
        <f t="shared" si="68"/>
        <v>762.58146391681987</v>
      </c>
      <c r="CY114" s="60">
        <f ca="1">AVERAGE(OFFSET($CX$3,0,0,'Données projet'!$E$13+1,1))-AVERAGE(OFFSET($H$3,0,0,'Données projet'!$E$13+1,1))</f>
        <v>397.63792993520934</v>
      </c>
      <c r="CZ114" s="60">
        <f t="shared" si="96"/>
        <v>300.63705521148802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7.626113074366004E-14</v>
      </c>
      <c r="DQ114" s="14">
        <f t="shared" si="97"/>
        <v>1.1823749172251317E-12</v>
      </c>
      <c r="DR114" s="22">
        <f t="shared" si="70"/>
        <v>2.1921244502123119E-12</v>
      </c>
      <c r="DS114" s="60">
        <f t="shared" si="71"/>
        <v>280.19336229462579</v>
      </c>
      <c r="DT114" s="60">
        <f ca="1">AVERAGE(OFFSET($DS$3,0,0,'Données projet'!$E$14+1,1))-AVERAGE(OFFSET($H$3,0,0,'Données projet'!$E$14+1,1))</f>
        <v>343.94240546037798</v>
      </c>
      <c r="DU114" s="60">
        <f t="shared" si="98"/>
        <v>277.30931495079346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0.13545999884680215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0.13545999884680215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-2.8421709430404007E-13</v>
      </c>
      <c r="EK114" s="18">
        <f>EJ114*VLOOKUP('Données projet'!$B$15,Paramètres!$A$1:$I$89,3,0)*VLOOKUP('Données projet'!$B$15,Paramètres!$A$1:$I$89,5,0)</f>
        <v>-2.2168933355715128E-13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308.76306523144956</v>
      </c>
      <c r="EP114" s="60">
        <f t="shared" si="100"/>
        <v>283.28099819802776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-9.9316821433603781E-14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296.01124173332352</v>
      </c>
      <c r="FK114" s="60">
        <f t="shared" si="102"/>
        <v>315.50730924873733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3.6</v>
      </c>
      <c r="FZ114" s="13">
        <f>IF('Données projet'!$A$244&gt;35,FZ113+FY114-GH113,IF(A114&lt;'Données projet'!$A$244,$FW$205^A114,IF(A114='Données projet'!$A$244,'Données projet'!$B$244,FZ113+FY114-GH113)))</f>
        <v>240.59999999999991</v>
      </c>
      <c r="GA114" s="18">
        <f>FZ114*VLOOKUP('Données projet'!$B$17,Paramètres!$A$1:$I$89,3,0)*VLOOKUP('Données projet'!$B$17,Paramètres!$A$1:$I$89,5,0)</f>
        <v>232.7083199999999</v>
      </c>
      <c r="GB114" s="14">
        <f t="shared" si="103"/>
        <v>56.867884056979086</v>
      </c>
      <c r="GC114" s="22">
        <f t="shared" si="79"/>
        <v>504.34522206590503</v>
      </c>
      <c r="GD114" s="60">
        <f t="shared" si="80"/>
        <v>784.5385843605286</v>
      </c>
      <c r="GE114" s="60">
        <f ca="1">AVERAGE(OFFSET($GD$3,0,0,'Données projet'!$E$17+1,1))-AVERAGE(OFFSET($H$3,0,0,'Données projet'!$E$17+1,1))</f>
        <v>391.18744390931187</v>
      </c>
      <c r="GF114" s="60">
        <f t="shared" si="104"/>
        <v>261.46982358454386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0.14439145167600526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0.14439145167600526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264.2015999999997</v>
      </c>
      <c r="P115" s="14">
        <f t="shared" si="87"/>
        <v>63.617151975096711</v>
      </c>
      <c r="Q115" s="22">
        <f t="shared" si="107"/>
        <v>570.95099302329288</v>
      </c>
      <c r="R115" s="60">
        <f t="shared" si="55"/>
        <v>851.37230443886369</v>
      </c>
      <c r="S115" s="60">
        <f ca="1">AVERAGE(OFFSET($R$3,0,0,'Données projet'!$E$9+1,1))-AVERAGE(OFFSET($H$3,0,0,'Données projet'!$E$9+1,1))</f>
        <v>469.15492079216403</v>
      </c>
      <c r="T115" s="60">
        <f t="shared" si="88"/>
        <v>250.47702091764884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291.99999999999972</v>
      </c>
      <c r="AJ115" s="14">
        <f>AI115*VLOOKUP('Données projet'!$B$10,Paramètres!$A$1:$I$89,3,0)*VLOOKUP('Données projet'!$B$10,Paramètres!$A$1:$I$89,5,0)</f>
        <v>245.98079999999979</v>
      </c>
      <c r="AK115" s="14">
        <f t="shared" si="89"/>
        <v>59.724479519444813</v>
      </c>
      <c r="AL115" s="22">
        <f t="shared" si="58"/>
        <v>532.4366951630326</v>
      </c>
      <c r="AM115" s="60">
        <f t="shared" si="59"/>
        <v>812.85800657860341</v>
      </c>
      <c r="AN115" s="60">
        <f ca="1">AVERAGE(OFFSET($AM$3,0,0,'Données projet'!$E$10+1,1))-AVERAGE(OFFSET($H$3,0,0,'Données projet'!$E$10+1,1))</f>
        <v>442.49274132121275</v>
      </c>
      <c r="AO115" s="60">
        <f t="shared" si="90"/>
        <v>237.37463556402756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1.3035332813160495E-13</v>
      </c>
      <c r="BF115" s="14">
        <f t="shared" si="91"/>
        <v>1.8987770485018903E-12</v>
      </c>
      <c r="BG115" s="22">
        <f t="shared" si="61"/>
        <v>3.5340687393033375E-12</v>
      </c>
      <c r="BH115" s="60">
        <f t="shared" si="62"/>
        <v>280.42131141557439</v>
      </c>
      <c r="BI115" s="60">
        <f ca="1">AVERAGE(OFFSET($BH$3,0,0,'Données projet'!$E$11+1,1))-AVERAGE(OFFSET($H$3,0,0,'Données projet'!$E$11+1,1))</f>
        <v>267.90768140488603</v>
      </c>
      <c r="BJ115" s="60">
        <f t="shared" si="92"/>
        <v>280.25465074992258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4.6111381379887463E-14</v>
      </c>
      <c r="CA115" s="14">
        <f t="shared" si="93"/>
        <v>7.5804141040779151E-13</v>
      </c>
      <c r="CB115" s="22">
        <f t="shared" si="64"/>
        <v>1.4005661123635408E-12</v>
      </c>
      <c r="CC115" s="60">
        <f t="shared" si="65"/>
        <v>280.42131141557229</v>
      </c>
      <c r="CD115" s="60">
        <f ca="1">AVERAGE(OFFSET($CC$3,0,0,'Données projet'!$E$12+1,1))-AVERAGE(OFFSET($H$3,0,0,'Données projet'!$E$12+1,1))</f>
        <v>308.6594206517259</v>
      </c>
      <c r="CE115" s="60">
        <f t="shared" si="94"/>
        <v>258.90832875500325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2.884615384615381</v>
      </c>
      <c r="CT115" s="13">
        <f>IF('Données projet'!$A$140&gt;35,CT114+CS115-DB114,IF(A115&lt;'Données projet'!$A$140,$CQ$205^A115,IF(A115='Données projet'!$A$140,'Données projet'!$B$140,CT114+CS115-DB114)))</f>
        <v>236.53846153846149</v>
      </c>
      <c r="CU115" s="18">
        <f>CT115*VLOOKUP('Données projet'!$B$13,Paramètres!$A$1:$I$89,3,0)*VLOOKUP('Données projet'!$B$13,Paramètres!$A$1:$I$89,5,0)</f>
        <v>225.08999999999997</v>
      </c>
      <c r="CV115" s="14">
        <f t="shared" si="95"/>
        <v>55.219695087965867</v>
      </c>
      <c r="CW115" s="22">
        <f t="shared" si="67"/>
        <v>488.20605227820715</v>
      </c>
      <c r="CX115" s="60">
        <f t="shared" si="68"/>
        <v>768.62736369377808</v>
      </c>
      <c r="CY115" s="60">
        <f ca="1">AVERAGE(OFFSET($CX$3,0,0,'Données projet'!$E$13+1,1))-AVERAGE(OFFSET($H$3,0,0,'Données projet'!$E$13+1,1))</f>
        <v>397.63792993520934</v>
      </c>
      <c r="CZ115" s="60">
        <f t="shared" si="96"/>
        <v>300.63705521148802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7.626113074366004E-14</v>
      </c>
      <c r="DQ115" s="14">
        <f t="shared" si="97"/>
        <v>1.1823749172251317E-12</v>
      </c>
      <c r="DR115" s="22">
        <f t="shared" si="70"/>
        <v>2.1921244502123119E-12</v>
      </c>
      <c r="DS115" s="60">
        <f t="shared" si="71"/>
        <v>280.42131141557309</v>
      </c>
      <c r="DT115" s="60">
        <f ca="1">AVERAGE(OFFSET($DS$3,0,0,'Données projet'!$E$14+1,1))-AVERAGE(OFFSET($H$3,0,0,'Données projet'!$E$14+1,1))</f>
        <v>343.94240546037798</v>
      </c>
      <c r="DU115" s="60">
        <f t="shared" si="98"/>
        <v>277.30931495079346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0.13175583805480462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0.13175583805480462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-2.8421709430404007E-13</v>
      </c>
      <c r="EK115" s="18">
        <f>EJ115*VLOOKUP('Données projet'!$B$15,Paramètres!$A$1:$I$89,3,0)*VLOOKUP('Données projet'!$B$15,Paramètres!$A$1:$I$89,5,0)</f>
        <v>-2.2168933355715128E-13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308.76306523144956</v>
      </c>
      <c r="EP115" s="60">
        <f t="shared" si="100"/>
        <v>283.28099819802776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-9.9316821433603781E-14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296.01124173332352</v>
      </c>
      <c r="FK115" s="60">
        <f t="shared" si="102"/>
        <v>315.50730924873733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3.6</v>
      </c>
      <c r="FZ115" s="13">
        <f>IF('Données projet'!$A$244&gt;35,FZ114+FY115-GH114,IF(A115&lt;'Données projet'!$A$244,$FW$205^A115,IF(A115='Données projet'!$A$244,'Données projet'!$B$244,FZ114+FY115-GH114)))</f>
        <v>244.1999999999999</v>
      </c>
      <c r="GA115" s="18">
        <f>FZ115*VLOOKUP('Données projet'!$B$17,Paramètres!$A$1:$I$89,3,0)*VLOOKUP('Données projet'!$B$17,Paramètres!$A$1:$I$89,5,0)</f>
        <v>236.1902399999999</v>
      </c>
      <c r="GB115" s="14">
        <f t="shared" si="103"/>
        <v>57.61908026505639</v>
      </c>
      <c r="GC115" s="22">
        <f t="shared" si="79"/>
        <v>511.71789946163966</v>
      </c>
      <c r="GD115" s="60">
        <f t="shared" si="80"/>
        <v>792.13921087721053</v>
      </c>
      <c r="GE115" s="60">
        <f ca="1">AVERAGE(OFFSET($GD$3,0,0,'Données projet'!$E$17+1,1))-AVERAGE(OFFSET($H$3,0,0,'Données projet'!$E$17+1,1))</f>
        <v>391.18744390931187</v>
      </c>
      <c r="GF115" s="60">
        <f t="shared" si="104"/>
        <v>261.46982358454386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0.14044305983670846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0.14044305983670846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267.82079999999974</v>
      </c>
      <c r="P116" s="14">
        <f t="shared" si="87"/>
        <v>64.386570147897245</v>
      </c>
      <c r="Q116" s="22">
        <f t="shared" si="107"/>
        <v>578.59450300758726</v>
      </c>
      <c r="R116" s="60">
        <f t="shared" si="55"/>
        <v>859.23980913647483</v>
      </c>
      <c r="S116" s="60">
        <f ca="1">AVERAGE(OFFSET($R$3,0,0,'Données projet'!$E$9+1,1))-AVERAGE(OFFSET($H$3,0,0,'Données projet'!$E$9+1,1))</f>
        <v>469.15492079216403</v>
      </c>
      <c r="T116" s="60">
        <f t="shared" si="88"/>
        <v>250.47702091764884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295.99999999999972</v>
      </c>
      <c r="AJ116" s="14">
        <f>AI116*VLOOKUP('Données projet'!$B$10,Paramètres!$A$1:$I$89,3,0)*VLOOKUP('Données projet'!$B$10,Paramètres!$A$1:$I$89,5,0)</f>
        <v>249.35039999999978</v>
      </c>
      <c r="AK116" s="14">
        <f t="shared" si="89"/>
        <v>60.446817732908109</v>
      </c>
      <c r="AL116" s="22">
        <f t="shared" si="58"/>
        <v>539.56348755148122</v>
      </c>
      <c r="AM116" s="60">
        <f t="shared" si="59"/>
        <v>820.2087936803689</v>
      </c>
      <c r="AN116" s="60">
        <f ca="1">AVERAGE(OFFSET($AM$3,0,0,'Données projet'!$E$10+1,1))-AVERAGE(OFFSET($H$3,0,0,'Données projet'!$E$10+1,1))</f>
        <v>442.49274132121275</v>
      </c>
      <c r="AO116" s="60">
        <f t="shared" si="90"/>
        <v>237.37463556402756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1.3035332813160495E-13</v>
      </c>
      <c r="BF116" s="14">
        <f t="shared" si="91"/>
        <v>1.8987770485018903E-12</v>
      </c>
      <c r="BG116" s="22">
        <f t="shared" si="61"/>
        <v>3.5340687393033375E-12</v>
      </c>
      <c r="BH116" s="60">
        <f t="shared" si="62"/>
        <v>280.64530612889115</v>
      </c>
      <c r="BI116" s="60">
        <f ca="1">AVERAGE(OFFSET($BH$3,0,0,'Données projet'!$E$11+1,1))-AVERAGE(OFFSET($H$3,0,0,'Données projet'!$E$11+1,1))</f>
        <v>267.90768140488603</v>
      </c>
      <c r="BJ116" s="60">
        <f t="shared" si="92"/>
        <v>280.25465074992258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4.6111381379887463E-14</v>
      </c>
      <c r="CA116" s="14">
        <f t="shared" si="93"/>
        <v>7.5804141040779151E-13</v>
      </c>
      <c r="CB116" s="22">
        <f t="shared" si="64"/>
        <v>1.4005661123635408E-12</v>
      </c>
      <c r="CC116" s="60">
        <f t="shared" si="65"/>
        <v>280.64530612888905</v>
      </c>
      <c r="CD116" s="60">
        <f ca="1">AVERAGE(OFFSET($CC$3,0,0,'Données projet'!$E$12+1,1))-AVERAGE(OFFSET($H$3,0,0,'Données projet'!$E$12+1,1))</f>
        <v>308.6594206517259</v>
      </c>
      <c r="CE116" s="60">
        <f t="shared" si="94"/>
        <v>258.90832875500325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2.884615384615381</v>
      </c>
      <c r="CT116" s="13">
        <f>IF('Données projet'!$A$140&gt;35,CT115+CS116-DB115,IF(A116&lt;'Données projet'!$A$140,$CQ$205^A116,IF(A116='Données projet'!$A$140,'Données projet'!$B$140,CT115+CS116-DB115)))</f>
        <v>239.42307692307688</v>
      </c>
      <c r="CU116" s="18">
        <f>CT116*VLOOKUP('Données projet'!$B$13,Paramètres!$A$1:$I$89,3,0)*VLOOKUP('Données projet'!$B$13,Paramètres!$A$1:$I$89,5,0)</f>
        <v>227.83499999999998</v>
      </c>
      <c r="CV116" s="14">
        <f t="shared" si="95"/>
        <v>55.814300554153057</v>
      </c>
      <c r="CW116" s="22">
        <f t="shared" si="67"/>
        <v>494.02253179848321</v>
      </c>
      <c r="CX116" s="60">
        <f t="shared" si="68"/>
        <v>774.66783792737078</v>
      </c>
      <c r="CY116" s="60">
        <f ca="1">AVERAGE(OFFSET($CX$3,0,0,'Données projet'!$E$13+1,1))-AVERAGE(OFFSET($H$3,0,0,'Données projet'!$E$13+1,1))</f>
        <v>397.63792993520934</v>
      </c>
      <c r="CZ116" s="60">
        <f t="shared" si="96"/>
        <v>300.63705521148802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7.626113074366004E-14</v>
      </c>
      <c r="DQ116" s="14">
        <f t="shared" si="97"/>
        <v>1.1823749172251317E-12</v>
      </c>
      <c r="DR116" s="22">
        <f t="shared" si="70"/>
        <v>2.1921244502123119E-12</v>
      </c>
      <c r="DS116" s="60">
        <f t="shared" si="71"/>
        <v>280.64530612888984</v>
      </c>
      <c r="DT116" s="60">
        <f ca="1">AVERAGE(OFFSET($DS$3,0,0,'Données projet'!$E$14+1,1))-AVERAGE(OFFSET($H$3,0,0,'Données projet'!$E$14+1,1))</f>
        <v>343.94240546037798</v>
      </c>
      <c r="DU116" s="60">
        <f t="shared" si="98"/>
        <v>277.30931495079346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0.12815296773445758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0.12815296773445758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-2.8421709430404007E-13</v>
      </c>
      <c r="EK116" s="18">
        <f>EJ116*VLOOKUP('Données projet'!$B$15,Paramètres!$A$1:$I$89,3,0)*VLOOKUP('Données projet'!$B$15,Paramètres!$A$1:$I$89,5,0)</f>
        <v>-2.2168933355715128E-13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308.76306523144956</v>
      </c>
      <c r="EP116" s="60">
        <f t="shared" si="100"/>
        <v>283.28099819802776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-9.9316821433603781E-14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296.01124173332352</v>
      </c>
      <c r="FK116" s="60">
        <f t="shared" si="102"/>
        <v>315.50730924873733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3.6</v>
      </c>
      <c r="FZ116" s="13">
        <f>IF('Données projet'!$A$244&gt;35,FZ115+FY116-GH115,IF(A116&lt;'Données projet'!$A$244,$FW$205^A116,IF(A116='Données projet'!$A$244,'Données projet'!$B$244,FZ115+FY116-GH115)))</f>
        <v>247.7999999999999</v>
      </c>
      <c r="GA116" s="18">
        <f>FZ116*VLOOKUP('Données projet'!$B$17,Paramètres!$A$1:$I$89,3,0)*VLOOKUP('Données projet'!$B$17,Paramètres!$A$1:$I$89,5,0)</f>
        <v>239.67215999999991</v>
      </c>
      <c r="GB116" s="14">
        <f t="shared" si="103"/>
        <v>58.368988498598384</v>
      </c>
      <c r="GC116" s="22">
        <f t="shared" si="79"/>
        <v>519.0883336350588</v>
      </c>
      <c r="GD116" s="60">
        <f t="shared" si="80"/>
        <v>799.73363976394648</v>
      </c>
      <c r="GE116" s="60">
        <f ca="1">AVERAGE(OFFSET($GD$3,0,0,'Données projet'!$E$17+1,1))-AVERAGE(OFFSET($H$3,0,0,'Données projet'!$E$17+1,1))</f>
        <v>391.18744390931187</v>
      </c>
      <c r="GF116" s="60">
        <f t="shared" si="104"/>
        <v>261.46982358454386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0.13660263697989414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0.13660263697989414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271.43999999999977</v>
      </c>
      <c r="P117" s="14">
        <f t="shared" si="87"/>
        <v>65.154778959151116</v>
      </c>
      <c r="Q117" s="22">
        <f t="shared" si="107"/>
        <v>586.23590668718782</v>
      </c>
      <c r="R117" s="60">
        <f t="shared" si="55"/>
        <v>867.10132172189333</v>
      </c>
      <c r="S117" s="60">
        <f ca="1">AVERAGE(OFFSET($R$3,0,0,'Données projet'!$E$9+1,1))-AVERAGE(OFFSET($H$3,0,0,'Données projet'!$E$9+1,1))</f>
        <v>469.15492079216403</v>
      </c>
      <c r="T117" s="60">
        <f t="shared" si="88"/>
        <v>250.47702091764884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299.99999999999972</v>
      </c>
      <c r="AJ117" s="14">
        <f>AI117*VLOOKUP('Données projet'!$B$10,Paramètres!$A$1:$I$89,3,0)*VLOOKUP('Données projet'!$B$10,Paramètres!$A$1:$I$89,5,0)</f>
        <v>252.7199999999998</v>
      </c>
      <c r="AK117" s="14">
        <f t="shared" si="89"/>
        <v>61.168020584496766</v>
      </c>
      <c r="AL117" s="22">
        <f t="shared" si="58"/>
        <v>546.6883025179983</v>
      </c>
      <c r="AM117" s="60">
        <f t="shared" si="59"/>
        <v>827.5537175527038</v>
      </c>
      <c r="AN117" s="60">
        <f ca="1">AVERAGE(OFFSET($AM$3,0,0,'Données projet'!$E$10+1,1))-AVERAGE(OFFSET($H$3,0,0,'Données projet'!$E$10+1,1))</f>
        <v>442.49274132121275</v>
      </c>
      <c r="AO117" s="60">
        <f t="shared" si="90"/>
        <v>237.37463556402756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1.3035332813160495E-13</v>
      </c>
      <c r="BF117" s="14">
        <f t="shared" si="91"/>
        <v>1.8987770485018903E-12</v>
      </c>
      <c r="BG117" s="22">
        <f t="shared" si="61"/>
        <v>3.5340687393033375E-12</v>
      </c>
      <c r="BH117" s="60">
        <f t="shared" si="62"/>
        <v>280.86541503470897</v>
      </c>
      <c r="BI117" s="60">
        <f ca="1">AVERAGE(OFFSET($BH$3,0,0,'Données projet'!$E$11+1,1))-AVERAGE(OFFSET($H$3,0,0,'Données projet'!$E$11+1,1))</f>
        <v>267.90768140488603</v>
      </c>
      <c r="BJ117" s="60">
        <f t="shared" si="92"/>
        <v>280.25465074992258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4.6111381379887463E-14</v>
      </c>
      <c r="CA117" s="14">
        <f t="shared" si="93"/>
        <v>7.5804141040779151E-13</v>
      </c>
      <c r="CB117" s="22">
        <f t="shared" si="64"/>
        <v>1.4005661123635408E-12</v>
      </c>
      <c r="CC117" s="60">
        <f t="shared" si="65"/>
        <v>280.86541503470687</v>
      </c>
      <c r="CD117" s="60">
        <f ca="1">AVERAGE(OFFSET($CC$3,0,0,'Données projet'!$E$12+1,1))-AVERAGE(OFFSET($H$3,0,0,'Données projet'!$E$12+1,1))</f>
        <v>308.6594206517259</v>
      </c>
      <c r="CE117" s="60">
        <f t="shared" si="94"/>
        <v>258.90832875500325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2.884615384615381</v>
      </c>
      <c r="CT117" s="13">
        <f>IF('Données projet'!$A$140&gt;35,CT116+CS117-DB116,IF(A117&lt;'Données projet'!$A$140,$CQ$205^A117,IF(A117='Données projet'!$A$140,'Données projet'!$B$140,CT116+CS117-DB116)))</f>
        <v>242.30769230769226</v>
      </c>
      <c r="CU117" s="18">
        <f>CT117*VLOOKUP('Données projet'!$B$13,Paramètres!$A$1:$I$89,3,0)*VLOOKUP('Données projet'!$B$13,Paramètres!$A$1:$I$89,5,0)</f>
        <v>230.57999999999993</v>
      </c>
      <c r="CV117" s="14">
        <f t="shared" si="95"/>
        <v>56.408072703031301</v>
      </c>
      <c r="CW117" s="22">
        <f t="shared" si="67"/>
        <v>499.83755995777932</v>
      </c>
      <c r="CX117" s="60">
        <f t="shared" si="68"/>
        <v>780.70297499248477</v>
      </c>
      <c r="CY117" s="60">
        <f ca="1">AVERAGE(OFFSET($CX$3,0,0,'Données projet'!$E$13+1,1))-AVERAGE(OFFSET($H$3,0,0,'Données projet'!$E$13+1,1))</f>
        <v>397.63792993520934</v>
      </c>
      <c r="CZ117" s="60">
        <f t="shared" si="96"/>
        <v>300.63705521148802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7.626113074366004E-14</v>
      </c>
      <c r="DQ117" s="14">
        <f t="shared" si="97"/>
        <v>1.1823749172251317E-12</v>
      </c>
      <c r="DR117" s="22">
        <f t="shared" si="70"/>
        <v>2.1921244502123119E-12</v>
      </c>
      <c r="DS117" s="60">
        <f t="shared" si="71"/>
        <v>280.86541503470767</v>
      </c>
      <c r="DT117" s="60">
        <f ca="1">AVERAGE(OFFSET($DS$3,0,0,'Données projet'!$E$14+1,1))-AVERAGE(OFFSET($H$3,0,0,'Données projet'!$E$14+1,1))</f>
        <v>343.94240546037798</v>
      </c>
      <c r="DU117" s="60">
        <f t="shared" si="98"/>
        <v>277.30931495079346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0.12464861809248716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0.12464861809248716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-2.8421709430404007E-13</v>
      </c>
      <c r="EK117" s="18">
        <f>EJ117*VLOOKUP('Données projet'!$B$15,Paramètres!$A$1:$I$89,3,0)*VLOOKUP('Données projet'!$B$15,Paramètres!$A$1:$I$89,5,0)</f>
        <v>-2.2168933355715128E-13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308.76306523144956</v>
      </c>
      <c r="EP117" s="60">
        <f t="shared" si="100"/>
        <v>283.28099819802776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-9.9316821433603781E-14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296.01124173332352</v>
      </c>
      <c r="FK117" s="60">
        <f t="shared" si="102"/>
        <v>315.50730924873733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3.6</v>
      </c>
      <c r="FZ117" s="13">
        <f>IF('Données projet'!$A$244&gt;35,FZ116+FY117-GH116,IF(A117&lt;'Données projet'!$A$244,$FW$205^A117,IF(A117='Données projet'!$A$244,'Données projet'!$B$244,FZ116+FY117-GH116)))</f>
        <v>251.39999999999989</v>
      </c>
      <c r="GA117" s="18">
        <f>FZ117*VLOOKUP('Données projet'!$B$17,Paramètres!$A$1:$I$89,3,0)*VLOOKUP('Données projet'!$B$17,Paramètres!$A$1:$I$89,5,0)</f>
        <v>243.15407999999991</v>
      </c>
      <c r="GB117" s="14">
        <f t="shared" si="103"/>
        <v>59.117629630943199</v>
      </c>
      <c r="GC117" s="22">
        <f t="shared" si="79"/>
        <v>526.45656094055926</v>
      </c>
      <c r="GD117" s="60">
        <f t="shared" si="80"/>
        <v>807.32197597526465</v>
      </c>
      <c r="GE117" s="60">
        <f ca="1">AVERAGE(OFFSET($GD$3,0,0,'Données projet'!$E$17+1,1))-AVERAGE(OFFSET($H$3,0,0,'Données projet'!$E$17+1,1))</f>
        <v>391.18744390931187</v>
      </c>
      <c r="GF117" s="60">
        <f t="shared" si="104"/>
        <v>261.46982358454386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0.13286723068805847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0.13286723068805847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275.05919999999975</v>
      </c>
      <c r="P118" s="14">
        <f t="shared" si="87"/>
        <v>65.921796397718325</v>
      </c>
      <c r="Q118" s="22">
        <f t="shared" si="107"/>
        <v>593.87523539269228</v>
      </c>
      <c r="R118" s="60">
        <f t="shared" si="55"/>
        <v>874.95694093578959</v>
      </c>
      <c r="S118" s="60">
        <f ca="1">AVERAGE(OFFSET($R$3,0,0,'Données projet'!$E$9+1,1))-AVERAGE(OFFSET($H$3,0,0,'Données projet'!$E$9+1,1))</f>
        <v>469.15492079216403</v>
      </c>
      <c r="T118" s="60">
        <f t="shared" si="88"/>
        <v>250.47702091764884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303.99999999999972</v>
      </c>
      <c r="AJ118" s="14">
        <f>AI118*VLOOKUP('Données projet'!$B$10,Paramètres!$A$1:$I$89,3,0)*VLOOKUP('Données projet'!$B$10,Paramètres!$A$1:$I$89,5,0)</f>
        <v>256.08959999999979</v>
      </c>
      <c r="AK118" s="14">
        <f t="shared" si="89"/>
        <v>61.888104962349715</v>
      </c>
      <c r="AL118" s="22">
        <f t="shared" si="58"/>
        <v>553.811169476092</v>
      </c>
      <c r="AM118" s="60">
        <f t="shared" si="59"/>
        <v>834.8928750191892</v>
      </c>
      <c r="AN118" s="60">
        <f ca="1">AVERAGE(OFFSET($AM$3,0,0,'Données projet'!$E$10+1,1))-AVERAGE(OFFSET($H$3,0,0,'Données projet'!$E$10+1,1))</f>
        <v>442.49274132121275</v>
      </c>
      <c r="AO118" s="60">
        <f t="shared" si="90"/>
        <v>237.37463556402756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1.3035332813160495E-13</v>
      </c>
      <c r="BF118" s="14">
        <f t="shared" si="91"/>
        <v>1.8987770485018903E-12</v>
      </c>
      <c r="BG118" s="22">
        <f t="shared" si="61"/>
        <v>3.5340687393033375E-12</v>
      </c>
      <c r="BH118" s="60">
        <f t="shared" si="62"/>
        <v>281.08170554310078</v>
      </c>
      <c r="BI118" s="60">
        <f ca="1">AVERAGE(OFFSET($BH$3,0,0,'Données projet'!$E$11+1,1))-AVERAGE(OFFSET($H$3,0,0,'Données projet'!$E$11+1,1))</f>
        <v>267.90768140488603</v>
      </c>
      <c r="BJ118" s="60">
        <f t="shared" si="92"/>
        <v>280.25465074992258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4.6111381379887463E-14</v>
      </c>
      <c r="CA118" s="14">
        <f t="shared" si="93"/>
        <v>7.5804141040779151E-13</v>
      </c>
      <c r="CB118" s="22">
        <f t="shared" si="64"/>
        <v>1.4005661123635408E-12</v>
      </c>
      <c r="CC118" s="60">
        <f t="shared" si="65"/>
        <v>281.08170554309868</v>
      </c>
      <c r="CD118" s="60">
        <f ca="1">AVERAGE(OFFSET($CC$3,0,0,'Données projet'!$E$12+1,1))-AVERAGE(OFFSET($H$3,0,0,'Données projet'!$E$12+1,1))</f>
        <v>308.6594206517259</v>
      </c>
      <c r="CE118" s="60">
        <f t="shared" si="94"/>
        <v>258.90832875500325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2.884615384615381</v>
      </c>
      <c r="CT118" s="13">
        <f>IF('Données projet'!$A$140&gt;35,CT117+CS118-DB117,IF(A118&lt;'Données projet'!$A$140,$CQ$205^A118,IF(A118='Données projet'!$A$140,'Données projet'!$B$140,CT117+CS118-DB117)))</f>
        <v>245.19230769230765</v>
      </c>
      <c r="CU118" s="18">
        <f>CT118*VLOOKUP('Données projet'!$B$13,Paramètres!$A$1:$I$89,3,0)*VLOOKUP('Données projet'!$B$13,Paramètres!$A$1:$I$89,5,0)</f>
        <v>233.32499999999993</v>
      </c>
      <c r="CV118" s="14">
        <f t="shared" si="95"/>
        <v>57.001022602640177</v>
      </c>
      <c r="CW118" s="22">
        <f t="shared" si="67"/>
        <v>505.65115603293151</v>
      </c>
      <c r="CX118" s="60">
        <f t="shared" si="68"/>
        <v>786.73286157602877</v>
      </c>
      <c r="CY118" s="60">
        <f ca="1">AVERAGE(OFFSET($CX$3,0,0,'Données projet'!$E$13+1,1))-AVERAGE(OFFSET($H$3,0,0,'Données projet'!$E$13+1,1))</f>
        <v>397.63792993520934</v>
      </c>
      <c r="CZ118" s="60">
        <f t="shared" si="96"/>
        <v>300.63705521148802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7.626113074366004E-14</v>
      </c>
      <c r="DQ118" s="14">
        <f t="shared" si="97"/>
        <v>1.1823749172251317E-12</v>
      </c>
      <c r="DR118" s="22">
        <f t="shared" si="70"/>
        <v>2.1921244502123119E-12</v>
      </c>
      <c r="DS118" s="60">
        <f t="shared" si="71"/>
        <v>281.08170554309947</v>
      </c>
      <c r="DT118" s="60">
        <f ca="1">AVERAGE(OFFSET($DS$3,0,0,'Données projet'!$E$14+1,1))-AVERAGE(OFFSET($H$3,0,0,'Données projet'!$E$14+1,1))</f>
        <v>343.94240546037798</v>
      </c>
      <c r="DU118" s="60">
        <f t="shared" si="98"/>
        <v>277.30931495079346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0.12124009507576217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0.12124009507576217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-2.8421709430404007E-13</v>
      </c>
      <c r="EK118" s="18">
        <f>EJ118*VLOOKUP('Données projet'!$B$15,Paramètres!$A$1:$I$89,3,0)*VLOOKUP('Données projet'!$B$15,Paramètres!$A$1:$I$89,5,0)</f>
        <v>-2.2168933355715128E-13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308.76306523144956</v>
      </c>
      <c r="EP118" s="60">
        <f t="shared" si="100"/>
        <v>283.28099819802776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-9.9316821433603781E-14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296.01124173332352</v>
      </c>
      <c r="FK118" s="60">
        <f t="shared" si="102"/>
        <v>315.50730924873733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3.6</v>
      </c>
      <c r="FZ118" s="13">
        <f>IF('Données projet'!$A$244&gt;35,FZ117+FY118-GH117,IF(A118&lt;'Données projet'!$A$244,$FW$205^A118,IF(A118='Données projet'!$A$244,'Données projet'!$B$244,FZ117+FY118-GH117)))</f>
        <v>254.99999999999989</v>
      </c>
      <c r="GA118" s="18">
        <f>FZ118*VLOOKUP('Données projet'!$B$17,Paramètres!$A$1:$I$89,3,0)*VLOOKUP('Données projet'!$B$17,Paramètres!$A$1:$I$89,5,0)</f>
        <v>246.63599999999991</v>
      </c>
      <c r="GB118" s="14">
        <f t="shared" si="103"/>
        <v>59.865023903294535</v>
      </c>
      <c r="GC118" s="22">
        <f t="shared" si="79"/>
        <v>533.82261663157112</v>
      </c>
      <c r="GD118" s="60">
        <f t="shared" si="80"/>
        <v>814.90432217466832</v>
      </c>
      <c r="GE118" s="60">
        <f ca="1">AVERAGE(OFFSET($GD$3,0,0,'Données projet'!$E$17+1,1))-AVERAGE(OFFSET($H$3,0,0,'Données projet'!$E$17+1,1))</f>
        <v>391.18744390931187</v>
      </c>
      <c r="GF118" s="60">
        <f t="shared" si="104"/>
        <v>261.46982358454386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0.12923396927770953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0.12923396927770953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244.65791999999973</v>
      </c>
      <c r="P119" s="14">
        <f t="shared" si="87"/>
        <v>59.44058075210863</v>
      </c>
      <c r="Q119" s="22">
        <f t="shared" si="107"/>
        <v>529.63822214325535</v>
      </c>
      <c r="R119" s="60">
        <f t="shared" si="55"/>
        <v>810.93246603797684</v>
      </c>
      <c r="S119" s="60">
        <f ca="1">AVERAGE(OFFSET($R$3,0,0,'Données projet'!$E$9+1,1))-AVERAGE(OFFSET($H$3,0,0,'Données projet'!$E$9+1,1))</f>
        <v>469.15492079216403</v>
      </c>
      <c r="T119" s="60">
        <f t="shared" si="88"/>
        <v>250.47702091764884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270.39999999999969</v>
      </c>
      <c r="AJ119" s="14">
        <f>AI119*VLOOKUP('Données projet'!$B$10,Paramètres!$A$1:$I$89,3,0)*VLOOKUP('Données projet'!$B$10,Paramètres!$A$1:$I$89,5,0)</f>
        <v>227.78495999999978</v>
      </c>
      <c r="AK119" s="14">
        <f t="shared" si="89"/>
        <v>55.803468680001693</v>
      </c>
      <c r="AL119" s="22">
        <f t="shared" si="58"/>
        <v>493.91651328433591</v>
      </c>
      <c r="AM119" s="60">
        <f t="shared" si="59"/>
        <v>775.2107571790574</v>
      </c>
      <c r="AN119" s="60">
        <f ca="1">AVERAGE(OFFSET($AM$3,0,0,'Données projet'!$E$10+1,1))-AVERAGE(OFFSET($H$3,0,0,'Données projet'!$E$10+1,1))</f>
        <v>442.49274132121275</v>
      </c>
      <c r="AO119" s="60">
        <f t="shared" si="90"/>
        <v>237.37463556402756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1.3035332813160495E-13</v>
      </c>
      <c r="BF119" s="14">
        <f t="shared" si="91"/>
        <v>1.8987770485018903E-12</v>
      </c>
      <c r="BG119" s="22">
        <f t="shared" si="61"/>
        <v>3.5340687393033375E-12</v>
      </c>
      <c r="BH119" s="60">
        <f t="shared" si="62"/>
        <v>281.29424389472501</v>
      </c>
      <c r="BI119" s="60">
        <f ca="1">AVERAGE(OFFSET($BH$3,0,0,'Données projet'!$E$11+1,1))-AVERAGE(OFFSET($H$3,0,0,'Données projet'!$E$11+1,1))</f>
        <v>267.90768140488603</v>
      </c>
      <c r="BJ119" s="60">
        <f t="shared" si="92"/>
        <v>280.25465074992258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4.6111381379887463E-14</v>
      </c>
      <c r="CA119" s="14">
        <f t="shared" si="93"/>
        <v>7.5804141040779151E-13</v>
      </c>
      <c r="CB119" s="22">
        <f t="shared" si="64"/>
        <v>1.4005661123635408E-12</v>
      </c>
      <c r="CC119" s="60">
        <f t="shared" si="65"/>
        <v>281.29424389472291</v>
      </c>
      <c r="CD119" s="60">
        <f ca="1">AVERAGE(OFFSET($CC$3,0,0,'Données projet'!$E$12+1,1))-AVERAGE(OFFSET($H$3,0,0,'Données projet'!$E$12+1,1))</f>
        <v>308.6594206517259</v>
      </c>
      <c r="CE119" s="60">
        <f t="shared" si="94"/>
        <v>258.90832875500325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2.884615384615381</v>
      </c>
      <c r="CT119" s="13">
        <f>IF('Données projet'!$A$140&gt;35,CT118+CS119-DB118,IF(A119&lt;'Données projet'!$A$140,$CQ$205^A119,IF(A119='Données projet'!$A$140,'Données projet'!$B$140,CT118+CS119-DB118)))</f>
        <v>248.07692307692304</v>
      </c>
      <c r="CU119" s="18">
        <f>CT119*VLOOKUP('Données projet'!$B$13,Paramètres!$A$1:$I$89,3,0)*VLOOKUP('Données projet'!$B$13,Paramètres!$A$1:$I$89,5,0)</f>
        <v>236.06999999999994</v>
      </c>
      <c r="CV119" s="14">
        <f t="shared" si="95"/>
        <v>57.593161045607836</v>
      </c>
      <c r="CW119" s="22">
        <f t="shared" si="67"/>
        <v>511.46333882110008</v>
      </c>
      <c r="CX119" s="60">
        <f t="shared" si="68"/>
        <v>792.75758271582163</v>
      </c>
      <c r="CY119" s="60">
        <f ca="1">AVERAGE(OFFSET($CX$3,0,0,'Données projet'!$E$13+1,1))-AVERAGE(OFFSET($H$3,0,0,'Données projet'!$E$13+1,1))</f>
        <v>397.63792993520934</v>
      </c>
      <c r="CZ119" s="60">
        <f t="shared" si="96"/>
        <v>300.63705521148802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7.626113074366004E-14</v>
      </c>
      <c r="DQ119" s="14">
        <f t="shared" si="97"/>
        <v>1.1823749172251317E-12</v>
      </c>
      <c r="DR119" s="22">
        <f t="shared" si="70"/>
        <v>2.1921244502123119E-12</v>
      </c>
      <c r="DS119" s="60">
        <f t="shared" si="71"/>
        <v>281.29424389472371</v>
      </c>
      <c r="DT119" s="60">
        <f ca="1">AVERAGE(OFFSET($DS$3,0,0,'Données projet'!$E$14+1,1))-AVERAGE(OFFSET($H$3,0,0,'Données projet'!$E$14+1,1))</f>
        <v>343.94240546037798</v>
      </c>
      <c r="DU119" s="60">
        <f t="shared" si="98"/>
        <v>277.30931495079346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0.11792477830017595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0.11792477830017595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-2.8421709430404007E-13</v>
      </c>
      <c r="EK119" s="18">
        <f>EJ119*VLOOKUP('Données projet'!$B$15,Paramètres!$A$1:$I$89,3,0)*VLOOKUP('Données projet'!$B$15,Paramètres!$A$1:$I$89,5,0)</f>
        <v>-2.2168933355715128E-13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308.76306523144956</v>
      </c>
      <c r="EP119" s="60">
        <f t="shared" si="100"/>
        <v>283.28099819802776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-9.9316821433603781E-14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296.01124173332352</v>
      </c>
      <c r="FK119" s="60">
        <f t="shared" si="102"/>
        <v>315.50730924873733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3.6</v>
      </c>
      <c r="FZ119" s="13">
        <f>IF('Données projet'!$A$244&gt;35,FZ118+FY119-GH118,IF(A119&lt;'Données projet'!$A$244,$FW$205^A119,IF(A119='Données projet'!$A$244,'Données projet'!$B$244,FZ118+FY119-GH118)))</f>
        <v>258.59999999999991</v>
      </c>
      <c r="GA119" s="18">
        <f>FZ119*VLOOKUP('Données projet'!$B$17,Paramètres!$A$1:$I$89,3,0)*VLOOKUP('Données projet'!$B$17,Paramètres!$A$1:$I$89,5,0)</f>
        <v>250.11791999999991</v>
      </c>
      <c r="GB119" s="14">
        <f t="shared" si="103"/>
        <v>60.61119095251447</v>
      </c>
      <c r="GC119" s="22">
        <f t="shared" si="79"/>
        <v>541.18653490896247</v>
      </c>
      <c r="GD119" s="60">
        <f t="shared" si="80"/>
        <v>822.48077880368396</v>
      </c>
      <c r="GE119" s="60">
        <f ca="1">AVERAGE(OFFSET($GD$3,0,0,'Données projet'!$E$17+1,1))-AVERAGE(OFFSET($H$3,0,0,'Données projet'!$E$17+1,1))</f>
        <v>391.18744390931187</v>
      </c>
      <c r="GF119" s="60">
        <f t="shared" si="104"/>
        <v>261.46982358454386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0.12570005959169148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0.12570005959169148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247.73423999999969</v>
      </c>
      <c r="P120" s="14">
        <f t="shared" si="87"/>
        <v>60.10050566569506</v>
      </c>
      <c r="Q120" s="22">
        <f t="shared" si="107"/>
        <v>536.14551536775173</v>
      </c>
      <c r="R120" s="60">
        <f t="shared" si="55"/>
        <v>817.64861054886137</v>
      </c>
      <c r="S120" s="60">
        <f ca="1">AVERAGE(OFFSET($R$3,0,0,'Données projet'!$E$9+1,1))-AVERAGE(OFFSET($H$3,0,0,'Données projet'!$E$9+1,1))</f>
        <v>469.15492079216403</v>
      </c>
      <c r="T120" s="60">
        <f t="shared" si="88"/>
        <v>250.47702091764884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273.79999999999967</v>
      </c>
      <c r="AJ120" s="14">
        <f>AI120*VLOOKUP('Données projet'!$B$10,Paramètres!$A$1:$I$89,3,0)*VLOOKUP('Données projet'!$B$10,Paramètres!$A$1:$I$89,5,0)</f>
        <v>230.64911999999975</v>
      </c>
      <c r="AK120" s="14">
        <f t="shared" si="89"/>
        <v>56.423013421666532</v>
      </c>
      <c r="AL120" s="22">
        <f t="shared" si="58"/>
        <v>499.98396570940207</v>
      </c>
      <c r="AM120" s="60">
        <f t="shared" si="59"/>
        <v>781.48706089051166</v>
      </c>
      <c r="AN120" s="60">
        <f ca="1">AVERAGE(OFFSET($AM$3,0,0,'Données projet'!$E$10+1,1))-AVERAGE(OFFSET($H$3,0,0,'Données projet'!$E$10+1,1))</f>
        <v>442.49274132121275</v>
      </c>
      <c r="AO120" s="60">
        <f t="shared" si="90"/>
        <v>237.37463556402756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1.3035332813160495E-13</v>
      </c>
      <c r="BF120" s="14">
        <f t="shared" si="91"/>
        <v>1.8987770485018903E-12</v>
      </c>
      <c r="BG120" s="22">
        <f t="shared" si="61"/>
        <v>3.5340687393033375E-12</v>
      </c>
      <c r="BH120" s="60">
        <f t="shared" si="62"/>
        <v>281.50309518111317</v>
      </c>
      <c r="BI120" s="60">
        <f ca="1">AVERAGE(OFFSET($BH$3,0,0,'Données projet'!$E$11+1,1))-AVERAGE(OFFSET($H$3,0,0,'Données projet'!$E$11+1,1))</f>
        <v>267.90768140488603</v>
      </c>
      <c r="BJ120" s="60">
        <f t="shared" si="92"/>
        <v>280.25465074992258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4.6111381379887463E-14</v>
      </c>
      <c r="CA120" s="14">
        <f t="shared" si="93"/>
        <v>7.5804141040779151E-13</v>
      </c>
      <c r="CB120" s="22">
        <f t="shared" si="64"/>
        <v>1.4005661123635408E-12</v>
      </c>
      <c r="CC120" s="60">
        <f t="shared" si="65"/>
        <v>281.50309518111106</v>
      </c>
      <c r="CD120" s="60">
        <f ca="1">AVERAGE(OFFSET($CC$3,0,0,'Données projet'!$E$12+1,1))-AVERAGE(OFFSET($H$3,0,0,'Données projet'!$E$12+1,1))</f>
        <v>308.6594206517259</v>
      </c>
      <c r="CE120" s="60">
        <f t="shared" si="94"/>
        <v>258.90832875500325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2.884615384615381</v>
      </c>
      <c r="CT120" s="13">
        <f>IF('Données projet'!$A$140&gt;35,CT119+CS120-DB119,IF(A120&lt;'Données projet'!$A$140,$CQ$205^A120,IF(A120='Données projet'!$A$140,'Données projet'!$B$140,CT119+CS120-DB119)))</f>
        <v>250.96153846153842</v>
      </c>
      <c r="CU120" s="18">
        <f>CT120*VLOOKUP('Données projet'!$B$13,Paramètres!$A$1:$I$89,3,0)*VLOOKUP('Données projet'!$B$13,Paramètres!$A$1:$I$89,5,0)</f>
        <v>238.81499999999994</v>
      </c>
      <c r="CV120" s="14">
        <f t="shared" si="95"/>
        <v>58.184498559125089</v>
      </c>
      <c r="CW120" s="22">
        <f t="shared" si="67"/>
        <v>517.27412665714269</v>
      </c>
      <c r="CX120" s="60">
        <f t="shared" si="68"/>
        <v>798.77722183825233</v>
      </c>
      <c r="CY120" s="60">
        <f ca="1">AVERAGE(OFFSET($CX$3,0,0,'Données projet'!$E$13+1,1))-AVERAGE(OFFSET($H$3,0,0,'Données projet'!$E$13+1,1))</f>
        <v>397.63792993520934</v>
      </c>
      <c r="CZ120" s="60">
        <f t="shared" si="96"/>
        <v>300.63705521148802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7.626113074366004E-14</v>
      </c>
      <c r="DQ120" s="14">
        <f t="shared" si="97"/>
        <v>1.1823749172251317E-12</v>
      </c>
      <c r="DR120" s="22">
        <f t="shared" si="70"/>
        <v>2.1921244502123119E-12</v>
      </c>
      <c r="DS120" s="60">
        <f t="shared" si="71"/>
        <v>281.50309518111186</v>
      </c>
      <c r="DT120" s="60">
        <f ca="1">AVERAGE(OFFSET($DS$3,0,0,'Données projet'!$E$14+1,1))-AVERAGE(OFFSET($H$3,0,0,'Données projet'!$E$14+1,1))</f>
        <v>343.94240546037798</v>
      </c>
      <c r="DU120" s="60">
        <f t="shared" si="98"/>
        <v>277.30931495079346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0.11470011903616306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0.11470011903616306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-2.8421709430404007E-13</v>
      </c>
      <c r="EK120" s="18">
        <f>EJ120*VLOOKUP('Données projet'!$B$15,Paramètres!$A$1:$I$89,3,0)*VLOOKUP('Données projet'!$B$15,Paramètres!$A$1:$I$89,5,0)</f>
        <v>-2.2168933355715128E-13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308.76306523144956</v>
      </c>
      <c r="EP120" s="60">
        <f t="shared" si="100"/>
        <v>283.28099819802776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-9.9316821433603781E-14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296.01124173332352</v>
      </c>
      <c r="FK120" s="60">
        <f t="shared" si="102"/>
        <v>315.50730924873733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3.6</v>
      </c>
      <c r="FZ120" s="13">
        <f>IF('Données projet'!$A$244&gt;35,FZ119+FY120-GH119,IF(A120&lt;'Données projet'!$A$244,$FW$205^A120,IF(A120='Données projet'!$A$244,'Données projet'!$B$244,FZ119+FY120-GH119)))</f>
        <v>262.19999999999993</v>
      </c>
      <c r="GA120" s="18">
        <f>FZ120*VLOOKUP('Données projet'!$B$17,Paramètres!$A$1:$I$89,3,0)*VLOOKUP('Données projet'!$B$17,Paramètres!$A$1:$I$89,5,0)</f>
        <v>253.59983999999994</v>
      </c>
      <c r="GB120" s="14">
        <f t="shared" si="103"/>
        <v>61.35614983732394</v>
      </c>
      <c r="GC120" s="22">
        <f t="shared" si="79"/>
        <v>548.54834896667251</v>
      </c>
      <c r="GD120" s="60">
        <f t="shared" si="80"/>
        <v>830.05144414778215</v>
      </c>
      <c r="GE120" s="60">
        <f ca="1">AVERAGE(OFFSET($GD$3,0,0,'Données projet'!$E$17+1,1))-AVERAGE(OFFSET($H$3,0,0,'Données projet'!$E$17+1,1))</f>
        <v>391.18744390931187</v>
      </c>
      <c r="GF120" s="60">
        <f t="shared" si="104"/>
        <v>261.46982358454386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0.12226278485187783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0.12226278485187783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250.81055999999967</v>
      </c>
      <c r="P121" s="14">
        <f t="shared" si="87"/>
        <v>60.759477364108633</v>
      </c>
      <c r="Q121" s="22">
        <f t="shared" si="107"/>
        <v>542.65114840915533</v>
      </c>
      <c r="R121" s="60">
        <f t="shared" si="55"/>
        <v>824.35947177375579</v>
      </c>
      <c r="S121" s="60">
        <f ca="1">AVERAGE(OFFSET($R$3,0,0,'Données projet'!$E$9+1,1))-AVERAGE(OFFSET($H$3,0,0,'Données projet'!$E$9+1,1))</f>
        <v>469.15492079216403</v>
      </c>
      <c r="T121" s="60">
        <f t="shared" si="88"/>
        <v>250.47702091764884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277.19999999999965</v>
      </c>
      <c r="AJ121" s="14">
        <f>AI121*VLOOKUP('Données projet'!$B$10,Paramètres!$A$1:$I$89,3,0)*VLOOKUP('Données projet'!$B$10,Paramètres!$A$1:$I$89,5,0)</f>
        <v>233.51327999999972</v>
      </c>
      <c r="AK121" s="14">
        <f t="shared" si="89"/>
        <v>57.041663274479788</v>
      </c>
      <c r="AL121" s="22">
        <f t="shared" si="58"/>
        <v>506.04985953638516</v>
      </c>
      <c r="AM121" s="60">
        <f t="shared" si="59"/>
        <v>787.7581829009855</v>
      </c>
      <c r="AN121" s="60">
        <f ca="1">AVERAGE(OFFSET($AM$3,0,0,'Données projet'!$E$10+1,1))-AVERAGE(OFFSET($H$3,0,0,'Données projet'!$E$10+1,1))</f>
        <v>442.49274132121275</v>
      </c>
      <c r="AO121" s="60">
        <f t="shared" si="90"/>
        <v>237.37463556402756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1.3035332813160495E-13</v>
      </c>
      <c r="BF121" s="14">
        <f t="shared" si="91"/>
        <v>1.8987770485018903E-12</v>
      </c>
      <c r="BG121" s="22">
        <f t="shared" si="61"/>
        <v>3.5340687393033375E-12</v>
      </c>
      <c r="BH121" s="60">
        <f t="shared" si="62"/>
        <v>281.70832336460393</v>
      </c>
      <c r="BI121" s="60">
        <f ca="1">AVERAGE(OFFSET($BH$3,0,0,'Données projet'!$E$11+1,1))-AVERAGE(OFFSET($H$3,0,0,'Données projet'!$E$11+1,1))</f>
        <v>267.90768140488603</v>
      </c>
      <c r="BJ121" s="60">
        <f t="shared" si="92"/>
        <v>280.25465074992258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4.6111381379887463E-14</v>
      </c>
      <c r="CA121" s="14">
        <f t="shared" si="93"/>
        <v>7.5804141040779151E-13</v>
      </c>
      <c r="CB121" s="22">
        <f t="shared" si="64"/>
        <v>1.4005661123635408E-12</v>
      </c>
      <c r="CC121" s="60">
        <f t="shared" si="65"/>
        <v>281.70832336460182</v>
      </c>
      <c r="CD121" s="60">
        <f ca="1">AVERAGE(OFFSET($CC$3,0,0,'Données projet'!$E$12+1,1))-AVERAGE(OFFSET($H$3,0,0,'Données projet'!$E$12+1,1))</f>
        <v>308.6594206517259</v>
      </c>
      <c r="CE121" s="60">
        <f t="shared" si="94"/>
        <v>258.90832875500325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2.884615384615381</v>
      </c>
      <c r="CT121" s="13">
        <f>IF('Données projet'!$A$140&gt;35,CT120+CS121-DB120,IF(A121&lt;'Données projet'!$A$140,$CQ$205^A121,IF(A121='Données projet'!$A$140,'Données projet'!$B$140,CT120+CS121-DB120)))</f>
        <v>253.84615384615381</v>
      </c>
      <c r="CU121" s="18">
        <f>CT121*VLOOKUP('Données projet'!$B$13,Paramètres!$A$1:$I$89,3,0)*VLOOKUP('Données projet'!$B$13,Paramètres!$A$1:$I$89,5,0)</f>
        <v>241.55999999999995</v>
      </c>
      <c r="CV121" s="14">
        <f t="shared" si="95"/>
        <v>58.775045414448314</v>
      </c>
      <c r="CW121" s="22">
        <f t="shared" si="67"/>
        <v>523.08353743016403</v>
      </c>
      <c r="CX121" s="60">
        <f t="shared" si="68"/>
        <v>804.79186079476449</v>
      </c>
      <c r="CY121" s="60">
        <f ca="1">AVERAGE(OFFSET($CX$3,0,0,'Données projet'!$E$13+1,1))-AVERAGE(OFFSET($H$3,0,0,'Données projet'!$E$13+1,1))</f>
        <v>397.63792993520934</v>
      </c>
      <c r="CZ121" s="60">
        <f t="shared" si="96"/>
        <v>300.63705521148802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7.626113074366004E-14</v>
      </c>
      <c r="DQ121" s="14">
        <f t="shared" si="97"/>
        <v>1.1823749172251317E-12</v>
      </c>
      <c r="DR121" s="22">
        <f t="shared" si="70"/>
        <v>2.1921244502123119E-12</v>
      </c>
      <c r="DS121" s="60">
        <f t="shared" si="71"/>
        <v>281.70832336460262</v>
      </c>
      <c r="DT121" s="60">
        <f ca="1">AVERAGE(OFFSET($DS$3,0,0,'Données projet'!$E$14+1,1))-AVERAGE(OFFSET($H$3,0,0,'Données projet'!$E$14+1,1))</f>
        <v>343.94240546037798</v>
      </c>
      <c r="DU121" s="60">
        <f t="shared" si="98"/>
        <v>277.30931495079346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0.11156363824930207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0.11156363824930207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-2.8421709430404007E-13</v>
      </c>
      <c r="EK121" s="18">
        <f>EJ121*VLOOKUP('Données projet'!$B$15,Paramètres!$A$1:$I$89,3,0)*VLOOKUP('Données projet'!$B$15,Paramètres!$A$1:$I$89,5,0)</f>
        <v>-2.2168933355715128E-13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308.76306523144956</v>
      </c>
      <c r="EP121" s="60">
        <f t="shared" si="100"/>
        <v>283.28099819802776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-9.9316821433603781E-14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296.01124173332352</v>
      </c>
      <c r="FK121" s="60">
        <f t="shared" si="102"/>
        <v>315.50730924873733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3.6</v>
      </c>
      <c r="FZ121" s="13">
        <f>IF('Données projet'!$A$244&gt;35,FZ120+FY121-GH120,IF(A121&lt;'Données projet'!$A$244,$FW$205^A121,IF(A121='Données projet'!$A$244,'Données projet'!$B$244,FZ120+FY121-GH120)))</f>
        <v>265.79999999999995</v>
      </c>
      <c r="GA121" s="18">
        <f>FZ121*VLOOKUP('Données projet'!$B$17,Paramètres!$A$1:$I$89,3,0)*VLOOKUP('Données projet'!$B$17,Paramètres!$A$1:$I$89,5,0)</f>
        <v>257.08175999999997</v>
      </c>
      <c r="GB121" s="14">
        <f t="shared" si="103"/>
        <v>62.099919063023641</v>
      </c>
      <c r="GC121" s="22">
        <f t="shared" si="79"/>
        <v>555.90809103476613</v>
      </c>
      <c r="GD121" s="60">
        <f t="shared" si="80"/>
        <v>837.61641439936648</v>
      </c>
      <c r="GE121" s="60">
        <f ca="1">AVERAGE(OFFSET($GD$3,0,0,'Données projet'!$E$17+1,1))-AVERAGE(OFFSET($H$3,0,0,'Données projet'!$E$17+1,1))</f>
        <v>391.18744390931187</v>
      </c>
      <c r="GF121" s="60">
        <f t="shared" si="104"/>
        <v>261.46982358454386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0.11891950257058281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0.11891950257058281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253.88687999999965</v>
      </c>
      <c r="P122" s="14">
        <f t="shared" si="87"/>
        <v>61.417508891276917</v>
      </c>
      <c r="Q122" s="22">
        <f t="shared" si="107"/>
        <v>549.15514398563994</v>
      </c>
      <c r="R122" s="60">
        <f t="shared" si="55"/>
        <v>831.06513528356913</v>
      </c>
      <c r="S122" s="60">
        <f ca="1">AVERAGE(OFFSET($R$3,0,0,'Données projet'!$E$9+1,1))-AVERAGE(OFFSET($H$3,0,0,'Données projet'!$E$9+1,1))</f>
        <v>469.15492079216403</v>
      </c>
      <c r="T122" s="60">
        <f t="shared" si="88"/>
        <v>250.47702091764884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280.59999999999962</v>
      </c>
      <c r="AJ122" s="14">
        <f>AI122*VLOOKUP('Données projet'!$B$10,Paramètres!$A$1:$I$89,3,0)*VLOOKUP('Données projet'!$B$10,Paramètres!$A$1:$I$89,5,0)</f>
        <v>236.37743999999969</v>
      </c>
      <c r="AK122" s="14">
        <f t="shared" si="89"/>
        <v>57.659430484223719</v>
      </c>
      <c r="AL122" s="22">
        <f t="shared" si="58"/>
        <v>512.11421609335571</v>
      </c>
      <c r="AM122" s="60">
        <f t="shared" si="59"/>
        <v>794.02420739128479</v>
      </c>
      <c r="AN122" s="60">
        <f ca="1">AVERAGE(OFFSET($AM$3,0,0,'Données projet'!$E$10+1,1))-AVERAGE(OFFSET($H$3,0,0,'Données projet'!$E$10+1,1))</f>
        <v>442.49274132121275</v>
      </c>
      <c r="AO122" s="60">
        <f t="shared" si="90"/>
        <v>237.37463556402756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1.3035332813160495E-13</v>
      </c>
      <c r="BF122" s="14">
        <f t="shared" si="91"/>
        <v>1.8987770485018903E-12</v>
      </c>
      <c r="BG122" s="22">
        <f t="shared" si="61"/>
        <v>3.5340687393033375E-12</v>
      </c>
      <c r="BH122" s="60">
        <f t="shared" si="62"/>
        <v>281.90999129793266</v>
      </c>
      <c r="BI122" s="60">
        <f ca="1">AVERAGE(OFFSET($BH$3,0,0,'Données projet'!$E$11+1,1))-AVERAGE(OFFSET($H$3,0,0,'Données projet'!$E$11+1,1))</f>
        <v>267.90768140488603</v>
      </c>
      <c r="BJ122" s="60">
        <f t="shared" si="92"/>
        <v>280.25465074992258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4.6111381379887463E-14</v>
      </c>
      <c r="CA122" s="14">
        <f t="shared" si="93"/>
        <v>7.5804141040779151E-13</v>
      </c>
      <c r="CB122" s="22">
        <f t="shared" si="64"/>
        <v>1.4005661123635408E-12</v>
      </c>
      <c r="CC122" s="60">
        <f t="shared" si="65"/>
        <v>281.90999129793056</v>
      </c>
      <c r="CD122" s="60">
        <f ca="1">AVERAGE(OFFSET($CC$3,0,0,'Données projet'!$E$12+1,1))-AVERAGE(OFFSET($H$3,0,0,'Données projet'!$E$12+1,1))</f>
        <v>308.6594206517259</v>
      </c>
      <c r="CE122" s="60">
        <f t="shared" si="94"/>
        <v>258.90832875500325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2.884615384615381</v>
      </c>
      <c r="CT122" s="13">
        <f>IF('Données projet'!$A$140&gt;35,CT121+CS122-DB121,IF(A122&lt;'Données projet'!$A$140,$CQ$205^A122,IF(A122='Données projet'!$A$140,'Données projet'!$B$140,CT121+CS122-DB121)))</f>
        <v>256.73076923076917</v>
      </c>
      <c r="CU122" s="18">
        <f>CT122*VLOOKUP('Données projet'!$B$13,Paramètres!$A$1:$I$89,3,0)*VLOOKUP('Données projet'!$B$13,Paramètres!$A$1:$I$89,5,0)</f>
        <v>244.30499999999995</v>
      </c>
      <c r="CV122" s="14">
        <f t="shared" si="95"/>
        <v>59.364811635957629</v>
      </c>
      <c r="CW122" s="22">
        <f t="shared" si="67"/>
        <v>528.89158859929273</v>
      </c>
      <c r="CX122" s="60">
        <f t="shared" si="68"/>
        <v>810.80157989722193</v>
      </c>
      <c r="CY122" s="60">
        <f ca="1">AVERAGE(OFFSET($CX$3,0,0,'Données projet'!$E$13+1,1))-AVERAGE(OFFSET($H$3,0,0,'Données projet'!$E$13+1,1))</f>
        <v>397.63792993520934</v>
      </c>
      <c r="CZ122" s="60">
        <f t="shared" si="96"/>
        <v>300.63705521148802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7.626113074366004E-14</v>
      </c>
      <c r="DQ122" s="14">
        <f t="shared" si="97"/>
        <v>1.1823749172251317E-12</v>
      </c>
      <c r="DR122" s="22">
        <f t="shared" si="70"/>
        <v>2.1921244502123119E-12</v>
      </c>
      <c r="DS122" s="60">
        <f t="shared" si="71"/>
        <v>281.90999129793136</v>
      </c>
      <c r="DT122" s="60">
        <f ca="1">AVERAGE(OFFSET($DS$3,0,0,'Données projet'!$E$14+1,1))-AVERAGE(OFFSET($H$3,0,0,'Données projet'!$E$14+1,1))</f>
        <v>343.94240546037798</v>
      </c>
      <c r="DU122" s="60">
        <f t="shared" si="98"/>
        <v>277.30931495079346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0.10851292469449815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0.10851292469449815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-2.8421709430404007E-13</v>
      </c>
      <c r="EK122" s="18">
        <f>EJ122*VLOOKUP('Données projet'!$B$15,Paramètres!$A$1:$I$89,3,0)*VLOOKUP('Données projet'!$B$15,Paramètres!$A$1:$I$89,5,0)</f>
        <v>-2.2168933355715128E-13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308.76306523144956</v>
      </c>
      <c r="EP122" s="60">
        <f t="shared" si="100"/>
        <v>283.28099819802776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-9.9316821433603781E-14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296.01124173332352</v>
      </c>
      <c r="FK122" s="60">
        <f t="shared" si="102"/>
        <v>315.50730924873733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3.6</v>
      </c>
      <c r="FZ122" s="13">
        <f>IF('Données projet'!$A$244&gt;35,FZ121+FY122-GH121,IF(A122&lt;'Données projet'!$A$244,$FW$205^A122,IF(A122='Données projet'!$A$244,'Données projet'!$B$244,FZ121+FY122-GH121)))</f>
        <v>269.39999999999998</v>
      </c>
      <c r="GA122" s="18">
        <f>FZ122*VLOOKUP('Données projet'!$B$17,Paramètres!$A$1:$I$89,3,0)*VLOOKUP('Données projet'!$B$17,Paramètres!$A$1:$I$89,5,0)</f>
        <v>260.56367999999998</v>
      </c>
      <c r="GB122" s="14">
        <f t="shared" si="103"/>
        <v>62.842516604837684</v>
      </c>
      <c r="GC122" s="22">
        <f t="shared" si="79"/>
        <v>563.26579242009223</v>
      </c>
      <c r="GD122" s="60">
        <f t="shared" si="80"/>
        <v>845.17578371802142</v>
      </c>
      <c r="GE122" s="60">
        <f ca="1">AVERAGE(OFFSET($GD$3,0,0,'Données projet'!$E$17+1,1))-AVERAGE(OFFSET($H$3,0,0,'Données projet'!$E$17+1,1))</f>
        <v>391.18744390931187</v>
      </c>
      <c r="GF122" s="60">
        <f t="shared" si="104"/>
        <v>261.46982358454386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0.11566764251908539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0.11566764251908539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256.96319999999963</v>
      </c>
      <c r="P123" s="14">
        <f t="shared" si="87"/>
        <v>62.07461295683791</v>
      </c>
      <c r="Q123" s="22">
        <f t="shared" si="107"/>
        <v>555.65752423315882</v>
      </c>
      <c r="R123" s="60">
        <f t="shared" si="55"/>
        <v>837.76568497663538</v>
      </c>
      <c r="S123" s="60">
        <f ca="1">AVERAGE(OFFSET($R$3,0,0,'Données projet'!$E$9+1,1))-AVERAGE(OFFSET($H$3,0,0,'Données projet'!$E$9+1,1))</f>
        <v>469.15492079216403</v>
      </c>
      <c r="T123" s="60">
        <f t="shared" si="88"/>
        <v>250.47702091764884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283.9999999999996</v>
      </c>
      <c r="AJ123" s="14">
        <f>AI123*VLOOKUP('Données projet'!$B$10,Paramètres!$A$1:$I$89,3,0)*VLOOKUP('Données projet'!$B$10,Paramètres!$A$1:$I$89,5,0)</f>
        <v>239.24159999999966</v>
      </c>
      <c r="AK123" s="14">
        <f t="shared" si="89"/>
        <v>58.276326982845781</v>
      </c>
      <c r="AL123" s="22">
        <f t="shared" si="58"/>
        <v>518.1770561617891</v>
      </c>
      <c r="AM123" s="60">
        <f t="shared" si="59"/>
        <v>800.28521690526577</v>
      </c>
      <c r="AN123" s="60">
        <f ca="1">AVERAGE(OFFSET($AM$3,0,0,'Données projet'!$E$10+1,1))-AVERAGE(OFFSET($H$3,0,0,'Données projet'!$E$10+1,1))</f>
        <v>442.49274132121275</v>
      </c>
      <c r="AO123" s="60">
        <f t="shared" si="90"/>
        <v>237.37463556402756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1.3035332813160495E-13</v>
      </c>
      <c r="BF123" s="14">
        <f t="shared" si="91"/>
        <v>1.8987770485018903E-12</v>
      </c>
      <c r="BG123" s="22">
        <f t="shared" si="61"/>
        <v>3.5340687393033375E-12</v>
      </c>
      <c r="BH123" s="60">
        <f t="shared" si="62"/>
        <v>282.10816074348014</v>
      </c>
      <c r="BI123" s="60">
        <f ca="1">AVERAGE(OFFSET($BH$3,0,0,'Données projet'!$E$11+1,1))-AVERAGE(OFFSET($H$3,0,0,'Données projet'!$E$11+1,1))</f>
        <v>267.90768140488603</v>
      </c>
      <c r="BJ123" s="60">
        <f t="shared" si="92"/>
        <v>280.25465074992258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4.6111381379887463E-14</v>
      </c>
      <c r="CA123" s="14">
        <f t="shared" si="93"/>
        <v>7.5804141040779151E-13</v>
      </c>
      <c r="CB123" s="22">
        <f t="shared" si="64"/>
        <v>1.4005661123635408E-12</v>
      </c>
      <c r="CC123" s="60">
        <f t="shared" si="65"/>
        <v>282.10816074347804</v>
      </c>
      <c r="CD123" s="60">
        <f ca="1">AVERAGE(OFFSET($CC$3,0,0,'Données projet'!$E$12+1,1))-AVERAGE(OFFSET($H$3,0,0,'Données projet'!$E$12+1,1))</f>
        <v>308.6594206517259</v>
      </c>
      <c r="CE123" s="60">
        <f t="shared" si="94"/>
        <v>258.90832875500325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259.61538461538458</v>
      </c>
      <c r="CR123" s="13">
        <f>VLOOKUP(A123,'Données projet'!$A$139:$I$159,9,0)</f>
        <v>2.884615384615381</v>
      </c>
      <c r="CS123" s="13">
        <f t="array" ref="CS123">INDEX(CR:CR,MIN(IF(ISNUMBER(CR123:CR319),ROW(CR123:CR319),"")))</f>
        <v>2.884615384615381</v>
      </c>
      <c r="CT123" s="13">
        <f>IF('Données projet'!$A$140&gt;35,CT122+CS123-DB122,IF(A123&lt;'Données projet'!$A$140,$CQ$205^A123,IF(A123='Données projet'!$A$140,'Données projet'!$B$140,CT122+CS123-DB122)))</f>
        <v>259.61538461538453</v>
      </c>
      <c r="CU123" s="18">
        <f>CT123*VLOOKUP('Données projet'!$B$13,Paramètres!$A$1:$I$89,3,0)*VLOOKUP('Données projet'!$B$13,Paramètres!$A$1:$I$89,5,0)</f>
        <v>247.04999999999993</v>
      </c>
      <c r="CV123" s="14">
        <f t="shared" si="95"/>
        <v>59.953807009796449</v>
      </c>
      <c r="CW123" s="22">
        <f t="shared" si="67"/>
        <v>534.69829720872872</v>
      </c>
      <c r="CX123" s="60">
        <f t="shared" si="68"/>
        <v>816.80645795220539</v>
      </c>
      <c r="CY123" s="60">
        <f ca="1">AVERAGE(OFFSET($CX$3,0,0,'Données projet'!$E$13+1,1))-AVERAGE(OFFSET($H$3,0,0,'Données projet'!$E$13+1,1))</f>
        <v>397.63792993520934</v>
      </c>
      <c r="CZ123" s="60">
        <f t="shared" si="96"/>
        <v>300.63705521148802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259.61538461538458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7.626113074366004E-14</v>
      </c>
      <c r="DQ123" s="14">
        <f t="shared" si="97"/>
        <v>1.1823749172251317E-12</v>
      </c>
      <c r="DR123" s="22">
        <f t="shared" si="70"/>
        <v>2.1921244502123119E-12</v>
      </c>
      <c r="DS123" s="60">
        <f t="shared" si="71"/>
        <v>282.10816074347883</v>
      </c>
      <c r="DT123" s="60">
        <f ca="1">AVERAGE(OFFSET($DS$3,0,0,'Données projet'!$E$14+1,1))-AVERAGE(OFFSET($H$3,0,0,'Données projet'!$E$14+1,1))</f>
        <v>343.94240546037798</v>
      </c>
      <c r="DU123" s="60">
        <f t="shared" si="98"/>
        <v>277.30931495079346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0.1055456330622804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0.1055456330622804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-2.8421709430404007E-13</v>
      </c>
      <c r="EK123" s="18">
        <f>EJ123*VLOOKUP('Données projet'!$B$15,Paramètres!$A$1:$I$89,3,0)*VLOOKUP('Données projet'!$B$15,Paramètres!$A$1:$I$89,5,0)</f>
        <v>-2.2168933355715128E-13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308.76306523144956</v>
      </c>
      <c r="EP123" s="60">
        <f t="shared" si="100"/>
        <v>283.28099819802776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-9.9316821433603781E-14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296.01124173332352</v>
      </c>
      <c r="FK123" s="60">
        <f t="shared" si="102"/>
        <v>315.50730924873733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273</v>
      </c>
      <c r="FX123" s="13">
        <f>VLOOKUP(A123,'Données projet'!$A$243:$I$263,9,0)</f>
        <v>3.6</v>
      </c>
      <c r="FY123" s="13">
        <f t="array" ref="FY123">INDEX(FX:FX,MIN(IF(ISNUMBER(FX123:FX319),ROW(FX123:FX319),"")))</f>
        <v>3.6</v>
      </c>
      <c r="FZ123" s="13">
        <f>IF('Données projet'!$A$244&gt;35,FZ122+FY123-GH122,IF(A123&lt;'Données projet'!$A$244,$FW$205^A123,IF(A123='Données projet'!$A$244,'Données projet'!$B$244,FZ122+FY123-GH122)))</f>
        <v>273</v>
      </c>
      <c r="GA123" s="18">
        <f>FZ123*VLOOKUP('Données projet'!$B$17,Paramètres!$A$1:$I$89,3,0)*VLOOKUP('Données projet'!$B$17,Paramètres!$A$1:$I$89,5,0)</f>
        <v>264.04559999999998</v>
      </c>
      <c r="GB123" s="14">
        <f t="shared" si="103"/>
        <v>63.583959929973737</v>
      </c>
      <c r="GC123" s="22">
        <f t="shared" si="79"/>
        <v>570.62148354470423</v>
      </c>
      <c r="GD123" s="60">
        <f t="shared" si="80"/>
        <v>852.72964428818091</v>
      </c>
      <c r="GE123" s="60">
        <f ca="1">AVERAGE(OFFSET($GD$3,0,0,'Données projet'!$E$17+1,1))-AVERAGE(OFFSET($H$3,0,0,'Données projet'!$E$17+1,1))</f>
        <v>391.18744390931187</v>
      </c>
      <c r="GF123" s="60">
        <f t="shared" si="104"/>
        <v>261.46982358454386</v>
      </c>
      <c r="GG123" s="16">
        <f>IF(ISNA(VLOOKUP(A123,'Données projet'!$A$243:$I$263,3,0)),0,VLOOKUP(A123,'Données projet'!$A$243:$I$263,3,0))</f>
        <v>11</v>
      </c>
      <c r="GH123" s="16">
        <f>IF(ISNA(VLOOKUP(A123,'Données projet'!$A$243:$I$263,4,0)),0,VLOOKUP(A123,'Données projet'!$A$243:$I$263,4,0))</f>
        <v>273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0.11250470475170404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0.11250470475170404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260.03951999999964</v>
      </c>
      <c r="P124" s="14">
        <f t="shared" si="87"/>
        <v>62.730801948604821</v>
      </c>
      <c r="Q124" s="22">
        <f t="shared" si="107"/>
        <v>562.15831072715275</v>
      </c>
      <c r="R124" s="60">
        <f t="shared" si="55"/>
        <v>844.46120311933714</v>
      </c>
      <c r="S124" s="60">
        <f ca="1">AVERAGE(OFFSET($R$3,0,0,'Données projet'!$E$9+1,1))-AVERAGE(OFFSET($H$3,0,0,'Données projet'!$E$9+1,1))</f>
        <v>469.15492079216403</v>
      </c>
      <c r="T124" s="60">
        <f t="shared" si="88"/>
        <v>250.47702091764884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287.39999999999958</v>
      </c>
      <c r="AJ124" s="14">
        <f>AI124*VLOOKUP('Données projet'!$B$10,Paramètres!$A$1:$I$89,3,0)*VLOOKUP('Données projet'!$B$10,Paramètres!$A$1:$I$89,5,0)</f>
        <v>242.10575999999966</v>
      </c>
      <c r="AK124" s="14">
        <f t="shared" si="89"/>
        <v>58.892364400160623</v>
      </c>
      <c r="AL124" s="22">
        <f t="shared" si="58"/>
        <v>524.23839999694576</v>
      </c>
      <c r="AM124" s="60">
        <f t="shared" si="59"/>
        <v>806.54129238913015</v>
      </c>
      <c r="AN124" s="60">
        <f ca="1">AVERAGE(OFFSET($AM$3,0,0,'Données projet'!$E$10+1,1))-AVERAGE(OFFSET($H$3,0,0,'Données projet'!$E$10+1,1))</f>
        <v>442.49274132121275</v>
      </c>
      <c r="AO124" s="60">
        <f t="shared" si="90"/>
        <v>237.37463556402756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1.3035332813160495E-13</v>
      </c>
      <c r="BF124" s="14">
        <f t="shared" si="91"/>
        <v>1.8987770485018903E-12</v>
      </c>
      <c r="BG124" s="22">
        <f t="shared" si="61"/>
        <v>3.5340687393033375E-12</v>
      </c>
      <c r="BH124" s="60">
        <f t="shared" si="62"/>
        <v>282.30289239218791</v>
      </c>
      <c r="BI124" s="60">
        <f ca="1">AVERAGE(OFFSET($BH$3,0,0,'Données projet'!$E$11+1,1))-AVERAGE(OFFSET($H$3,0,0,'Données projet'!$E$11+1,1))</f>
        <v>267.90768140488603</v>
      </c>
      <c r="BJ124" s="60">
        <f t="shared" si="92"/>
        <v>280.25465074992258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4.6111381379887463E-14</v>
      </c>
      <c r="CA124" s="14">
        <f t="shared" si="93"/>
        <v>7.5804141040779151E-13</v>
      </c>
      <c r="CB124" s="22">
        <f t="shared" si="64"/>
        <v>1.4005661123635408E-12</v>
      </c>
      <c r="CC124" s="60">
        <f t="shared" si="65"/>
        <v>282.30289239218581</v>
      </c>
      <c r="CD124" s="60">
        <f ca="1">AVERAGE(OFFSET($CC$3,0,0,'Données projet'!$E$12+1,1))-AVERAGE(OFFSET($H$3,0,0,'Données projet'!$E$12+1,1))</f>
        <v>308.6594206517259</v>
      </c>
      <c r="CE124" s="60">
        <f t="shared" si="94"/>
        <v>258.90832875500325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-5.4092197387944907E-14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397.63792993520934</v>
      </c>
      <c r="CZ124" s="60">
        <f t="shared" si="96"/>
        <v>300.63705521148802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7.626113074366004E-14</v>
      </c>
      <c r="DQ124" s="14">
        <f t="shared" si="97"/>
        <v>1.1823749172251317E-12</v>
      </c>
      <c r="DR124" s="22">
        <f t="shared" si="70"/>
        <v>2.1921244502123119E-12</v>
      </c>
      <c r="DS124" s="60">
        <f t="shared" si="71"/>
        <v>282.30289239218661</v>
      </c>
      <c r="DT124" s="60">
        <f ca="1">AVERAGE(OFFSET($DS$3,0,0,'Données projet'!$E$14+1,1))-AVERAGE(OFFSET($H$3,0,0,'Données projet'!$E$14+1,1))</f>
        <v>343.94240546037798</v>
      </c>
      <c r="DU124" s="60">
        <f t="shared" si="98"/>
        <v>277.30931495079346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0.10265948217578873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0.10265948217578873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-2.8421709430404007E-13</v>
      </c>
      <c r="EK124" s="18">
        <f>EJ124*VLOOKUP('Données projet'!$B$15,Paramètres!$A$1:$I$89,3,0)*VLOOKUP('Données projet'!$B$15,Paramètres!$A$1:$I$89,5,0)</f>
        <v>-2.2168933355715128E-13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308.76306523144956</v>
      </c>
      <c r="EP124" s="60">
        <f t="shared" si="100"/>
        <v>283.28099819802776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-9.9316821433603781E-14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296.01124173332352</v>
      </c>
      <c r="FK124" s="60">
        <f t="shared" si="102"/>
        <v>315.50730924873733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391.18744390931187</v>
      </c>
      <c r="GF124" s="60">
        <f t="shared" si="104"/>
        <v>261.46982358454386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0.10942825768390341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0.10942825768390341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263.11583999999959</v>
      </c>
      <c r="P125" s="14">
        <f t="shared" si="87"/>
        <v>63.38608794442333</v>
      </c>
      <c r="Q125" s="22">
        <f t="shared" si="107"/>
        <v>568.65752450320326</v>
      </c>
      <c r="R125" s="60">
        <f t="shared" si="55"/>
        <v>851.15177038534512</v>
      </c>
      <c r="S125" s="60">
        <f ca="1">AVERAGE(OFFSET($R$3,0,0,'Données projet'!$E$9+1,1))-AVERAGE(OFFSET($H$3,0,0,'Données projet'!$E$9+1,1))</f>
        <v>469.15492079216403</v>
      </c>
      <c r="T125" s="60">
        <f t="shared" si="88"/>
        <v>250.47702091764884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290.79999999999956</v>
      </c>
      <c r="AJ125" s="14">
        <f>AI125*VLOOKUP('Données projet'!$B$10,Paramètres!$A$1:$I$89,3,0)*VLOOKUP('Données projet'!$B$10,Paramètres!$A$1:$I$89,5,0)</f>
        <v>244.96991999999966</v>
      </c>
      <c r="AK125" s="14">
        <f t="shared" si="89"/>
        <v>59.507554074982316</v>
      </c>
      <c r="AL125" s="22">
        <f t="shared" si="58"/>
        <v>530.29826734726021</v>
      </c>
      <c r="AM125" s="60">
        <f t="shared" si="59"/>
        <v>812.79251322940195</v>
      </c>
      <c r="AN125" s="60">
        <f ca="1">AVERAGE(OFFSET($AM$3,0,0,'Données projet'!$E$10+1,1))-AVERAGE(OFFSET($H$3,0,0,'Données projet'!$E$10+1,1))</f>
        <v>442.49274132121275</v>
      </c>
      <c r="AO125" s="60">
        <f t="shared" si="90"/>
        <v>237.37463556402756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1.3035332813160495E-13</v>
      </c>
      <c r="BF125" s="14">
        <f t="shared" si="91"/>
        <v>1.8987770485018903E-12</v>
      </c>
      <c r="BG125" s="22">
        <f t="shared" si="61"/>
        <v>3.5340687393033375E-12</v>
      </c>
      <c r="BH125" s="60">
        <f t="shared" si="62"/>
        <v>282.49424588214532</v>
      </c>
      <c r="BI125" s="60">
        <f ca="1">AVERAGE(OFFSET($BH$3,0,0,'Données projet'!$E$11+1,1))-AVERAGE(OFFSET($H$3,0,0,'Données projet'!$E$11+1,1))</f>
        <v>267.90768140488603</v>
      </c>
      <c r="BJ125" s="60">
        <f t="shared" si="92"/>
        <v>280.25465074992258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4.6111381379887463E-14</v>
      </c>
      <c r="CA125" s="14">
        <f t="shared" si="93"/>
        <v>7.5804141040779151E-13</v>
      </c>
      <c r="CB125" s="22">
        <f t="shared" si="64"/>
        <v>1.4005661123635408E-12</v>
      </c>
      <c r="CC125" s="60">
        <f t="shared" si="65"/>
        <v>282.49424588214322</v>
      </c>
      <c r="CD125" s="60">
        <f ca="1">AVERAGE(OFFSET($CC$3,0,0,'Données projet'!$E$12+1,1))-AVERAGE(OFFSET($H$3,0,0,'Données projet'!$E$12+1,1))</f>
        <v>308.6594206517259</v>
      </c>
      <c r="CE125" s="60">
        <f t="shared" si="94"/>
        <v>258.90832875500325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-5.4092197387944907E-14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397.63792993520934</v>
      </c>
      <c r="CZ125" s="60">
        <f t="shared" si="96"/>
        <v>300.63705521148802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7.626113074366004E-14</v>
      </c>
      <c r="DQ125" s="14">
        <f t="shared" si="97"/>
        <v>1.1823749172251317E-12</v>
      </c>
      <c r="DR125" s="22">
        <f t="shared" si="70"/>
        <v>2.1921244502123119E-12</v>
      </c>
      <c r="DS125" s="60">
        <f t="shared" si="71"/>
        <v>282.49424588214401</v>
      </c>
      <c r="DT125" s="60">
        <f ca="1">AVERAGE(OFFSET($DS$3,0,0,'Données projet'!$E$14+1,1))-AVERAGE(OFFSET($H$3,0,0,'Données projet'!$E$14+1,1))</f>
        <v>343.94240546037798</v>
      </c>
      <c r="DU125" s="60">
        <f t="shared" si="98"/>
        <v>277.30931495079346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9.9852253237064245E-2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9.9852253237064245E-2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-2.8421709430404007E-13</v>
      </c>
      <c r="EK125" s="18">
        <f>EJ125*VLOOKUP('Données projet'!$B$15,Paramètres!$A$1:$I$89,3,0)*VLOOKUP('Données projet'!$B$15,Paramètres!$A$1:$I$89,5,0)</f>
        <v>-2.2168933355715128E-13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308.76306523144956</v>
      </c>
      <c r="EP125" s="60">
        <f t="shared" si="100"/>
        <v>283.28099819802776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-9.9316821433603781E-14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296.01124173332352</v>
      </c>
      <c r="FK125" s="60">
        <f t="shared" si="102"/>
        <v>315.50730924873733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391.18744390931187</v>
      </c>
      <c r="GF125" s="60">
        <f t="shared" si="104"/>
        <v>261.46982358454386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0.10643593622295509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0.10643593622295509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266.19215999999955</v>
      </c>
      <c r="P126" s="14">
        <f t="shared" si="87"/>
        <v>64.040482723459647</v>
      </c>
      <c r="Q126" s="22">
        <f t="shared" si="107"/>
        <v>575.15518607669139</v>
      </c>
      <c r="R126" s="60">
        <f t="shared" si="55"/>
        <v>857.837465893542</v>
      </c>
      <c r="S126" s="60">
        <f ca="1">AVERAGE(OFFSET($R$3,0,0,'Données projet'!$E$9+1,1))-AVERAGE(OFFSET($H$3,0,0,'Données projet'!$E$9+1,1))</f>
        <v>469.15492079216403</v>
      </c>
      <c r="T126" s="60">
        <f t="shared" si="88"/>
        <v>250.47702091764884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294.19999999999953</v>
      </c>
      <c r="AJ126" s="14">
        <f>AI126*VLOOKUP('Données projet'!$B$10,Paramètres!$A$1:$I$89,3,0)*VLOOKUP('Données projet'!$B$10,Paramètres!$A$1:$I$89,5,0)</f>
        <v>247.83407999999966</v>
      </c>
      <c r="AK126" s="14">
        <f t="shared" si="89"/>
        <v>60.121907065721174</v>
      </c>
      <c r="AL126" s="22">
        <f t="shared" si="58"/>
        <v>536.35667747279706</v>
      </c>
      <c r="AM126" s="60">
        <f t="shared" si="59"/>
        <v>819.03895728964767</v>
      </c>
      <c r="AN126" s="60">
        <f ca="1">AVERAGE(OFFSET($AM$3,0,0,'Données projet'!$E$10+1,1))-AVERAGE(OFFSET($H$3,0,0,'Données projet'!$E$10+1,1))</f>
        <v>442.49274132121275</v>
      </c>
      <c r="AO126" s="60">
        <f t="shared" si="90"/>
        <v>237.37463556402756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1.3035332813160495E-13</v>
      </c>
      <c r="BF126" s="14">
        <f t="shared" si="91"/>
        <v>1.8987770485018903E-12</v>
      </c>
      <c r="BG126" s="22">
        <f t="shared" si="61"/>
        <v>3.5340687393033375E-12</v>
      </c>
      <c r="BH126" s="60">
        <f t="shared" si="62"/>
        <v>282.68227981685419</v>
      </c>
      <c r="BI126" s="60">
        <f ca="1">AVERAGE(OFFSET($BH$3,0,0,'Données projet'!$E$11+1,1))-AVERAGE(OFFSET($H$3,0,0,'Données projet'!$E$11+1,1))</f>
        <v>267.90768140488603</v>
      </c>
      <c r="BJ126" s="60">
        <f t="shared" si="92"/>
        <v>280.25465074992258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4.6111381379887463E-14</v>
      </c>
      <c r="CA126" s="14">
        <f t="shared" si="93"/>
        <v>7.5804141040779151E-13</v>
      </c>
      <c r="CB126" s="22">
        <f t="shared" si="64"/>
        <v>1.4005661123635408E-12</v>
      </c>
      <c r="CC126" s="60">
        <f t="shared" si="65"/>
        <v>282.68227981685209</v>
      </c>
      <c r="CD126" s="60">
        <f ca="1">AVERAGE(OFFSET($CC$3,0,0,'Données projet'!$E$12+1,1))-AVERAGE(OFFSET($H$3,0,0,'Données projet'!$E$12+1,1))</f>
        <v>308.6594206517259</v>
      </c>
      <c r="CE126" s="60">
        <f t="shared" si="94"/>
        <v>258.90832875500325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-5.4092197387944907E-14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397.63792993520934</v>
      </c>
      <c r="CZ126" s="60">
        <f t="shared" si="96"/>
        <v>300.63705521148802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7.626113074366004E-14</v>
      </c>
      <c r="DQ126" s="14">
        <f t="shared" si="97"/>
        <v>1.1823749172251317E-12</v>
      </c>
      <c r="DR126" s="22">
        <f t="shared" si="70"/>
        <v>2.1921244502123119E-12</v>
      </c>
      <c r="DS126" s="60">
        <f t="shared" si="71"/>
        <v>282.68227981685288</v>
      </c>
      <c r="DT126" s="60">
        <f ca="1">AVERAGE(OFFSET($DS$3,0,0,'Données projet'!$E$14+1,1))-AVERAGE(OFFSET($H$3,0,0,'Données projet'!$E$14+1,1))</f>
        <v>343.94240546037798</v>
      </c>
      <c r="DU126" s="60">
        <f t="shared" si="98"/>
        <v>277.30931495079346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9.7121788121294947E-2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9.7121788121294947E-2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-2.8421709430404007E-13</v>
      </c>
      <c r="EK126" s="18">
        <f>EJ126*VLOOKUP('Données projet'!$B$15,Paramètres!$A$1:$I$89,3,0)*VLOOKUP('Données projet'!$B$15,Paramètres!$A$1:$I$89,5,0)</f>
        <v>-2.2168933355715128E-13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308.76306523144956</v>
      </c>
      <c r="EP126" s="60">
        <f t="shared" si="100"/>
        <v>283.28099819802776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-9.9316821433603781E-14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296.01124173332352</v>
      </c>
      <c r="FK126" s="60">
        <f t="shared" si="102"/>
        <v>315.50730924873733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391.18744390931187</v>
      </c>
      <c r="GF126" s="60">
        <f t="shared" si="104"/>
        <v>261.46982358454386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0.10352543994971576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0.10352543994971576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269.26847999999956</v>
      </c>
      <c r="P127" s="14">
        <f t="shared" si="87"/>
        <v>64.693997776951122</v>
      </c>
      <c r="Q127" s="22">
        <f t="shared" si="107"/>
        <v>581.65131546152236</v>
      </c>
      <c r="R127" s="60">
        <f t="shared" si="55"/>
        <v>864.5183672446957</v>
      </c>
      <c r="S127" s="60">
        <f ca="1">AVERAGE(OFFSET($R$3,0,0,'Données projet'!$E$9+1,1))-AVERAGE(OFFSET($H$3,0,0,'Données projet'!$E$9+1,1))</f>
        <v>469.15492079216403</v>
      </c>
      <c r="T127" s="60">
        <f t="shared" si="88"/>
        <v>250.47702091764884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297.59999999999951</v>
      </c>
      <c r="AJ127" s="14">
        <f>AI127*VLOOKUP('Données projet'!$B$10,Paramètres!$A$1:$I$89,3,0)*VLOOKUP('Données projet'!$B$10,Paramètres!$A$1:$I$89,5,0)</f>
        <v>250.69823999999963</v>
      </c>
      <c r="AK127" s="14">
        <f t="shared" si="89"/>
        <v>60.735434160476636</v>
      </c>
      <c r="AL127" s="22">
        <f t="shared" si="58"/>
        <v>542.41364916282942</v>
      </c>
      <c r="AM127" s="60">
        <f t="shared" si="59"/>
        <v>825.28070094600275</v>
      </c>
      <c r="AN127" s="60">
        <f ca="1">AVERAGE(OFFSET($AM$3,0,0,'Données projet'!$E$10+1,1))-AVERAGE(OFFSET($H$3,0,0,'Données projet'!$E$10+1,1))</f>
        <v>442.49274132121275</v>
      </c>
      <c r="AO127" s="60">
        <f t="shared" si="90"/>
        <v>237.37463556402756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1.3035332813160495E-13</v>
      </c>
      <c r="BF127" s="14">
        <f t="shared" si="91"/>
        <v>1.8987770485018903E-12</v>
      </c>
      <c r="BG127" s="22">
        <f t="shared" si="61"/>
        <v>3.5340687393033375E-12</v>
      </c>
      <c r="BH127" s="60">
        <f t="shared" si="62"/>
        <v>282.86705178317686</v>
      </c>
      <c r="BI127" s="60">
        <f ca="1">AVERAGE(OFFSET($BH$3,0,0,'Données projet'!$E$11+1,1))-AVERAGE(OFFSET($H$3,0,0,'Données projet'!$E$11+1,1))</f>
        <v>267.90768140488603</v>
      </c>
      <c r="BJ127" s="60">
        <f t="shared" si="92"/>
        <v>280.25465074992258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4.6111381379887463E-14</v>
      </c>
      <c r="CA127" s="14">
        <f t="shared" si="93"/>
        <v>7.5804141040779151E-13</v>
      </c>
      <c r="CB127" s="22">
        <f t="shared" si="64"/>
        <v>1.4005661123635408E-12</v>
      </c>
      <c r="CC127" s="60">
        <f t="shared" si="65"/>
        <v>282.86705178317476</v>
      </c>
      <c r="CD127" s="60">
        <f ca="1">AVERAGE(OFFSET($CC$3,0,0,'Données projet'!$E$12+1,1))-AVERAGE(OFFSET($H$3,0,0,'Données projet'!$E$12+1,1))</f>
        <v>308.6594206517259</v>
      </c>
      <c r="CE127" s="60">
        <f t="shared" si="94"/>
        <v>258.90832875500325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-5.4092197387944907E-14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397.63792993520934</v>
      </c>
      <c r="CZ127" s="60">
        <f t="shared" si="96"/>
        <v>300.63705521148802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7.626113074366004E-14</v>
      </c>
      <c r="DQ127" s="14">
        <f t="shared" si="97"/>
        <v>1.1823749172251317E-12</v>
      </c>
      <c r="DR127" s="22">
        <f t="shared" si="70"/>
        <v>2.1921244502123119E-12</v>
      </c>
      <c r="DS127" s="60">
        <f t="shared" si="71"/>
        <v>282.86705178317555</v>
      </c>
      <c r="DT127" s="60">
        <f ca="1">AVERAGE(OFFSET($DS$3,0,0,'Données projet'!$E$14+1,1))-AVERAGE(OFFSET($H$3,0,0,'Données projet'!$E$14+1,1))</f>
        <v>343.94240546037798</v>
      </c>
      <c r="DU127" s="60">
        <f t="shared" si="98"/>
        <v>277.30931495079346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9.4465987717705271E-2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9.4465987717705271E-2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-2.8421709430404007E-13</v>
      </c>
      <c r="EK127" s="18">
        <f>EJ127*VLOOKUP('Données projet'!$B$15,Paramètres!$A$1:$I$89,3,0)*VLOOKUP('Données projet'!$B$15,Paramètres!$A$1:$I$89,5,0)</f>
        <v>-2.2168933355715128E-13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308.76306523144956</v>
      </c>
      <c r="EP127" s="60">
        <f t="shared" si="100"/>
        <v>283.28099819802776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-9.9316821433603781E-14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296.01124173332352</v>
      </c>
      <c r="FK127" s="60">
        <f t="shared" si="102"/>
        <v>315.50730924873733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391.18744390931187</v>
      </c>
      <c r="GF127" s="60">
        <f t="shared" si="104"/>
        <v>261.46982358454386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0.1006945313501245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0.1006945313501245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272.34479999999957</v>
      </c>
      <c r="P128" s="14">
        <f t="shared" si="87"/>
        <v>65.346644318451652</v>
      </c>
      <c r="Q128" s="22">
        <f t="shared" si="107"/>
        <v>588.14593218796915</v>
      </c>
      <c r="R128" s="60">
        <f t="shared" si="55"/>
        <v>871.19455055693766</v>
      </c>
      <c r="S128" s="60">
        <f ca="1">AVERAGE(OFFSET($R$3,0,0,'Données projet'!$E$9+1,1))-AVERAGE(OFFSET($H$3,0,0,'Données projet'!$E$9+1,1))</f>
        <v>469.15492079216403</v>
      </c>
      <c r="T128" s="60">
        <f t="shared" si="88"/>
        <v>250.47702091764884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300.99999999999949</v>
      </c>
      <c r="AJ128" s="14">
        <f>AI128*VLOOKUP('Données projet'!$B$10,Paramètres!$A$1:$I$89,3,0)*VLOOKUP('Données projet'!$B$10,Paramètres!$A$1:$I$89,5,0)</f>
        <v>253.5623999999996</v>
      </c>
      <c r="AK128" s="14">
        <f t="shared" si="89"/>
        <v>61.348145886656127</v>
      </c>
      <c r="AL128" s="22">
        <f t="shared" si="58"/>
        <v>548.46920075259197</v>
      </c>
      <c r="AM128" s="60">
        <f t="shared" si="59"/>
        <v>831.51781912156048</v>
      </c>
      <c r="AN128" s="60">
        <f ca="1">AVERAGE(OFFSET($AM$3,0,0,'Données projet'!$E$10+1,1))-AVERAGE(OFFSET($H$3,0,0,'Données projet'!$E$10+1,1))</f>
        <v>442.49274132121275</v>
      </c>
      <c r="AO128" s="60">
        <f t="shared" si="90"/>
        <v>237.37463556402756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1.3035332813160495E-13</v>
      </c>
      <c r="BF128" s="14">
        <f t="shared" si="91"/>
        <v>1.8987770485018903E-12</v>
      </c>
      <c r="BG128" s="22">
        <f t="shared" si="61"/>
        <v>3.5340687393033375E-12</v>
      </c>
      <c r="BH128" s="60">
        <f t="shared" si="62"/>
        <v>283.04861836897203</v>
      </c>
      <c r="BI128" s="60">
        <f ca="1">AVERAGE(OFFSET($BH$3,0,0,'Données projet'!$E$11+1,1))-AVERAGE(OFFSET($H$3,0,0,'Données projet'!$E$11+1,1))</f>
        <v>267.90768140488603</v>
      </c>
      <c r="BJ128" s="60">
        <f t="shared" si="92"/>
        <v>280.25465074992258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4.6111381379887463E-14</v>
      </c>
      <c r="CA128" s="14">
        <f t="shared" si="93"/>
        <v>7.5804141040779151E-13</v>
      </c>
      <c r="CB128" s="22">
        <f t="shared" si="64"/>
        <v>1.4005661123635408E-12</v>
      </c>
      <c r="CC128" s="60">
        <f t="shared" si="65"/>
        <v>283.04861836896993</v>
      </c>
      <c r="CD128" s="60">
        <f ca="1">AVERAGE(OFFSET($CC$3,0,0,'Données projet'!$E$12+1,1))-AVERAGE(OFFSET($H$3,0,0,'Données projet'!$E$12+1,1))</f>
        <v>308.6594206517259</v>
      </c>
      <c r="CE128" s="60">
        <f t="shared" si="94"/>
        <v>258.90832875500325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-5.4092197387944907E-14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397.63792993520934</v>
      </c>
      <c r="CZ128" s="60">
        <f t="shared" si="96"/>
        <v>300.63705521148802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7.626113074366004E-14</v>
      </c>
      <c r="DQ128" s="14">
        <f t="shared" si="97"/>
        <v>1.1823749172251317E-12</v>
      </c>
      <c r="DR128" s="22">
        <f t="shared" si="70"/>
        <v>2.1921244502123119E-12</v>
      </c>
      <c r="DS128" s="60">
        <f t="shared" si="71"/>
        <v>283.04861836897072</v>
      </c>
      <c r="DT128" s="60">
        <f ca="1">AVERAGE(OFFSET($DS$3,0,0,'Données projet'!$E$14+1,1))-AVERAGE(OFFSET($H$3,0,0,'Données projet'!$E$14+1,1))</f>
        <v>343.94240546037798</v>
      </c>
      <c r="DU128" s="60">
        <f t="shared" si="98"/>
        <v>277.30931495079346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9.1882810315814231E-2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9.1882810315814231E-2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-2.8421709430404007E-13</v>
      </c>
      <c r="EK128" s="18">
        <f>EJ128*VLOOKUP('Données projet'!$B$15,Paramètres!$A$1:$I$89,3,0)*VLOOKUP('Données projet'!$B$15,Paramètres!$A$1:$I$89,5,0)</f>
        <v>-2.2168933355715128E-13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308.76306523144956</v>
      </c>
      <c r="EP128" s="60">
        <f t="shared" si="100"/>
        <v>283.28099819802776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-9.9316821433603781E-14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296.01124173332352</v>
      </c>
      <c r="FK128" s="60">
        <f t="shared" si="102"/>
        <v>315.50730924873733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391.18744390931187</v>
      </c>
      <c r="GF128" s="60">
        <f t="shared" si="104"/>
        <v>261.46982358454386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9.7941034095060081E-2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9.7941034095060081E-2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245.20079999999953</v>
      </c>
      <c r="P129" s="14">
        <f t="shared" si="87"/>
        <v>59.557107941433628</v>
      </c>
      <c r="Q129" s="22">
        <f t="shared" si="107"/>
        <v>530.78668966466273</v>
      </c>
      <c r="R129" s="60">
        <f t="shared" si="55"/>
        <v>814.01372484508488</v>
      </c>
      <c r="S129" s="60">
        <f ca="1">AVERAGE(OFFSET($R$3,0,0,'Données projet'!$E$9+1,1))-AVERAGE(OFFSET($H$3,0,0,'Données projet'!$E$9+1,1))</f>
        <v>469.15492079216403</v>
      </c>
      <c r="T129" s="60">
        <f t="shared" si="88"/>
        <v>250.47702091764884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270.99999999999949</v>
      </c>
      <c r="AJ129" s="14">
        <f>AI129*VLOOKUP('Données projet'!$B$10,Paramètres!$A$1:$I$89,3,0)*VLOOKUP('Données projet'!$B$10,Paramètres!$A$1:$I$89,5,0)</f>
        <v>228.29039999999958</v>
      </c>
      <c r="AK129" s="14">
        <f t="shared" si="89"/>
        <v>55.912865682480266</v>
      </c>
      <c r="AL129" s="22">
        <f t="shared" si="58"/>
        <v>494.98735439698572</v>
      </c>
      <c r="AM129" s="60">
        <f t="shared" si="59"/>
        <v>778.21438957740793</v>
      </c>
      <c r="AN129" s="60">
        <f ca="1">AVERAGE(OFFSET($AM$3,0,0,'Données projet'!$E$10+1,1))-AVERAGE(OFFSET($H$3,0,0,'Données projet'!$E$10+1,1))</f>
        <v>442.49274132121275</v>
      </c>
      <c r="AO129" s="60">
        <f t="shared" si="90"/>
        <v>237.37463556402756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1.3035332813160495E-13</v>
      </c>
      <c r="BF129" s="14">
        <f t="shared" si="91"/>
        <v>1.8987770485018903E-12</v>
      </c>
      <c r="BG129" s="22">
        <f t="shared" si="61"/>
        <v>3.5340687393033375E-12</v>
      </c>
      <c r="BH129" s="60">
        <f t="shared" si="62"/>
        <v>283.22703518042573</v>
      </c>
      <c r="BI129" s="60">
        <f ca="1">AVERAGE(OFFSET($BH$3,0,0,'Données projet'!$E$11+1,1))-AVERAGE(OFFSET($H$3,0,0,'Données projet'!$E$11+1,1))</f>
        <v>267.90768140488603</v>
      </c>
      <c r="BJ129" s="60">
        <f t="shared" si="92"/>
        <v>280.25465074992258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4.6111381379887463E-14</v>
      </c>
      <c r="CA129" s="14">
        <f t="shared" si="93"/>
        <v>7.5804141040779151E-13</v>
      </c>
      <c r="CB129" s="22">
        <f t="shared" si="64"/>
        <v>1.4005661123635408E-12</v>
      </c>
      <c r="CC129" s="60">
        <f t="shared" si="65"/>
        <v>283.22703518042363</v>
      </c>
      <c r="CD129" s="60">
        <f ca="1">AVERAGE(OFFSET($CC$3,0,0,'Données projet'!$E$12+1,1))-AVERAGE(OFFSET($H$3,0,0,'Données projet'!$E$12+1,1))</f>
        <v>308.6594206517259</v>
      </c>
      <c r="CE129" s="60">
        <f t="shared" si="94"/>
        <v>258.90832875500325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-5.4092197387944907E-14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397.63792993520934</v>
      </c>
      <c r="CZ129" s="60">
        <f t="shared" si="96"/>
        <v>300.63705521148802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7.626113074366004E-14</v>
      </c>
      <c r="DQ129" s="14">
        <f t="shared" si="97"/>
        <v>1.1823749172251317E-12</v>
      </c>
      <c r="DR129" s="22">
        <f t="shared" si="70"/>
        <v>2.1921244502123119E-12</v>
      </c>
      <c r="DS129" s="60">
        <f t="shared" si="71"/>
        <v>283.22703518042442</v>
      </c>
      <c r="DT129" s="60">
        <f ca="1">AVERAGE(OFFSET($DS$3,0,0,'Données projet'!$E$14+1,1))-AVERAGE(OFFSET($H$3,0,0,'Données projet'!$E$14+1,1))</f>
        <v>343.94240546037798</v>
      </c>
      <c r="DU129" s="60">
        <f t="shared" si="98"/>
        <v>277.30931495079346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8.9370270035821292E-2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8.9370270035821292E-2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-2.8421709430404007E-13</v>
      </c>
      <c r="EK129" s="18">
        <f>EJ129*VLOOKUP('Données projet'!$B$15,Paramètres!$A$1:$I$89,3,0)*VLOOKUP('Données projet'!$B$15,Paramètres!$A$1:$I$89,5,0)</f>
        <v>-2.2168933355715128E-13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308.76306523144956</v>
      </c>
      <c r="EP129" s="60">
        <f t="shared" si="100"/>
        <v>283.28099819802776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-9.9316821433603781E-14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296.01124173332352</v>
      </c>
      <c r="FK129" s="60">
        <f t="shared" si="102"/>
        <v>315.50730924873733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391.18744390931187</v>
      </c>
      <c r="GF129" s="60">
        <f t="shared" si="104"/>
        <v>261.46982358454386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9.5262831367235526E-2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9.5262831367235526E-2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247.91519999999954</v>
      </c>
      <c r="P130" s="14">
        <f t="shared" si="87"/>
        <v>60.139294964297356</v>
      </c>
      <c r="Q130" s="22">
        <f t="shared" si="107"/>
        <v>536.52824539615051</v>
      </c>
      <c r="R130" s="60">
        <f t="shared" si="55"/>
        <v>819.930602255228</v>
      </c>
      <c r="S130" s="60">
        <f ca="1">AVERAGE(OFFSET($R$3,0,0,'Données projet'!$E$9+1,1))-AVERAGE(OFFSET($H$3,0,0,'Données projet'!$E$9+1,1))</f>
        <v>469.15492079216403</v>
      </c>
      <c r="T130" s="60">
        <f t="shared" si="88"/>
        <v>250.47702091764884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273.99999999999949</v>
      </c>
      <c r="AJ130" s="14">
        <f>AI130*VLOOKUP('Données projet'!$B$10,Paramètres!$A$1:$I$89,3,0)*VLOOKUP('Données projet'!$B$10,Paramètres!$A$1:$I$89,5,0)</f>
        <v>230.81759999999957</v>
      </c>
      <c r="AK130" s="14">
        <f t="shared" si="89"/>
        <v>56.45942924032579</v>
      </c>
      <c r="AL130" s="22">
        <f t="shared" si="58"/>
        <v>500.34082592689998</v>
      </c>
      <c r="AM130" s="60">
        <f t="shared" si="59"/>
        <v>783.74318278597741</v>
      </c>
      <c r="AN130" s="60">
        <f ca="1">AVERAGE(OFFSET($AM$3,0,0,'Données projet'!$E$10+1,1))-AVERAGE(OFFSET($H$3,0,0,'Données projet'!$E$10+1,1))</f>
        <v>442.49274132121275</v>
      </c>
      <c r="AO130" s="60">
        <f t="shared" si="90"/>
        <v>237.37463556402756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1.3035332813160495E-13</v>
      </c>
      <c r="BF130" s="14">
        <f t="shared" si="91"/>
        <v>1.8987770485018903E-12</v>
      </c>
      <c r="BG130" s="22">
        <f t="shared" si="61"/>
        <v>3.5340687393033375E-12</v>
      </c>
      <c r="BH130" s="60">
        <f t="shared" si="62"/>
        <v>283.40235685908095</v>
      </c>
      <c r="BI130" s="60">
        <f ca="1">AVERAGE(OFFSET($BH$3,0,0,'Données projet'!$E$11+1,1))-AVERAGE(OFFSET($H$3,0,0,'Données projet'!$E$11+1,1))</f>
        <v>267.90768140488603</v>
      </c>
      <c r="BJ130" s="60">
        <f t="shared" si="92"/>
        <v>280.25465074992258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4.6111381379887463E-14</v>
      </c>
      <c r="CA130" s="14">
        <f t="shared" si="93"/>
        <v>7.5804141040779151E-13</v>
      </c>
      <c r="CB130" s="22">
        <f t="shared" si="64"/>
        <v>1.4005661123635408E-12</v>
      </c>
      <c r="CC130" s="60">
        <f t="shared" si="65"/>
        <v>283.40235685907885</v>
      </c>
      <c r="CD130" s="60">
        <f ca="1">AVERAGE(OFFSET($CC$3,0,0,'Données projet'!$E$12+1,1))-AVERAGE(OFFSET($H$3,0,0,'Données projet'!$E$12+1,1))</f>
        <v>308.6594206517259</v>
      </c>
      <c r="CE130" s="60">
        <f t="shared" si="94"/>
        <v>258.90832875500325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-5.4092197387944907E-14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397.63792993520934</v>
      </c>
      <c r="CZ130" s="60">
        <f t="shared" si="96"/>
        <v>300.63705521148802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7.626113074366004E-14</v>
      </c>
      <c r="DQ130" s="14">
        <f t="shared" si="97"/>
        <v>1.1823749172251317E-12</v>
      </c>
      <c r="DR130" s="22">
        <f t="shared" si="70"/>
        <v>2.1921244502123119E-12</v>
      </c>
      <c r="DS130" s="60">
        <f t="shared" si="71"/>
        <v>283.40235685907965</v>
      </c>
      <c r="DT130" s="60">
        <f ca="1">AVERAGE(OFFSET($DS$3,0,0,'Données projet'!$E$14+1,1))-AVERAGE(OFFSET($H$3,0,0,'Données projet'!$E$14+1,1))</f>
        <v>343.94240546037798</v>
      </c>
      <c r="DU130" s="60">
        <f t="shared" si="98"/>
        <v>277.30931495079346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8.6926435301913518E-2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8.6926435301913518E-2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-2.8421709430404007E-13</v>
      </c>
      <c r="EK130" s="18">
        <f>EJ130*VLOOKUP('Données projet'!$B$15,Paramètres!$A$1:$I$89,3,0)*VLOOKUP('Données projet'!$B$15,Paramètres!$A$1:$I$89,5,0)</f>
        <v>-2.2168933355715128E-13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308.76306523144956</v>
      </c>
      <c r="EP130" s="60">
        <f t="shared" si="100"/>
        <v>283.28099819802776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-9.9316821433603781E-14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296.01124173332352</v>
      </c>
      <c r="FK130" s="60">
        <f t="shared" si="102"/>
        <v>315.50730924873733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391.18744390931187</v>
      </c>
      <c r="GF130" s="60">
        <f t="shared" si="104"/>
        <v>261.46982358454386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9.2657864233843895E-2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9.2657864233843895E-2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250.62959999999953</v>
      </c>
      <c r="P131" s="14">
        <f t="shared" si="87"/>
        <v>60.720740474356262</v>
      </c>
      <c r="Q131" s="22">
        <f t="shared" ref="Q131:Q153" si="108">(O131+P131)*0.475*44/12</f>
        <v>542.26850965950291</v>
      </c>
      <c r="R131" s="60">
        <f t="shared" ref="R131:R194" si="109">Q131+(I131+J131)*44/12</f>
        <v>825.8431467580715</v>
      </c>
      <c r="S131" s="60">
        <f ca="1">AVERAGE(OFFSET($R$3,0,0,'Données projet'!$E$9+1,1))-AVERAGE(OFFSET($H$3,0,0,'Données projet'!$E$9+1,1))</f>
        <v>469.15492079216403</v>
      </c>
      <c r="T131" s="60">
        <f t="shared" si="88"/>
        <v>250.47702091764884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276.99999999999949</v>
      </c>
      <c r="AJ131" s="14">
        <f>AI131*VLOOKUP('Données projet'!$B$10,Paramètres!$A$1:$I$89,3,0)*VLOOKUP('Données projet'!$B$10,Paramètres!$A$1:$I$89,5,0)</f>
        <v>233.34479999999959</v>
      </c>
      <c r="AK131" s="14">
        <f t="shared" si="89"/>
        <v>57.005296657823251</v>
      </c>
      <c r="AL131" s="22">
        <f t="shared" si="58"/>
        <v>505.69308501237475</v>
      </c>
      <c r="AM131" s="60">
        <f t="shared" si="59"/>
        <v>789.26772211094328</v>
      </c>
      <c r="AN131" s="60">
        <f ca="1">AVERAGE(OFFSET($AM$3,0,0,'Données projet'!$E$10+1,1))-AVERAGE(OFFSET($H$3,0,0,'Données projet'!$E$10+1,1))</f>
        <v>442.49274132121275</v>
      </c>
      <c r="AO131" s="60">
        <f t="shared" si="90"/>
        <v>237.37463556402756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1.3035332813160495E-13</v>
      </c>
      <c r="BF131" s="14">
        <f t="shared" si="91"/>
        <v>1.8987770485018903E-12</v>
      </c>
      <c r="BG131" s="22">
        <f t="shared" si="61"/>
        <v>3.5340687393033375E-12</v>
      </c>
      <c r="BH131" s="60">
        <f t="shared" si="62"/>
        <v>283.57463709857205</v>
      </c>
      <c r="BI131" s="60">
        <f ca="1">AVERAGE(OFFSET($BH$3,0,0,'Données projet'!$E$11+1,1))-AVERAGE(OFFSET($H$3,0,0,'Données projet'!$E$11+1,1))</f>
        <v>267.90768140488603</v>
      </c>
      <c r="BJ131" s="60">
        <f t="shared" si="92"/>
        <v>280.25465074992258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4.6111381379887463E-14</v>
      </c>
      <c r="CA131" s="14">
        <f t="shared" si="93"/>
        <v>7.5804141040779151E-13</v>
      </c>
      <c r="CB131" s="22">
        <f t="shared" si="64"/>
        <v>1.4005661123635408E-12</v>
      </c>
      <c r="CC131" s="60">
        <f t="shared" si="65"/>
        <v>283.57463709856995</v>
      </c>
      <c r="CD131" s="60">
        <f ca="1">AVERAGE(OFFSET($CC$3,0,0,'Données projet'!$E$12+1,1))-AVERAGE(OFFSET($H$3,0,0,'Données projet'!$E$12+1,1))</f>
        <v>308.6594206517259</v>
      </c>
      <c r="CE131" s="60">
        <f t="shared" si="94"/>
        <v>258.90832875500325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-5.4092197387944907E-14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397.63792993520934</v>
      </c>
      <c r="CZ131" s="60">
        <f t="shared" si="96"/>
        <v>300.63705521148802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7.626113074366004E-14</v>
      </c>
      <c r="DQ131" s="14">
        <f t="shared" si="97"/>
        <v>1.1823749172251317E-12</v>
      </c>
      <c r="DR131" s="22">
        <f t="shared" si="70"/>
        <v>2.1921244502123119E-12</v>
      </c>
      <c r="DS131" s="60">
        <f t="shared" si="71"/>
        <v>283.57463709857075</v>
      </c>
      <c r="DT131" s="60">
        <f ca="1">AVERAGE(OFFSET($DS$3,0,0,'Données projet'!$E$14+1,1))-AVERAGE(OFFSET($H$3,0,0,'Données projet'!$E$14+1,1))</f>
        <v>343.94240546037798</v>
      </c>
      <c r="DU131" s="60">
        <f t="shared" si="98"/>
        <v>277.30931495079346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8.4549427357320128E-2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8.4549427357320128E-2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-2.8421709430404007E-13</v>
      </c>
      <c r="EK131" s="18">
        <f>EJ131*VLOOKUP('Données projet'!$B$15,Paramètres!$A$1:$I$89,3,0)*VLOOKUP('Données projet'!$B$15,Paramètres!$A$1:$I$89,5,0)</f>
        <v>-2.2168933355715128E-13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308.76306523144956</v>
      </c>
      <c r="EP131" s="60">
        <f t="shared" si="100"/>
        <v>283.28099819802776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-9.9316821433603781E-14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296.01124173332352</v>
      </c>
      <c r="FK131" s="60">
        <f t="shared" si="102"/>
        <v>315.50730924873733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391.18744390931187</v>
      </c>
      <c r="GF131" s="60">
        <f t="shared" si="104"/>
        <v>261.46982358454386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9.0124130063704122E-2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9.0124130063704122E-2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253.34399999999954</v>
      </c>
      <c r="P132" s="14">
        <f t="shared" si="87"/>
        <v>61.301453431926198</v>
      </c>
      <c r="Q132" s="22">
        <f t="shared" si="108"/>
        <v>548.00749806060389</v>
      </c>
      <c r="R132" s="60">
        <f t="shared" si="109"/>
        <v>831.7514267216693</v>
      </c>
      <c r="S132" s="60">
        <f ca="1">AVERAGE(OFFSET($R$3,0,0,'Données projet'!$E$9+1,1))-AVERAGE(OFFSET($H$3,0,0,'Données projet'!$E$9+1,1))</f>
        <v>469.15492079216403</v>
      </c>
      <c r="T132" s="60">
        <f t="shared" si="88"/>
        <v>250.47702091764884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279.99999999999949</v>
      </c>
      <c r="AJ132" s="14">
        <f>AI132*VLOOKUP('Données projet'!$B$10,Paramètres!$A$1:$I$89,3,0)*VLOOKUP('Données projet'!$B$10,Paramètres!$A$1:$I$89,5,0)</f>
        <v>235.87199999999959</v>
      </c>
      <c r="AK132" s="14">
        <f t="shared" si="89"/>
        <v>57.55047634701517</v>
      </c>
      <c r="AL132" s="22">
        <f t="shared" ref="AL132:AL153" si="112">(AJ132+AK132)*0.475*44/12</f>
        <v>511.04414630438401</v>
      </c>
      <c r="AM132" s="60">
        <f t="shared" ref="AM132:AM195" si="113">AL132+(AD132+AE132)*44/12</f>
        <v>794.78807496544937</v>
      </c>
      <c r="AN132" s="60">
        <f ca="1">AVERAGE(OFFSET($AM$3,0,0,'Données projet'!$E$10+1,1))-AVERAGE(OFFSET($H$3,0,0,'Données projet'!$E$10+1,1))</f>
        <v>442.49274132121275</v>
      </c>
      <c r="AO132" s="60">
        <f t="shared" si="90"/>
        <v>237.37463556402756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1.3035332813160495E-13</v>
      </c>
      <c r="BF132" s="14">
        <f t="shared" si="91"/>
        <v>1.8987770485018903E-12</v>
      </c>
      <c r="BG132" s="22">
        <f t="shared" ref="BG132:BG153" si="115">(BE132+BF132)*0.475*44/12</f>
        <v>3.5340687393033375E-12</v>
      </c>
      <c r="BH132" s="60">
        <f t="shared" ref="BH132:BH195" si="116">BG132+(AY132+AZ132)*44/12</f>
        <v>283.74392866106888</v>
      </c>
      <c r="BI132" s="60">
        <f ca="1">AVERAGE(OFFSET($BH$3,0,0,'Données projet'!$E$11+1,1))-AVERAGE(OFFSET($H$3,0,0,'Données projet'!$E$11+1,1))</f>
        <v>267.90768140488603</v>
      </c>
      <c r="BJ132" s="60">
        <f t="shared" si="92"/>
        <v>280.25465074992258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4.6111381379887463E-14</v>
      </c>
      <c r="CA132" s="14">
        <f t="shared" si="93"/>
        <v>7.5804141040779151E-13</v>
      </c>
      <c r="CB132" s="22">
        <f t="shared" ref="CB132:CB153" si="118">(BZ132+CA132)*0.475*44/12</f>
        <v>1.4005661123635408E-12</v>
      </c>
      <c r="CC132" s="60">
        <f t="shared" ref="CC132:CC195" si="119">CB132+(BT132+BU132)*44/12</f>
        <v>283.74392866106678</v>
      </c>
      <c r="CD132" s="60">
        <f ca="1">AVERAGE(OFFSET($CC$3,0,0,'Données projet'!$E$12+1,1))-AVERAGE(OFFSET($H$3,0,0,'Données projet'!$E$12+1,1))</f>
        <v>308.6594206517259</v>
      </c>
      <c r="CE132" s="60">
        <f t="shared" si="94"/>
        <v>258.90832875500325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-5.4092197387944907E-14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397.63792993520934</v>
      </c>
      <c r="CZ132" s="60">
        <f t="shared" si="96"/>
        <v>300.63705521148802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7.626113074366004E-14</v>
      </c>
      <c r="DQ132" s="14">
        <f t="shared" si="97"/>
        <v>1.1823749172251317E-12</v>
      </c>
      <c r="DR132" s="22">
        <f t="shared" ref="DR132:DR153" si="124">(DP132+DQ132)*0.475*44/12</f>
        <v>2.1921244502123119E-12</v>
      </c>
      <c r="DS132" s="60">
        <f t="shared" ref="DS132:DS195" si="125">DR132+(DJ132+DK132)*44/12</f>
        <v>283.74392866106757</v>
      </c>
      <c r="DT132" s="60">
        <f ca="1">AVERAGE(OFFSET($DS$3,0,0,'Données projet'!$E$14+1,1))-AVERAGE(OFFSET($H$3,0,0,'Données projet'!$E$14+1,1))</f>
        <v>343.94240546037798</v>
      </c>
      <c r="DU132" s="60">
        <f t="shared" si="98"/>
        <v>277.30931495079346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8.2237418819973068E-2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8.2237418819973068E-2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-2.8421709430404007E-13</v>
      </c>
      <c r="EK132" s="18">
        <f>EJ132*VLOOKUP('Données projet'!$B$15,Paramètres!$A$1:$I$89,3,0)*VLOOKUP('Données projet'!$B$15,Paramètres!$A$1:$I$89,5,0)</f>
        <v>-2.2168933355715128E-13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308.76306523144956</v>
      </c>
      <c r="EP132" s="60">
        <f t="shared" si="100"/>
        <v>283.28099819802776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-9.9316821433603781E-14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296.01124173332352</v>
      </c>
      <c r="FK132" s="60">
        <f t="shared" si="102"/>
        <v>315.50730924873733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391.18744390931187</v>
      </c>
      <c r="GF132" s="60">
        <f t="shared" si="104"/>
        <v>261.46982358454386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8.7659680987690114E-2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8.7659680987690114E-2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256.05839999999955</v>
      </c>
      <c r="P133" s="14">
        <f t="shared" ref="P133:P196" si="141">EXP(-1.0587+0.8836*LN(O133)+0.284)</f>
        <v>61.881442594256377</v>
      </c>
      <c r="Q133" s="22">
        <f t="shared" si="108"/>
        <v>553.74522585166233</v>
      </c>
      <c r="R133" s="60">
        <f t="shared" si="109"/>
        <v>837.65550924509444</v>
      </c>
      <c r="S133" s="60">
        <f ca="1">AVERAGE(OFFSET($R$3,0,0,'Données projet'!$E$9+1,1))-AVERAGE(OFFSET($H$3,0,0,'Données projet'!$E$9+1,1))</f>
        <v>469.15492079216403</v>
      </c>
      <c r="T133" s="60">
        <f t="shared" ref="T133:T196" si="142">$T$3</f>
        <v>250.47702091764884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282.99999999999949</v>
      </c>
      <c r="AJ133" s="14">
        <f>AI133*VLOOKUP('Données projet'!$B$10,Paramètres!$A$1:$I$89,3,0)*VLOOKUP('Données projet'!$B$10,Paramètres!$A$1:$I$89,5,0)</f>
        <v>238.39919999999961</v>
      </c>
      <c r="AK133" s="14">
        <f t="shared" ref="AK133:AK153" si="143">EXP(-1.0587+0.8836*LN(AJ133)+0.284)</f>
        <v>58.094976529303302</v>
      </c>
      <c r="AL133" s="22">
        <f t="shared" si="112"/>
        <v>516.39402412186928</v>
      </c>
      <c r="AM133" s="60">
        <f t="shared" si="113"/>
        <v>800.30430751530139</v>
      </c>
      <c r="AN133" s="60">
        <f ca="1">AVERAGE(OFFSET($AM$3,0,0,'Données projet'!$E$10+1,1))-AVERAGE(OFFSET($H$3,0,0,'Données projet'!$E$10+1,1))</f>
        <v>442.49274132121275</v>
      </c>
      <c r="AO133" s="60">
        <f t="shared" ref="AO133:AO196" si="144">$AO$3</f>
        <v>237.37463556402756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1.3035332813160495E-13</v>
      </c>
      <c r="BF133" s="14">
        <f t="shared" ref="BF133:BF153" si="145">EXP(-1.0587+0.8836*LN(BE133)+0.284)</f>
        <v>1.8987770485018903E-12</v>
      </c>
      <c r="BG133" s="22">
        <f t="shared" si="115"/>
        <v>3.5340687393033375E-12</v>
      </c>
      <c r="BH133" s="60">
        <f t="shared" si="116"/>
        <v>283.91028339343563</v>
      </c>
      <c r="BI133" s="60">
        <f ca="1">AVERAGE(OFFSET($BH$3,0,0,'Données projet'!$E$11+1,1))-AVERAGE(OFFSET($H$3,0,0,'Données projet'!$E$11+1,1))</f>
        <v>267.90768140488603</v>
      </c>
      <c r="BJ133" s="60">
        <f t="shared" ref="BJ133:BJ196" si="146">$BJ$3</f>
        <v>280.25465074992258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4.6111381379887463E-14</v>
      </c>
      <c r="CA133" s="14">
        <f t="shared" ref="CA133:CA153" si="147">EXP(-1.0587+0.8836*LN(BZ133)+0.284)</f>
        <v>7.5804141040779151E-13</v>
      </c>
      <c r="CB133" s="22">
        <f t="shared" si="118"/>
        <v>1.4005661123635408E-12</v>
      </c>
      <c r="CC133" s="60">
        <f t="shared" si="119"/>
        <v>283.91028339343353</v>
      </c>
      <c r="CD133" s="60">
        <f ca="1">AVERAGE(OFFSET($CC$3,0,0,'Données projet'!$E$12+1,1))-AVERAGE(OFFSET($H$3,0,0,'Données projet'!$E$12+1,1))</f>
        <v>308.6594206517259</v>
      </c>
      <c r="CE133" s="60">
        <f t="shared" ref="CE133:CE196" si="148">$CE$3</f>
        <v>258.90832875500325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-5.4092197387944907E-14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397.63792993520934</v>
      </c>
      <c r="CZ133" s="60">
        <f t="shared" ref="CZ133:CZ196" si="150">$CZ$3</f>
        <v>300.63705521148802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7.626113074366004E-14</v>
      </c>
      <c r="DQ133" s="14">
        <f t="shared" ref="DQ133:DQ153" si="151">EXP(-1.0587+0.8836*LN(DP133)+0.284)</f>
        <v>1.1823749172251317E-12</v>
      </c>
      <c r="DR133" s="22">
        <f t="shared" si="124"/>
        <v>2.1921244502123119E-12</v>
      </c>
      <c r="DS133" s="60">
        <f t="shared" si="125"/>
        <v>283.91028339343433</v>
      </c>
      <c r="DT133" s="60">
        <f ca="1">AVERAGE(OFFSET($DS$3,0,0,'Données projet'!$E$14+1,1))-AVERAGE(OFFSET($H$3,0,0,'Données projet'!$E$14+1,1))</f>
        <v>343.94240546037798</v>
      </c>
      <c r="DU133" s="60">
        <f t="shared" ref="DU133:DU196" si="152">$DU$3</f>
        <v>277.30931495079346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7.9988632277663008E-2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7.9988632277663008E-2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-2.8421709430404007E-13</v>
      </c>
      <c r="EK133" s="18">
        <f>EJ133*VLOOKUP('Données projet'!$B$15,Paramètres!$A$1:$I$89,3,0)*VLOOKUP('Données projet'!$B$15,Paramètres!$A$1:$I$89,5,0)</f>
        <v>-2.2168933355715128E-13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308.76306523144956</v>
      </c>
      <c r="EP133" s="60">
        <f t="shared" ref="EP133:EP196" si="154">$EP$3</f>
        <v>283.28099819802776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-9.9316821433603781E-14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296.01124173332352</v>
      </c>
      <c r="FK133" s="60">
        <f t="shared" ref="FK133:FK196" si="156">$FK$3</f>
        <v>315.50730924873733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391.18744390931187</v>
      </c>
      <c r="GF133" s="60">
        <f t="shared" ref="GF133:GF196" si="158">$GF$3</f>
        <v>261.46982358454386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8.5262622401259452E-2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8.5262622401259452E-2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258.77279999999951</v>
      </c>
      <c r="P134" s="14">
        <f t="shared" si="141"/>
        <v>62.460716522234527</v>
      </c>
      <c r="Q134" s="22">
        <f t="shared" si="108"/>
        <v>559.48170794289092</v>
      </c>
      <c r="R134" s="60">
        <f t="shared" si="109"/>
        <v>843.55546018599671</v>
      </c>
      <c r="S134" s="60">
        <f ca="1">AVERAGE(OFFSET($R$3,0,0,'Données projet'!$E$9+1,1))-AVERAGE(OFFSET($H$3,0,0,'Données projet'!$E$9+1,1))</f>
        <v>469.15492079216403</v>
      </c>
      <c r="T134" s="60">
        <f t="shared" si="142"/>
        <v>250.47702091764884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285.99999999999949</v>
      </c>
      <c r="AJ134" s="14">
        <f>AI134*VLOOKUP('Données projet'!$B$10,Paramètres!$A$1:$I$89,3,0)*VLOOKUP('Données projet'!$B$10,Paramètres!$A$1:$I$89,5,0)</f>
        <v>240.9263999999996</v>
      </c>
      <c r="AK134" s="14">
        <f t="shared" si="143"/>
        <v>58.638805241742716</v>
      </c>
      <c r="AL134" s="22">
        <f t="shared" si="112"/>
        <v>521.74273246270116</v>
      </c>
      <c r="AM134" s="60">
        <f t="shared" si="113"/>
        <v>805.81648470580694</v>
      </c>
      <c r="AN134" s="60">
        <f ca="1">AVERAGE(OFFSET($AM$3,0,0,'Données projet'!$E$10+1,1))-AVERAGE(OFFSET($H$3,0,0,'Données projet'!$E$10+1,1))</f>
        <v>442.49274132121275</v>
      </c>
      <c r="AO134" s="60">
        <f t="shared" si="144"/>
        <v>237.37463556402756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1.3035332813160495E-13</v>
      </c>
      <c r="BF134" s="14">
        <f t="shared" si="145"/>
        <v>1.8987770485018903E-12</v>
      </c>
      <c r="BG134" s="22">
        <f t="shared" si="115"/>
        <v>3.5340687393033375E-12</v>
      </c>
      <c r="BH134" s="60">
        <f t="shared" si="116"/>
        <v>284.07375224310925</v>
      </c>
      <c r="BI134" s="60">
        <f ca="1">AVERAGE(OFFSET($BH$3,0,0,'Données projet'!$E$11+1,1))-AVERAGE(OFFSET($H$3,0,0,'Données projet'!$E$11+1,1))</f>
        <v>267.90768140488603</v>
      </c>
      <c r="BJ134" s="60">
        <f t="shared" si="146"/>
        <v>280.25465074992258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4.6111381379887463E-14</v>
      </c>
      <c r="CA134" s="14">
        <f t="shared" si="147"/>
        <v>7.5804141040779151E-13</v>
      </c>
      <c r="CB134" s="22">
        <f t="shared" si="118"/>
        <v>1.4005661123635408E-12</v>
      </c>
      <c r="CC134" s="60">
        <f t="shared" si="119"/>
        <v>284.07375224310715</v>
      </c>
      <c r="CD134" s="60">
        <f ca="1">AVERAGE(OFFSET($CC$3,0,0,'Données projet'!$E$12+1,1))-AVERAGE(OFFSET($H$3,0,0,'Données projet'!$E$12+1,1))</f>
        <v>308.6594206517259</v>
      </c>
      <c r="CE134" s="60">
        <f t="shared" si="148"/>
        <v>258.90832875500325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-5.4092197387944907E-14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397.63792993520934</v>
      </c>
      <c r="CZ134" s="60">
        <f t="shared" si="150"/>
        <v>300.63705521148802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7.626113074366004E-14</v>
      </c>
      <c r="DQ134" s="14">
        <f t="shared" si="151"/>
        <v>1.1823749172251317E-12</v>
      </c>
      <c r="DR134" s="22">
        <f t="shared" si="124"/>
        <v>2.1921244502123119E-12</v>
      </c>
      <c r="DS134" s="60">
        <f t="shared" si="125"/>
        <v>284.07375224310795</v>
      </c>
      <c r="DT134" s="60">
        <f ca="1">AVERAGE(OFFSET($DS$3,0,0,'Données projet'!$E$14+1,1))-AVERAGE(OFFSET($H$3,0,0,'Données projet'!$E$14+1,1))</f>
        <v>343.94240546037798</v>
      </c>
      <c r="DU134" s="60">
        <f t="shared" si="152"/>
        <v>277.30931495079346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7.7801338921610952E-2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7.7801338921610952E-2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-2.8421709430404007E-13</v>
      </c>
      <c r="EK134" s="18">
        <f>EJ134*VLOOKUP('Données projet'!$B$15,Paramètres!$A$1:$I$89,3,0)*VLOOKUP('Données projet'!$B$15,Paramètres!$A$1:$I$89,5,0)</f>
        <v>-2.2168933355715128E-13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308.76306523144956</v>
      </c>
      <c r="EP134" s="60">
        <f t="shared" si="154"/>
        <v>283.28099819802776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-9.9316821433603781E-14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296.01124173332352</v>
      </c>
      <c r="FK134" s="60">
        <f t="shared" si="156"/>
        <v>315.50730924873733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391.18744390931187</v>
      </c>
      <c r="GF134" s="60">
        <f t="shared" si="158"/>
        <v>261.46982358454386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8.2931111507930574E-2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8.2931111507930574E-2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261.48719999999952</v>
      </c>
      <c r="P135" s="14">
        <f t="shared" si="141"/>
        <v>63.039283586802277</v>
      </c>
      <c r="Q135" s="22">
        <f t="shared" si="108"/>
        <v>565.21695891367983</v>
      </c>
      <c r="R135" s="60">
        <f t="shared" si="109"/>
        <v>849.45134418737894</v>
      </c>
      <c r="S135" s="60">
        <f ca="1">AVERAGE(OFFSET($R$3,0,0,'Données projet'!$E$9+1,1))-AVERAGE(OFFSET($H$3,0,0,'Données projet'!$E$9+1,1))</f>
        <v>469.15492079216403</v>
      </c>
      <c r="T135" s="60">
        <f t="shared" si="142"/>
        <v>250.47702091764884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288.99999999999949</v>
      </c>
      <c r="AJ135" s="14">
        <f>AI135*VLOOKUP('Données projet'!$B$10,Paramètres!$A$1:$I$89,3,0)*VLOOKUP('Données projet'!$B$10,Paramètres!$A$1:$I$89,5,0)</f>
        <v>243.45359999999962</v>
      </c>
      <c r="AK135" s="14">
        <f t="shared" si="143"/>
        <v>59.18197034306521</v>
      </c>
      <c r="AL135" s="22">
        <f t="shared" si="112"/>
        <v>527.09028501417129</v>
      </c>
      <c r="AM135" s="60">
        <f t="shared" si="113"/>
        <v>811.3246702878705</v>
      </c>
      <c r="AN135" s="60">
        <f ca="1">AVERAGE(OFFSET($AM$3,0,0,'Données projet'!$E$10+1,1))-AVERAGE(OFFSET($H$3,0,0,'Données projet'!$E$10+1,1))</f>
        <v>442.49274132121275</v>
      </c>
      <c r="AO135" s="60">
        <f t="shared" si="144"/>
        <v>237.37463556402756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1.3035332813160495E-13</v>
      </c>
      <c r="BF135" s="14">
        <f t="shared" si="145"/>
        <v>1.8987770485018903E-12</v>
      </c>
      <c r="BG135" s="22">
        <f t="shared" si="115"/>
        <v>3.5340687393033375E-12</v>
      </c>
      <c r="BH135" s="60">
        <f t="shared" si="116"/>
        <v>284.23438527370269</v>
      </c>
      <c r="BI135" s="60">
        <f ca="1">AVERAGE(OFFSET($BH$3,0,0,'Données projet'!$E$11+1,1))-AVERAGE(OFFSET($H$3,0,0,'Données projet'!$E$11+1,1))</f>
        <v>267.90768140488603</v>
      </c>
      <c r="BJ135" s="60">
        <f t="shared" si="146"/>
        <v>280.25465074992258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4.6111381379887463E-14</v>
      </c>
      <c r="CA135" s="14">
        <f t="shared" si="147"/>
        <v>7.5804141040779151E-13</v>
      </c>
      <c r="CB135" s="22">
        <f t="shared" si="118"/>
        <v>1.4005661123635408E-12</v>
      </c>
      <c r="CC135" s="60">
        <f t="shared" si="119"/>
        <v>284.23438527370058</v>
      </c>
      <c r="CD135" s="60">
        <f ca="1">AVERAGE(OFFSET($CC$3,0,0,'Données projet'!$E$12+1,1))-AVERAGE(OFFSET($H$3,0,0,'Données projet'!$E$12+1,1))</f>
        <v>308.6594206517259</v>
      </c>
      <c r="CE135" s="60">
        <f t="shared" si="148"/>
        <v>258.90832875500325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-5.4092197387944907E-14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397.63792993520934</v>
      </c>
      <c r="CZ135" s="60">
        <f t="shared" si="150"/>
        <v>300.63705521148802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7.626113074366004E-14</v>
      </c>
      <c r="DQ135" s="14">
        <f t="shared" si="151"/>
        <v>1.1823749172251317E-12</v>
      </c>
      <c r="DR135" s="22">
        <f t="shared" si="124"/>
        <v>2.1921244502123119E-12</v>
      </c>
      <c r="DS135" s="60">
        <f t="shared" si="125"/>
        <v>284.23438527370138</v>
      </c>
      <c r="DT135" s="60">
        <f ca="1">AVERAGE(OFFSET($DS$3,0,0,'Données projet'!$E$14+1,1))-AVERAGE(OFFSET($H$3,0,0,'Données projet'!$E$14+1,1))</f>
        <v>343.94240546037798</v>
      </c>
      <c r="DU135" s="60">
        <f t="shared" si="152"/>
        <v>277.30931495079346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7.5673857217404911E-2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7.5673857217404911E-2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-2.8421709430404007E-13</v>
      </c>
      <c r="EK135" s="18">
        <f>EJ135*VLOOKUP('Données projet'!$B$15,Paramètres!$A$1:$I$89,3,0)*VLOOKUP('Données projet'!$B$15,Paramètres!$A$1:$I$89,5,0)</f>
        <v>-2.2168933355715128E-13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308.76306523144956</v>
      </c>
      <c r="EP135" s="60">
        <f t="shared" si="154"/>
        <v>283.28099819802776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-9.9316821433603781E-14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296.01124173332352</v>
      </c>
      <c r="FK135" s="60">
        <f t="shared" si="156"/>
        <v>315.50730924873733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391.18744390931187</v>
      </c>
      <c r="GF135" s="60">
        <f t="shared" si="158"/>
        <v>261.46982358454386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8.0663355902588607E-2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8.0663355902588607E-2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264.20159999999953</v>
      </c>
      <c r="P136" s="14">
        <f t="shared" si="141"/>
        <v>63.617151975096654</v>
      </c>
      <c r="Q136" s="22">
        <f t="shared" si="108"/>
        <v>570.95099302329243</v>
      </c>
      <c r="R136" s="60">
        <f t="shared" si="109"/>
        <v>855.34322470362576</v>
      </c>
      <c r="S136" s="60">
        <f ca="1">AVERAGE(OFFSET($R$3,0,0,'Données projet'!$E$9+1,1))-AVERAGE(OFFSET($H$3,0,0,'Données projet'!$E$9+1,1))</f>
        <v>469.15492079216403</v>
      </c>
      <c r="T136" s="60">
        <f t="shared" si="142"/>
        <v>250.47702091764884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291.99999999999949</v>
      </c>
      <c r="AJ136" s="14">
        <f>AI136*VLOOKUP('Données projet'!$B$10,Paramètres!$A$1:$I$89,3,0)*VLOOKUP('Données projet'!$B$10,Paramètres!$A$1:$I$89,5,0)</f>
        <v>245.98079999999956</v>
      </c>
      <c r="AK136" s="14">
        <f t="shared" si="143"/>
        <v>59.724479519444756</v>
      </c>
      <c r="AL136" s="22">
        <f t="shared" si="112"/>
        <v>532.43669516303225</v>
      </c>
      <c r="AM136" s="60">
        <f t="shared" si="113"/>
        <v>816.82892684336571</v>
      </c>
      <c r="AN136" s="60">
        <f ca="1">AVERAGE(OFFSET($AM$3,0,0,'Données projet'!$E$10+1,1))-AVERAGE(OFFSET($H$3,0,0,'Données projet'!$E$10+1,1))</f>
        <v>442.49274132121275</v>
      </c>
      <c r="AO136" s="60">
        <f t="shared" si="144"/>
        <v>237.37463556402756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1.3035332813160495E-13</v>
      </c>
      <c r="BF136" s="14">
        <f t="shared" si="145"/>
        <v>1.8987770485018903E-12</v>
      </c>
      <c r="BG136" s="22">
        <f t="shared" si="115"/>
        <v>3.5340687393033375E-12</v>
      </c>
      <c r="BH136" s="60">
        <f t="shared" si="116"/>
        <v>284.39223168033692</v>
      </c>
      <c r="BI136" s="60">
        <f ca="1">AVERAGE(OFFSET($BH$3,0,0,'Données projet'!$E$11+1,1))-AVERAGE(OFFSET($H$3,0,0,'Données projet'!$E$11+1,1))</f>
        <v>267.90768140488603</v>
      </c>
      <c r="BJ136" s="60">
        <f t="shared" si="146"/>
        <v>280.25465074992258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4.6111381379887463E-14</v>
      </c>
      <c r="CA136" s="14">
        <f t="shared" si="147"/>
        <v>7.5804141040779151E-13</v>
      </c>
      <c r="CB136" s="22">
        <f t="shared" si="118"/>
        <v>1.4005661123635408E-12</v>
      </c>
      <c r="CC136" s="60">
        <f t="shared" si="119"/>
        <v>284.39223168033482</v>
      </c>
      <c r="CD136" s="60">
        <f ca="1">AVERAGE(OFFSET($CC$3,0,0,'Données projet'!$E$12+1,1))-AVERAGE(OFFSET($H$3,0,0,'Données projet'!$E$12+1,1))</f>
        <v>308.6594206517259</v>
      </c>
      <c r="CE136" s="60">
        <f t="shared" si="148"/>
        <v>258.90832875500325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-5.4092197387944907E-14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397.63792993520934</v>
      </c>
      <c r="CZ136" s="60">
        <f t="shared" si="150"/>
        <v>300.63705521148802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7.626113074366004E-14</v>
      </c>
      <c r="DQ136" s="14">
        <f t="shared" si="151"/>
        <v>1.1823749172251317E-12</v>
      </c>
      <c r="DR136" s="22">
        <f t="shared" si="124"/>
        <v>2.1921244502123119E-12</v>
      </c>
      <c r="DS136" s="60">
        <f t="shared" si="125"/>
        <v>284.39223168033561</v>
      </c>
      <c r="DT136" s="60">
        <f ca="1">AVERAGE(OFFSET($DS$3,0,0,'Données projet'!$E$14+1,1))-AVERAGE(OFFSET($H$3,0,0,'Données projet'!$E$14+1,1))</f>
        <v>343.94240546037798</v>
      </c>
      <c r="DU136" s="60">
        <f t="shared" si="152"/>
        <v>277.30931495079346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7.3604551612279773E-2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7.3604551612279773E-2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-2.8421709430404007E-13</v>
      </c>
      <c r="EK136" s="18">
        <f>EJ136*VLOOKUP('Données projet'!$B$15,Paramètres!$A$1:$I$89,3,0)*VLOOKUP('Données projet'!$B$15,Paramètres!$A$1:$I$89,5,0)</f>
        <v>-2.2168933355715128E-13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308.76306523144956</v>
      </c>
      <c r="EP136" s="60">
        <f t="shared" si="154"/>
        <v>283.28099819802776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-9.9316821433603781E-14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296.01124173332352</v>
      </c>
      <c r="FK136" s="60">
        <f t="shared" si="156"/>
        <v>315.50730924873733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391.18744390931187</v>
      </c>
      <c r="GF136" s="60">
        <f t="shared" si="158"/>
        <v>261.46982358454386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7.8457612193530799E-2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7.8457612193530799E-2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266.91599999999949</v>
      </c>
      <c r="P137" s="14">
        <f t="shared" si="141"/>
        <v>64.194329696332062</v>
      </c>
      <c r="Q137" s="22">
        <f t="shared" si="108"/>
        <v>576.68382422111074</v>
      </c>
      <c r="R137" s="60">
        <f t="shared" si="109"/>
        <v>861.23116402581502</v>
      </c>
      <c r="S137" s="60">
        <f ca="1">AVERAGE(OFFSET($R$3,0,0,'Données projet'!$E$9+1,1))-AVERAGE(OFFSET($H$3,0,0,'Données projet'!$E$9+1,1))</f>
        <v>469.15492079216403</v>
      </c>
      <c r="T137" s="60">
        <f t="shared" si="142"/>
        <v>250.47702091764884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294.99999999999949</v>
      </c>
      <c r="AJ137" s="14">
        <f>AI137*VLOOKUP('Données projet'!$B$10,Paramètres!$A$1:$I$89,3,0)*VLOOKUP('Données projet'!$B$10,Paramètres!$A$1:$I$89,5,0)</f>
        <v>248.50799999999958</v>
      </c>
      <c r="AK137" s="14">
        <f t="shared" si="143"/>
        <v>60.266340290019563</v>
      </c>
      <c r="AL137" s="22">
        <f t="shared" si="112"/>
        <v>537.78197600511669</v>
      </c>
      <c r="AM137" s="60">
        <f t="shared" si="113"/>
        <v>822.32931580982097</v>
      </c>
      <c r="AN137" s="60">
        <f ca="1">AVERAGE(OFFSET($AM$3,0,0,'Données projet'!$E$10+1,1))-AVERAGE(OFFSET($H$3,0,0,'Données projet'!$E$10+1,1))</f>
        <v>442.49274132121275</v>
      </c>
      <c r="AO137" s="60">
        <f t="shared" si="144"/>
        <v>237.37463556402756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1.3035332813160495E-13</v>
      </c>
      <c r="BF137" s="14">
        <f t="shared" si="145"/>
        <v>1.8987770485018903E-12</v>
      </c>
      <c r="BG137" s="22">
        <f t="shared" si="115"/>
        <v>3.5340687393033375E-12</v>
      </c>
      <c r="BH137" s="60">
        <f t="shared" si="116"/>
        <v>284.5473398047078</v>
      </c>
      <c r="BI137" s="60">
        <f ca="1">AVERAGE(OFFSET($BH$3,0,0,'Données projet'!$E$11+1,1))-AVERAGE(OFFSET($H$3,0,0,'Données projet'!$E$11+1,1))</f>
        <v>267.90768140488603</v>
      </c>
      <c r="BJ137" s="60">
        <f t="shared" si="146"/>
        <v>280.25465074992258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4.6111381379887463E-14</v>
      </c>
      <c r="CA137" s="14">
        <f t="shared" si="147"/>
        <v>7.5804141040779151E-13</v>
      </c>
      <c r="CB137" s="22">
        <f t="shared" si="118"/>
        <v>1.4005661123635408E-12</v>
      </c>
      <c r="CC137" s="60">
        <f t="shared" si="119"/>
        <v>284.5473398047057</v>
      </c>
      <c r="CD137" s="60">
        <f ca="1">AVERAGE(OFFSET($CC$3,0,0,'Données projet'!$E$12+1,1))-AVERAGE(OFFSET($H$3,0,0,'Données projet'!$E$12+1,1))</f>
        <v>308.6594206517259</v>
      </c>
      <c r="CE137" s="60">
        <f t="shared" si="148"/>
        <v>258.90832875500325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-5.4092197387944907E-14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397.63792993520934</v>
      </c>
      <c r="CZ137" s="60">
        <f t="shared" si="150"/>
        <v>300.63705521148802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7.626113074366004E-14</v>
      </c>
      <c r="DQ137" s="14">
        <f t="shared" si="151"/>
        <v>1.1823749172251317E-12</v>
      </c>
      <c r="DR137" s="22">
        <f t="shared" si="124"/>
        <v>2.1921244502123119E-12</v>
      </c>
      <c r="DS137" s="60">
        <f t="shared" si="125"/>
        <v>284.5473398047065</v>
      </c>
      <c r="DT137" s="60">
        <f ca="1">AVERAGE(OFFSET($DS$3,0,0,'Données projet'!$E$14+1,1))-AVERAGE(OFFSET($H$3,0,0,'Données projet'!$E$14+1,1))</f>
        <v>343.94240546037798</v>
      </c>
      <c r="DU137" s="60">
        <f t="shared" si="152"/>
        <v>277.30931495079346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7.1591831277746834E-2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7.1591831277746834E-2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-2.8421709430404007E-13</v>
      </c>
      <c r="EK137" s="18">
        <f>EJ137*VLOOKUP('Données projet'!$B$15,Paramètres!$A$1:$I$89,3,0)*VLOOKUP('Données projet'!$B$15,Paramètres!$A$1:$I$89,5,0)</f>
        <v>-2.2168933355715128E-13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308.76306523144956</v>
      </c>
      <c r="EP137" s="60">
        <f t="shared" si="154"/>
        <v>283.28099819802776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-9.9316821433603781E-14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296.01124173332352</v>
      </c>
      <c r="FK137" s="60">
        <f t="shared" si="156"/>
        <v>315.50730924873733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391.18744390931187</v>
      </c>
      <c r="GF137" s="60">
        <f t="shared" si="158"/>
        <v>261.46982358454386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7.6312184662192195E-2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7.6312184662192195E-2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269.63039999999955</v>
      </c>
      <c r="P138" s="14">
        <f t="shared" si="141"/>
        <v>64.770824587436024</v>
      </c>
      <c r="Q138" s="22">
        <f t="shared" si="108"/>
        <v>582.41546615645018</v>
      </c>
      <c r="R138" s="60">
        <f t="shared" si="109"/>
        <v>867.11522330633738</v>
      </c>
      <c r="S138" s="60">
        <f ca="1">AVERAGE(OFFSET($R$3,0,0,'Données projet'!$E$9+1,1))-AVERAGE(OFFSET($H$3,0,0,'Données projet'!$E$9+1,1))</f>
        <v>469.15492079216403</v>
      </c>
      <c r="T138" s="60">
        <f t="shared" si="142"/>
        <v>250.47702091764884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297.99999999999949</v>
      </c>
      <c r="AJ138" s="14">
        <f>AI138*VLOOKUP('Données projet'!$B$10,Paramètres!$A$1:$I$89,3,0)*VLOOKUP('Données projet'!$B$10,Paramètres!$A$1:$I$89,5,0)</f>
        <v>251.03519999999958</v>
      </c>
      <c r="AK138" s="14">
        <f t="shared" si="143"/>
        <v>60.807560012183245</v>
      </c>
      <c r="AL138" s="22">
        <f t="shared" si="112"/>
        <v>543.12614035455169</v>
      </c>
      <c r="AM138" s="60">
        <f t="shared" si="113"/>
        <v>827.8258975044389</v>
      </c>
      <c r="AN138" s="60">
        <f ca="1">AVERAGE(OFFSET($AM$3,0,0,'Données projet'!$E$10+1,1))-AVERAGE(OFFSET($H$3,0,0,'Données projet'!$E$10+1,1))</f>
        <v>442.49274132121275</v>
      </c>
      <c r="AO138" s="60">
        <f t="shared" si="144"/>
        <v>237.37463556402756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1.3035332813160495E-13</v>
      </c>
      <c r="BF138" s="14">
        <f t="shared" si="145"/>
        <v>1.8987770485018903E-12</v>
      </c>
      <c r="BG138" s="22">
        <f t="shared" si="115"/>
        <v>3.5340687393033375E-12</v>
      </c>
      <c r="BH138" s="60">
        <f t="shared" si="116"/>
        <v>284.69975714989067</v>
      </c>
      <c r="BI138" s="60">
        <f ca="1">AVERAGE(OFFSET($BH$3,0,0,'Données projet'!$E$11+1,1))-AVERAGE(OFFSET($H$3,0,0,'Données projet'!$E$11+1,1))</f>
        <v>267.90768140488603</v>
      </c>
      <c r="BJ138" s="60">
        <f t="shared" si="146"/>
        <v>280.25465074992258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4.6111381379887463E-14</v>
      </c>
      <c r="CA138" s="14">
        <f t="shared" si="147"/>
        <v>7.5804141040779151E-13</v>
      </c>
      <c r="CB138" s="22">
        <f t="shared" si="118"/>
        <v>1.4005661123635408E-12</v>
      </c>
      <c r="CC138" s="60">
        <f t="shared" si="119"/>
        <v>284.69975714988857</v>
      </c>
      <c r="CD138" s="60">
        <f ca="1">AVERAGE(OFFSET($CC$3,0,0,'Données projet'!$E$12+1,1))-AVERAGE(OFFSET($H$3,0,0,'Données projet'!$E$12+1,1))</f>
        <v>308.6594206517259</v>
      </c>
      <c r="CE138" s="60">
        <f t="shared" si="148"/>
        <v>258.90832875500325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-5.4092197387944907E-14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397.63792993520934</v>
      </c>
      <c r="CZ138" s="60">
        <f t="shared" si="150"/>
        <v>300.63705521148802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7.626113074366004E-14</v>
      </c>
      <c r="DQ138" s="14">
        <f t="shared" si="151"/>
        <v>1.1823749172251317E-12</v>
      </c>
      <c r="DR138" s="22">
        <f t="shared" si="124"/>
        <v>2.1921244502123119E-12</v>
      </c>
      <c r="DS138" s="60">
        <f t="shared" si="125"/>
        <v>284.69975714988936</v>
      </c>
      <c r="DT138" s="60">
        <f ca="1">AVERAGE(OFFSET($DS$3,0,0,'Données projet'!$E$14+1,1))-AVERAGE(OFFSET($H$3,0,0,'Données projet'!$E$14+1,1))</f>
        <v>343.94240546037798</v>
      </c>
      <c r="DU138" s="60">
        <f t="shared" si="152"/>
        <v>277.30931495079346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6.9634148886606059E-2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6.9634148886606059E-2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-2.8421709430404007E-13</v>
      </c>
      <c r="EK138" s="18">
        <f>EJ138*VLOOKUP('Données projet'!$B$15,Paramètres!$A$1:$I$89,3,0)*VLOOKUP('Données projet'!$B$15,Paramètres!$A$1:$I$89,5,0)</f>
        <v>-2.2168933355715128E-13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308.76306523144956</v>
      </c>
      <c r="EP138" s="60">
        <f t="shared" si="154"/>
        <v>283.28099819802776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-9.9316821433603781E-14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296.01124173332352</v>
      </c>
      <c r="FK138" s="60">
        <f t="shared" si="156"/>
        <v>315.50730924873733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391.18744390931187</v>
      </c>
      <c r="GF138" s="60">
        <f t="shared" si="158"/>
        <v>261.46982358454386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7.422542395952117E-2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7.422542395952117E-2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1.3</v>
      </c>
      <c r="N139" s="14">
        <f>IF('Données projet'!$A$36&gt;35,N138+M139-V138,IF(A139&lt;'Données projet'!$A$36,$K$205^A139,IF(A139='Données projet'!$A$36,'Données projet'!$B$36,N138+M139-V138)))</f>
        <v>270.2999999999995</v>
      </c>
      <c r="O139" s="14">
        <f>N139*VLOOKUP('Données projet'!$B$9,Paramètres!$A$1:$I$89,3,0)*VLOOKUP('Données projet'!$B$9,Paramètres!$A$1:$I$89,5,0)</f>
        <v>244.56743999999952</v>
      </c>
      <c r="P139" s="14">
        <f t="shared" si="141"/>
        <v>59.42115662941341</v>
      </c>
      <c r="Q139" s="22">
        <f t="shared" si="108"/>
        <v>529.44680579622752</v>
      </c>
      <c r="R139" s="60">
        <f t="shared" si="109"/>
        <v>814.29633619111269</v>
      </c>
      <c r="S139" s="60">
        <f ca="1">AVERAGE(OFFSET($R$3,0,0,'Données projet'!$E$9+1,1))-AVERAGE(OFFSET($H$3,0,0,'Données projet'!$E$9+1,1))</f>
        <v>469.15492079216403</v>
      </c>
      <c r="T139" s="60">
        <f t="shared" si="142"/>
        <v>250.47702091764884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1.3</v>
      </c>
      <c r="AI139" s="14">
        <f>IF('Données projet'!$A$62&gt;35,AI138+AH139-AQ138,IF(A139&lt;'Données projet'!$A$62,$AF$205^A139,IF(A139='Données projet'!$A$62,'Données projet'!$B$62,AI138+AH139-AQ138)))</f>
        <v>270.2999999999995</v>
      </c>
      <c r="AJ139" s="14">
        <f>AI139*VLOOKUP('Données projet'!$B$10,Paramètres!$A$1:$I$89,3,0)*VLOOKUP('Données projet'!$B$10,Paramètres!$A$1:$I$89,5,0)</f>
        <v>227.70071999999959</v>
      </c>
      <c r="AK139" s="14">
        <f t="shared" si="143"/>
        <v>55.785233100726664</v>
      </c>
      <c r="AL139" s="22">
        <f t="shared" si="112"/>
        <v>493.73803498376492</v>
      </c>
      <c r="AM139" s="60">
        <f t="shared" si="113"/>
        <v>778.5875653786502</v>
      </c>
      <c r="AN139" s="60">
        <f ca="1">AVERAGE(OFFSET($AM$3,0,0,'Données projet'!$E$10+1,1))-AVERAGE(OFFSET($H$3,0,0,'Données projet'!$E$10+1,1))</f>
        <v>442.49274132121275</v>
      </c>
      <c r="AO139" s="60">
        <f t="shared" si="144"/>
        <v>237.37463556402756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1.3035332813160495E-13</v>
      </c>
      <c r="BF139" s="14">
        <f t="shared" si="145"/>
        <v>1.8987770485018903E-12</v>
      </c>
      <c r="BG139" s="22">
        <f t="shared" si="115"/>
        <v>3.5340687393033375E-12</v>
      </c>
      <c r="BH139" s="60">
        <f t="shared" si="116"/>
        <v>284.84953039488875</v>
      </c>
      <c r="BI139" s="60">
        <f ca="1">AVERAGE(OFFSET($BH$3,0,0,'Données projet'!$E$11+1,1))-AVERAGE(OFFSET($H$3,0,0,'Données projet'!$E$11+1,1))</f>
        <v>267.90768140488603</v>
      </c>
      <c r="BJ139" s="60">
        <f t="shared" si="146"/>
        <v>280.25465074992258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4.6111381379887463E-14</v>
      </c>
      <c r="CA139" s="14">
        <f t="shared" si="147"/>
        <v>7.5804141040779151E-13</v>
      </c>
      <c r="CB139" s="22">
        <f t="shared" si="118"/>
        <v>1.4005661123635408E-12</v>
      </c>
      <c r="CC139" s="60">
        <f t="shared" si="119"/>
        <v>284.84953039488664</v>
      </c>
      <c r="CD139" s="60">
        <f ca="1">AVERAGE(OFFSET($CC$3,0,0,'Données projet'!$E$12+1,1))-AVERAGE(OFFSET($H$3,0,0,'Données projet'!$E$12+1,1))</f>
        <v>308.6594206517259</v>
      </c>
      <c r="CE139" s="60">
        <f t="shared" si="148"/>
        <v>258.90832875500325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-5.4092197387944907E-14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397.63792993520934</v>
      </c>
      <c r="CZ139" s="60">
        <f t="shared" si="150"/>
        <v>300.63705521148802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7.626113074366004E-14</v>
      </c>
      <c r="DQ139" s="14">
        <f t="shared" si="151"/>
        <v>1.1823749172251317E-12</v>
      </c>
      <c r="DR139" s="22">
        <f t="shared" si="124"/>
        <v>2.1921244502123119E-12</v>
      </c>
      <c r="DS139" s="60">
        <f t="shared" si="125"/>
        <v>284.84953039488744</v>
      </c>
      <c r="DT139" s="60">
        <f ca="1">AVERAGE(OFFSET($DS$3,0,0,'Données projet'!$E$14+1,1))-AVERAGE(OFFSET($H$3,0,0,'Données projet'!$E$14+1,1))</f>
        <v>343.94240546037798</v>
      </c>
      <c r="DU139" s="60">
        <f t="shared" si="152"/>
        <v>277.30931495079346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6.7729999423401077E-2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6.7729999423401077E-2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-2.8421709430404007E-13</v>
      </c>
      <c r="EK139" s="18">
        <f>EJ139*VLOOKUP('Données projet'!$B$15,Paramètres!$A$1:$I$89,3,0)*VLOOKUP('Données projet'!$B$15,Paramètres!$A$1:$I$89,5,0)</f>
        <v>-2.2168933355715128E-13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308.76306523144956</v>
      </c>
      <c r="EP139" s="60">
        <f t="shared" si="154"/>
        <v>283.28099819802776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-9.9316821433603781E-14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296.01124173332352</v>
      </c>
      <c r="FK139" s="60">
        <f t="shared" si="156"/>
        <v>315.50730924873733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391.18744390931187</v>
      </c>
      <c r="GF139" s="60">
        <f t="shared" si="158"/>
        <v>261.46982358454386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7.2195725838002656E-2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7.2195725838002656E-2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1.3</v>
      </c>
      <c r="N140" s="14">
        <f>IF('Données projet'!$A$36&gt;35,N139+M140-V139,IF(A140&lt;'Données projet'!$A$36,$K$205^A140,IF(A140='Données projet'!$A$36,'Données projet'!$B$36,N139+M140-V139)))</f>
        <v>271.59999999999951</v>
      </c>
      <c r="O140" s="14">
        <f>N140*VLOOKUP('Données projet'!$B$9,Paramètres!$A$1:$I$89,3,0)*VLOOKUP('Données projet'!$B$9,Paramètres!$A$1:$I$89,5,0)</f>
        <v>245.74367999999956</v>
      </c>
      <c r="P140" s="14">
        <f t="shared" si="141"/>
        <v>59.673605104126345</v>
      </c>
      <c r="Q140" s="22">
        <f t="shared" si="108"/>
        <v>531.93510488968582</v>
      </c>
      <c r="R140" s="60">
        <f t="shared" si="109"/>
        <v>816.93181029861125</v>
      </c>
      <c r="S140" s="60">
        <f ca="1">AVERAGE(OFFSET($R$3,0,0,'Données projet'!$E$9+1,1))-AVERAGE(OFFSET($H$3,0,0,'Données projet'!$E$9+1,1))</f>
        <v>469.15492079216403</v>
      </c>
      <c r="T140" s="60">
        <f t="shared" si="142"/>
        <v>250.47702091764884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1.3</v>
      </c>
      <c r="AI140" s="14">
        <f>IF('Données projet'!$A$62&gt;35,AI139+AH140-AQ139,IF(A140&lt;'Données projet'!$A$62,$AF$205^A140,IF(A140='Données projet'!$A$62,'Données projet'!$B$62,AI139+AH140-AQ139)))</f>
        <v>271.59999999999951</v>
      </c>
      <c r="AJ140" s="14">
        <f>AI140*VLOOKUP('Données projet'!$B$10,Paramètres!$A$1:$I$89,3,0)*VLOOKUP('Données projet'!$B$10,Paramètres!$A$1:$I$89,5,0)</f>
        <v>228.7958399999996</v>
      </c>
      <c r="AK140" s="14">
        <f t="shared" si="143"/>
        <v>56.022234495627359</v>
      </c>
      <c r="AL140" s="22">
        <f t="shared" si="112"/>
        <v>496.05814641321695</v>
      </c>
      <c r="AM140" s="60">
        <f t="shared" si="113"/>
        <v>781.05485182214238</v>
      </c>
      <c r="AN140" s="60">
        <f ca="1">AVERAGE(OFFSET($AM$3,0,0,'Données projet'!$E$10+1,1))-AVERAGE(OFFSET($H$3,0,0,'Données projet'!$E$10+1,1))</f>
        <v>442.49274132121275</v>
      </c>
      <c r="AO140" s="60">
        <f t="shared" si="144"/>
        <v>237.37463556402756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1.3035332813160495E-13</v>
      </c>
      <c r="BF140" s="14">
        <f t="shared" si="145"/>
        <v>1.8987770485018903E-12</v>
      </c>
      <c r="BG140" s="22">
        <f t="shared" si="115"/>
        <v>3.5340687393033375E-12</v>
      </c>
      <c r="BH140" s="60">
        <f t="shared" si="116"/>
        <v>284.9967054089289</v>
      </c>
      <c r="BI140" s="60">
        <f ca="1">AVERAGE(OFFSET($BH$3,0,0,'Données projet'!$E$11+1,1))-AVERAGE(OFFSET($H$3,0,0,'Données projet'!$E$11+1,1))</f>
        <v>267.90768140488603</v>
      </c>
      <c r="BJ140" s="60">
        <f t="shared" si="146"/>
        <v>280.25465074992258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4.6111381379887463E-14</v>
      </c>
      <c r="CA140" s="14">
        <f t="shared" si="147"/>
        <v>7.5804141040779151E-13</v>
      </c>
      <c r="CB140" s="22">
        <f t="shared" si="118"/>
        <v>1.4005661123635408E-12</v>
      </c>
      <c r="CC140" s="60">
        <f t="shared" si="119"/>
        <v>284.9967054089268</v>
      </c>
      <c r="CD140" s="60">
        <f ca="1">AVERAGE(OFFSET($CC$3,0,0,'Données projet'!$E$12+1,1))-AVERAGE(OFFSET($H$3,0,0,'Données projet'!$E$12+1,1))</f>
        <v>308.6594206517259</v>
      </c>
      <c r="CE140" s="60">
        <f t="shared" si="148"/>
        <v>258.90832875500325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-5.4092197387944907E-14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397.63792993520934</v>
      </c>
      <c r="CZ140" s="60">
        <f t="shared" si="150"/>
        <v>300.63705521148802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7.626113074366004E-14</v>
      </c>
      <c r="DQ140" s="14">
        <f t="shared" si="151"/>
        <v>1.1823749172251317E-12</v>
      </c>
      <c r="DR140" s="22">
        <f t="shared" si="124"/>
        <v>2.1921244502123119E-12</v>
      </c>
      <c r="DS140" s="60">
        <f t="shared" si="125"/>
        <v>284.9967054089276</v>
      </c>
      <c r="DT140" s="60">
        <f ca="1">AVERAGE(OFFSET($DS$3,0,0,'Données projet'!$E$14+1,1))-AVERAGE(OFFSET($H$3,0,0,'Données projet'!$E$14+1,1))</f>
        <v>343.94240546037798</v>
      </c>
      <c r="DU140" s="60">
        <f t="shared" si="152"/>
        <v>277.30931495079346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6.587791902740231E-2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6.587791902740231E-2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-2.8421709430404007E-13</v>
      </c>
      <c r="EK140" s="18">
        <f>EJ140*VLOOKUP('Données projet'!$B$15,Paramètres!$A$1:$I$89,3,0)*VLOOKUP('Données projet'!$B$15,Paramètres!$A$1:$I$89,5,0)</f>
        <v>-2.2168933355715128E-13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308.76306523144956</v>
      </c>
      <c r="EP140" s="60">
        <f t="shared" si="154"/>
        <v>283.28099819802776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-9.9316821433603781E-14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296.01124173332352</v>
      </c>
      <c r="FK140" s="60">
        <f t="shared" si="156"/>
        <v>315.50730924873733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391.18744390931187</v>
      </c>
      <c r="GF140" s="60">
        <f t="shared" si="158"/>
        <v>261.46982358454386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7.0221529918354259E-2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7.0221529918354259E-2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1.3</v>
      </c>
      <c r="N141" s="14">
        <f>IF('Données projet'!$A$36&gt;35,N140+M141-V140,IF(A141&lt;'Données projet'!$A$36,$K$205^A141,IF(A141='Données projet'!$A$36,'Données projet'!$B$36,N140+M141-V140)))</f>
        <v>272.89999999999952</v>
      </c>
      <c r="O141" s="14">
        <f>N141*VLOOKUP('Données projet'!$B$9,Paramètres!$A$1:$I$89,3,0)*VLOOKUP('Données projet'!$B$9,Paramètres!$A$1:$I$89,5,0)</f>
        <v>246.91991999999954</v>
      </c>
      <c r="P141" s="14">
        <f t="shared" si="141"/>
        <v>59.92591296758058</v>
      </c>
      <c r="Q141" s="22">
        <f t="shared" si="108"/>
        <v>534.42315908520197</v>
      </c>
      <c r="R141" s="60">
        <f t="shared" si="109"/>
        <v>819.56448635070797</v>
      </c>
      <c r="S141" s="60">
        <f ca="1">AVERAGE(OFFSET($R$3,0,0,'Données projet'!$E$9+1,1))-AVERAGE(OFFSET($H$3,0,0,'Données projet'!$E$9+1,1))</f>
        <v>469.15492079216403</v>
      </c>
      <c r="T141" s="60">
        <f t="shared" si="142"/>
        <v>250.47702091764884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1.3</v>
      </c>
      <c r="AI141" s="14">
        <f>IF('Données projet'!$A$62&gt;35,AI140+AH141-AQ140,IF(A141&lt;'Données projet'!$A$62,$AF$205^A141,IF(A141='Données projet'!$A$62,'Données projet'!$B$62,AI140+AH141-AQ140)))</f>
        <v>272.89999999999952</v>
      </c>
      <c r="AJ141" s="14">
        <f>AI141*VLOOKUP('Données projet'!$B$10,Paramètres!$A$1:$I$89,3,0)*VLOOKUP('Données projet'!$B$10,Paramètres!$A$1:$I$89,5,0)</f>
        <v>229.89095999999964</v>
      </c>
      <c r="AK141" s="14">
        <f t="shared" si="143"/>
        <v>56.259103883137286</v>
      </c>
      <c r="AL141" s="22">
        <f t="shared" si="112"/>
        <v>498.3780279297967</v>
      </c>
      <c r="AM141" s="60">
        <f t="shared" si="113"/>
        <v>783.51935519530264</v>
      </c>
      <c r="AN141" s="60">
        <f ca="1">AVERAGE(OFFSET($AM$3,0,0,'Données projet'!$E$10+1,1))-AVERAGE(OFFSET($H$3,0,0,'Données projet'!$E$10+1,1))</f>
        <v>442.49274132121275</v>
      </c>
      <c r="AO141" s="60">
        <f t="shared" si="144"/>
        <v>237.37463556402756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1.3035332813160495E-13</v>
      </c>
      <c r="BF141" s="14">
        <f t="shared" si="145"/>
        <v>1.8987770485018903E-12</v>
      </c>
      <c r="BG141" s="22">
        <f t="shared" si="115"/>
        <v>3.5340687393033375E-12</v>
      </c>
      <c r="BH141" s="60">
        <f t="shared" si="116"/>
        <v>285.14132726550946</v>
      </c>
      <c r="BI141" s="60">
        <f ca="1">AVERAGE(OFFSET($BH$3,0,0,'Données projet'!$E$11+1,1))-AVERAGE(OFFSET($H$3,0,0,'Données projet'!$E$11+1,1))</f>
        <v>267.90768140488603</v>
      </c>
      <c r="BJ141" s="60">
        <f t="shared" si="146"/>
        <v>280.25465074992258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4.6111381379887463E-14</v>
      </c>
      <c r="CA141" s="14">
        <f t="shared" si="147"/>
        <v>7.5804141040779151E-13</v>
      </c>
      <c r="CB141" s="22">
        <f t="shared" si="118"/>
        <v>1.4005661123635408E-12</v>
      </c>
      <c r="CC141" s="60">
        <f t="shared" si="119"/>
        <v>285.14132726550736</v>
      </c>
      <c r="CD141" s="60">
        <f ca="1">AVERAGE(OFFSET($CC$3,0,0,'Données projet'!$E$12+1,1))-AVERAGE(OFFSET($H$3,0,0,'Données projet'!$E$12+1,1))</f>
        <v>308.6594206517259</v>
      </c>
      <c r="CE141" s="60">
        <f t="shared" si="148"/>
        <v>258.90832875500325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-5.4092197387944907E-14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397.63792993520934</v>
      </c>
      <c r="CZ141" s="60">
        <f t="shared" si="150"/>
        <v>300.63705521148802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7.626113074366004E-14</v>
      </c>
      <c r="DQ141" s="14">
        <f t="shared" si="151"/>
        <v>1.1823749172251317E-12</v>
      </c>
      <c r="DR141" s="22">
        <f t="shared" si="124"/>
        <v>2.1921244502123119E-12</v>
      </c>
      <c r="DS141" s="60">
        <f t="shared" si="125"/>
        <v>285.14132726550815</v>
      </c>
      <c r="DT141" s="60">
        <f ca="1">AVERAGE(OFFSET($DS$3,0,0,'Données projet'!$E$14+1,1))-AVERAGE(OFFSET($H$3,0,0,'Données projet'!$E$14+1,1))</f>
        <v>343.94240546037798</v>
      </c>
      <c r="DU141" s="60">
        <f t="shared" si="152"/>
        <v>277.30931495079346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6.4076483867228792E-2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6.4076483867228792E-2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-2.8421709430404007E-13</v>
      </c>
      <c r="EK141" s="18">
        <f>EJ141*VLOOKUP('Données projet'!$B$15,Paramètres!$A$1:$I$89,3,0)*VLOOKUP('Données projet'!$B$15,Paramètres!$A$1:$I$89,5,0)</f>
        <v>-2.2168933355715128E-13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308.76306523144956</v>
      </c>
      <c r="EP141" s="60">
        <f t="shared" si="154"/>
        <v>283.28099819802776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-9.9316821433603781E-14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296.01124173332352</v>
      </c>
      <c r="FK141" s="60">
        <f t="shared" si="156"/>
        <v>315.50730924873733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391.18744390931187</v>
      </c>
      <c r="GF141" s="60">
        <f t="shared" si="158"/>
        <v>261.46982358454386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6.8301318489947097E-2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6.8301318489947097E-2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1.3</v>
      </c>
      <c r="N142" s="14">
        <f>IF('Données projet'!$A$36&gt;35,N141+M142-V141,IF(A142&lt;'Données projet'!$A$36,$K$205^A142,IF(A142='Données projet'!$A$36,'Données projet'!$B$36,N141+M142-V141)))</f>
        <v>274.19999999999953</v>
      </c>
      <c r="O142" s="14">
        <f>N142*VLOOKUP('Données projet'!$B$9,Paramètres!$A$1:$I$89,3,0)*VLOOKUP('Données projet'!$B$9,Paramètres!$A$1:$I$89,5,0)</f>
        <v>248.09615999999957</v>
      </c>
      <c r="P142" s="14">
        <f t="shared" si="141"/>
        <v>60.178080967364636</v>
      </c>
      <c r="Q142" s="22">
        <f t="shared" si="108"/>
        <v>536.910969684826</v>
      </c>
      <c r="R142" s="60">
        <f t="shared" si="109"/>
        <v>822.19440994102683</v>
      </c>
      <c r="S142" s="60">
        <f ca="1">AVERAGE(OFFSET($R$3,0,0,'Données projet'!$E$9+1,1))-AVERAGE(OFFSET($H$3,0,0,'Données projet'!$E$9+1,1))</f>
        <v>469.15492079216403</v>
      </c>
      <c r="T142" s="60">
        <f t="shared" si="142"/>
        <v>250.47702091764884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1.3</v>
      </c>
      <c r="AI142" s="14">
        <f>IF('Données projet'!$A$62&gt;35,AI141+AH142-AQ141,IF(A142&lt;'Données projet'!$A$62,$AF$205^A142,IF(A142='Données projet'!$A$62,'Données projet'!$B$62,AI141+AH142-AQ141)))</f>
        <v>274.19999999999953</v>
      </c>
      <c r="AJ142" s="14">
        <f>AI142*VLOOKUP('Données projet'!$B$10,Paramètres!$A$1:$I$89,3,0)*VLOOKUP('Données projet'!$B$10,Paramètres!$A$1:$I$89,5,0)</f>
        <v>230.98607999999962</v>
      </c>
      <c r="AK142" s="14">
        <f t="shared" si="143"/>
        <v>56.495841965100695</v>
      </c>
      <c r="AL142" s="22">
        <f t="shared" si="112"/>
        <v>500.69768075588291</v>
      </c>
      <c r="AM142" s="60">
        <f t="shared" si="113"/>
        <v>785.9811210120838</v>
      </c>
      <c r="AN142" s="60">
        <f ca="1">AVERAGE(OFFSET($AM$3,0,0,'Données projet'!$E$10+1,1))-AVERAGE(OFFSET($H$3,0,0,'Données projet'!$E$10+1,1))</f>
        <v>442.49274132121275</v>
      </c>
      <c r="AO142" s="60">
        <f t="shared" si="144"/>
        <v>237.37463556402756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1.3035332813160495E-13</v>
      </c>
      <c r="BF142" s="14">
        <f t="shared" si="145"/>
        <v>1.8987770485018903E-12</v>
      </c>
      <c r="BG142" s="22">
        <f t="shared" si="115"/>
        <v>3.5340687393033375E-12</v>
      </c>
      <c r="BH142" s="60">
        <f t="shared" si="116"/>
        <v>285.28344025620441</v>
      </c>
      <c r="BI142" s="60">
        <f ca="1">AVERAGE(OFFSET($BH$3,0,0,'Données projet'!$E$11+1,1))-AVERAGE(OFFSET($H$3,0,0,'Données projet'!$E$11+1,1))</f>
        <v>267.90768140488603</v>
      </c>
      <c r="BJ142" s="60">
        <f t="shared" si="146"/>
        <v>280.25465074992258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4.6111381379887463E-14</v>
      </c>
      <c r="CA142" s="14">
        <f t="shared" si="147"/>
        <v>7.5804141040779151E-13</v>
      </c>
      <c r="CB142" s="22">
        <f t="shared" si="118"/>
        <v>1.4005661123635408E-12</v>
      </c>
      <c r="CC142" s="60">
        <f t="shared" si="119"/>
        <v>285.28344025620231</v>
      </c>
      <c r="CD142" s="60">
        <f ca="1">AVERAGE(OFFSET($CC$3,0,0,'Données projet'!$E$12+1,1))-AVERAGE(OFFSET($H$3,0,0,'Données projet'!$E$12+1,1))</f>
        <v>308.6594206517259</v>
      </c>
      <c r="CE142" s="60">
        <f t="shared" si="148"/>
        <v>258.90832875500325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-5.4092197387944907E-14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397.63792993520934</v>
      </c>
      <c r="CZ142" s="60">
        <f t="shared" si="150"/>
        <v>300.63705521148802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7.626113074366004E-14</v>
      </c>
      <c r="DQ142" s="14">
        <f t="shared" si="151"/>
        <v>1.1823749172251317E-12</v>
      </c>
      <c r="DR142" s="22">
        <f t="shared" si="124"/>
        <v>2.1921244502123119E-12</v>
      </c>
      <c r="DS142" s="60">
        <f t="shared" si="125"/>
        <v>285.28344025620311</v>
      </c>
      <c r="DT142" s="60">
        <f ca="1">AVERAGE(OFFSET($DS$3,0,0,'Données projet'!$E$14+1,1))-AVERAGE(OFFSET($H$3,0,0,'Données projet'!$E$14+1,1))</f>
        <v>343.94240546037798</v>
      </c>
      <c r="DU142" s="60">
        <f t="shared" si="152"/>
        <v>277.30931495079346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6.232430904624358E-2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6.232430904624358E-2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-2.8421709430404007E-13</v>
      </c>
      <c r="EK142" s="18">
        <f>EJ142*VLOOKUP('Données projet'!$B$15,Paramètres!$A$1:$I$89,3,0)*VLOOKUP('Données projet'!$B$15,Paramètres!$A$1:$I$89,5,0)</f>
        <v>-2.2168933355715128E-13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308.76306523144956</v>
      </c>
      <c r="EP142" s="60">
        <f t="shared" si="154"/>
        <v>283.28099819802776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-9.9316821433603781E-14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296.01124173332352</v>
      </c>
      <c r="FK142" s="60">
        <f t="shared" si="156"/>
        <v>315.50730924873733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391.18744390931187</v>
      </c>
      <c r="GF142" s="60">
        <f t="shared" si="158"/>
        <v>261.46982358454386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6.6433615344029265E-2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6.6433615344029265E-2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1.3</v>
      </c>
      <c r="N143" s="14">
        <f>IF('Données projet'!$A$36&gt;35,N142+M143-V142,IF(A143&lt;'Données projet'!$A$36,$K$205^A143,IF(A143='Données projet'!$A$36,'Données projet'!$B$36,N142+M143-V142)))</f>
        <v>275.49999999999955</v>
      </c>
      <c r="O143" s="14">
        <f>N143*VLOOKUP('Données projet'!$B$9,Paramètres!$A$1:$I$89,3,0)*VLOOKUP('Données projet'!$B$9,Paramètres!$A$1:$I$89,5,0)</f>
        <v>249.27239999999961</v>
      </c>
      <c r="P143" s="14">
        <f t="shared" si="141"/>
        <v>60.430109843567656</v>
      </c>
      <c r="Q143" s="22">
        <f t="shared" si="108"/>
        <v>539.39853797754631</v>
      </c>
      <c r="R143" s="60">
        <f t="shared" si="109"/>
        <v>824.82162588177061</v>
      </c>
      <c r="S143" s="60">
        <f ca="1">AVERAGE(OFFSET($R$3,0,0,'Données projet'!$E$9+1,1))-AVERAGE(OFFSET($H$3,0,0,'Données projet'!$E$9+1,1))</f>
        <v>469.15492079216403</v>
      </c>
      <c r="T143" s="60">
        <f t="shared" si="142"/>
        <v>250.47702091764884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1.3</v>
      </c>
      <c r="AI143" s="14">
        <f>IF('Données projet'!$A$62&gt;35,AI142+AH143-AQ142,IF(A143&lt;'Données projet'!$A$62,$AF$205^A143,IF(A143='Données projet'!$A$62,'Données projet'!$B$62,AI142+AH143-AQ142)))</f>
        <v>275.49999999999955</v>
      </c>
      <c r="AJ143" s="14">
        <f>AI143*VLOOKUP('Données projet'!$B$10,Paramètres!$A$1:$I$89,3,0)*VLOOKUP('Données projet'!$B$10,Paramètres!$A$1:$I$89,5,0)</f>
        <v>232.08119999999963</v>
      </c>
      <c r="AK143" s="14">
        <f t="shared" si="143"/>
        <v>56.732449436321531</v>
      </c>
      <c r="AL143" s="22">
        <f t="shared" si="112"/>
        <v>503.01710610159267</v>
      </c>
      <c r="AM143" s="60">
        <f t="shared" si="113"/>
        <v>788.44019400581703</v>
      </c>
      <c r="AN143" s="60">
        <f ca="1">AVERAGE(OFFSET($AM$3,0,0,'Données projet'!$E$10+1,1))-AVERAGE(OFFSET($H$3,0,0,'Données projet'!$E$10+1,1))</f>
        <v>442.49274132121275</v>
      </c>
      <c r="AO143" s="60">
        <f t="shared" si="144"/>
        <v>237.37463556402756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1.3035332813160495E-13</v>
      </c>
      <c r="BF143" s="14">
        <f t="shared" si="145"/>
        <v>1.8987770485018903E-12</v>
      </c>
      <c r="BG143" s="22">
        <f t="shared" si="115"/>
        <v>3.5340687393033375E-12</v>
      </c>
      <c r="BH143" s="60">
        <f t="shared" si="116"/>
        <v>285.42308790422788</v>
      </c>
      <c r="BI143" s="60">
        <f ca="1">AVERAGE(OFFSET($BH$3,0,0,'Données projet'!$E$11+1,1))-AVERAGE(OFFSET($H$3,0,0,'Données projet'!$E$11+1,1))</f>
        <v>267.90768140488603</v>
      </c>
      <c r="BJ143" s="60">
        <f t="shared" si="146"/>
        <v>280.25465074992258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4.6111381379887463E-14</v>
      </c>
      <c r="CA143" s="14">
        <f t="shared" si="147"/>
        <v>7.5804141040779151E-13</v>
      </c>
      <c r="CB143" s="22">
        <f t="shared" si="118"/>
        <v>1.4005661123635408E-12</v>
      </c>
      <c r="CC143" s="60">
        <f t="shared" si="119"/>
        <v>285.42308790422578</v>
      </c>
      <c r="CD143" s="60">
        <f ca="1">AVERAGE(OFFSET($CC$3,0,0,'Données projet'!$E$12+1,1))-AVERAGE(OFFSET($H$3,0,0,'Données projet'!$E$12+1,1))</f>
        <v>308.6594206517259</v>
      </c>
      <c r="CE143" s="60">
        <f t="shared" si="148"/>
        <v>258.90832875500325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-5.4092197387944907E-14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397.63792993520934</v>
      </c>
      <c r="CZ143" s="60">
        <f t="shared" si="150"/>
        <v>300.63705521148802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7.626113074366004E-14</v>
      </c>
      <c r="DQ143" s="14">
        <f t="shared" si="151"/>
        <v>1.1823749172251317E-12</v>
      </c>
      <c r="DR143" s="22">
        <f t="shared" si="124"/>
        <v>2.1921244502123119E-12</v>
      </c>
      <c r="DS143" s="60">
        <f t="shared" si="125"/>
        <v>285.42308790422658</v>
      </c>
      <c r="DT143" s="60">
        <f ca="1">AVERAGE(OFFSET($DS$3,0,0,'Données projet'!$E$14+1,1))-AVERAGE(OFFSET($H$3,0,0,'Données projet'!$E$14+1,1))</f>
        <v>343.94240546037798</v>
      </c>
      <c r="DU143" s="60">
        <f t="shared" si="152"/>
        <v>277.30931495079346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6.0620047537881083E-2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6.0620047537881083E-2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-2.8421709430404007E-13</v>
      </c>
      <c r="EK143" s="18">
        <f>EJ143*VLOOKUP('Données projet'!$B$15,Paramètres!$A$1:$I$89,3,0)*VLOOKUP('Données projet'!$B$15,Paramètres!$A$1:$I$89,5,0)</f>
        <v>-2.2168933355715128E-13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308.76306523144956</v>
      </c>
      <c r="EP143" s="60">
        <f t="shared" si="154"/>
        <v>283.28099819802776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-9.9316821433603781E-14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296.01124173332352</v>
      </c>
      <c r="FK143" s="60">
        <f t="shared" si="156"/>
        <v>315.50730924873733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391.18744390931187</v>
      </c>
      <c r="GF143" s="60">
        <f t="shared" si="158"/>
        <v>261.46982358454386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6.4616984638854791E-2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6.4616984638854791E-2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1.3</v>
      </c>
      <c r="N144" s="14">
        <f>IF('Données projet'!$A$36&gt;35,N143+M144-V143,IF(A144&lt;'Données projet'!$A$36,$K$205^A144,IF(A144='Données projet'!$A$36,'Données projet'!$B$36,N143+M144-V143)))</f>
        <v>276.79999999999956</v>
      </c>
      <c r="O144" s="14">
        <f>N144*VLOOKUP('Données projet'!$B$9,Paramètres!$A$1:$I$89,3,0)*VLOOKUP('Données projet'!$B$9,Paramètres!$A$1:$I$89,5,0)</f>
        <v>250.44863999999959</v>
      </c>
      <c r="P144" s="14">
        <f t="shared" si="141"/>
        <v>60.682000328889949</v>
      </c>
      <c r="Q144" s="22">
        <f t="shared" si="108"/>
        <v>541.88586523948254</v>
      </c>
      <c r="R144" s="60">
        <f t="shared" si="109"/>
        <v>827.4461782172425</v>
      </c>
      <c r="S144" s="60">
        <f ca="1">AVERAGE(OFFSET($R$3,0,0,'Données projet'!$E$9+1,1))-AVERAGE(OFFSET($H$3,0,0,'Données projet'!$E$9+1,1))</f>
        <v>469.15492079216403</v>
      </c>
      <c r="T144" s="60">
        <f t="shared" si="142"/>
        <v>250.47702091764884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1.3</v>
      </c>
      <c r="AI144" s="14">
        <f>IF('Données projet'!$A$62&gt;35,AI143+AH144-AQ143,IF(A144&lt;'Données projet'!$A$62,$AF$205^A144,IF(A144='Données projet'!$A$62,'Données projet'!$B$62,AI143+AH144-AQ143)))</f>
        <v>276.79999999999956</v>
      </c>
      <c r="AJ144" s="14">
        <f>AI144*VLOOKUP('Données projet'!$B$10,Paramètres!$A$1:$I$89,3,0)*VLOOKUP('Données projet'!$B$10,Paramètres!$A$1:$I$89,5,0)</f>
        <v>233.17631999999966</v>
      </c>
      <c r="AK144" s="14">
        <f t="shared" si="143"/>
        <v>56.968926984666723</v>
      </c>
      <c r="AL144" s="22">
        <f t="shared" si="112"/>
        <v>505.33630516496072</v>
      </c>
      <c r="AM144" s="60">
        <f t="shared" si="113"/>
        <v>790.89661814272074</v>
      </c>
      <c r="AN144" s="60">
        <f ca="1">AVERAGE(OFFSET($AM$3,0,0,'Données projet'!$E$10+1,1))-AVERAGE(OFFSET($H$3,0,0,'Données projet'!$E$10+1,1))</f>
        <v>442.49274132121275</v>
      </c>
      <c r="AO144" s="60">
        <f t="shared" si="144"/>
        <v>237.37463556402756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1.3035332813160495E-13</v>
      </c>
      <c r="BF144" s="14">
        <f t="shared" si="145"/>
        <v>1.8987770485018903E-12</v>
      </c>
      <c r="BG144" s="22">
        <f t="shared" si="115"/>
        <v>3.5340687393033375E-12</v>
      </c>
      <c r="BH144" s="60">
        <f t="shared" si="116"/>
        <v>285.56031297776354</v>
      </c>
      <c r="BI144" s="60">
        <f ca="1">AVERAGE(OFFSET($BH$3,0,0,'Données projet'!$E$11+1,1))-AVERAGE(OFFSET($H$3,0,0,'Données projet'!$E$11+1,1))</f>
        <v>267.90768140488603</v>
      </c>
      <c r="BJ144" s="60">
        <f t="shared" si="146"/>
        <v>280.25465074992258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4.6111381379887463E-14</v>
      </c>
      <c r="CA144" s="14">
        <f t="shared" si="147"/>
        <v>7.5804141040779151E-13</v>
      </c>
      <c r="CB144" s="22">
        <f t="shared" si="118"/>
        <v>1.4005661123635408E-12</v>
      </c>
      <c r="CC144" s="60">
        <f t="shared" si="119"/>
        <v>285.56031297776144</v>
      </c>
      <c r="CD144" s="60">
        <f ca="1">AVERAGE(OFFSET($CC$3,0,0,'Données projet'!$E$12+1,1))-AVERAGE(OFFSET($H$3,0,0,'Données projet'!$E$12+1,1))</f>
        <v>308.6594206517259</v>
      </c>
      <c r="CE144" s="60">
        <f t="shared" si="148"/>
        <v>258.90832875500325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-5.4092197387944907E-14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397.63792993520934</v>
      </c>
      <c r="CZ144" s="60">
        <f t="shared" si="150"/>
        <v>300.63705521148802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7.626113074366004E-14</v>
      </c>
      <c r="DQ144" s="14">
        <f t="shared" si="151"/>
        <v>1.1823749172251317E-12</v>
      </c>
      <c r="DR144" s="22">
        <f t="shared" si="124"/>
        <v>2.1921244502123119E-12</v>
      </c>
      <c r="DS144" s="60">
        <f t="shared" si="125"/>
        <v>285.56031297776224</v>
      </c>
      <c r="DT144" s="60">
        <f ca="1">AVERAGE(OFFSET($DS$3,0,0,'Données projet'!$E$14+1,1))-AVERAGE(OFFSET($H$3,0,0,'Données projet'!$E$14+1,1))</f>
        <v>343.94240546037798</v>
      </c>
      <c r="DU144" s="60">
        <f t="shared" si="152"/>
        <v>277.30931495079346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5.8962389150087974E-2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5.8962389150087974E-2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-2.8421709430404007E-13</v>
      </c>
      <c r="EK144" s="18">
        <f>EJ144*VLOOKUP('Données projet'!$B$15,Paramètres!$A$1:$I$89,3,0)*VLOOKUP('Données projet'!$B$15,Paramètres!$A$1:$I$89,5,0)</f>
        <v>-2.2168933355715128E-13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308.76306523144956</v>
      </c>
      <c r="EP144" s="60">
        <f t="shared" si="154"/>
        <v>283.28099819802776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-9.9316821433603781E-14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296.01124173332352</v>
      </c>
      <c r="FK144" s="60">
        <f t="shared" si="156"/>
        <v>315.50730924873733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391.18744390931187</v>
      </c>
      <c r="GF144" s="60">
        <f t="shared" si="158"/>
        <v>261.46982358454386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6.2850029795845766E-2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6.2850029795845766E-2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1.3</v>
      </c>
      <c r="N145" s="14">
        <f>IF('Données projet'!$A$36&gt;35,N144+M145-V144,IF(A145&lt;'Données projet'!$A$36,$K$205^A145,IF(A145='Données projet'!$A$36,'Données projet'!$B$36,N144+M145-V144)))</f>
        <v>278.09999999999957</v>
      </c>
      <c r="O145" s="14">
        <f>N145*VLOOKUP('Données projet'!$B$9,Paramètres!$A$1:$I$89,3,0)*VLOOKUP('Données projet'!$B$9,Paramètres!$A$1:$I$89,5,0)</f>
        <v>251.62487999999962</v>
      </c>
      <c r="P145" s="14">
        <f t="shared" si="141"/>
        <v>60.933753148750718</v>
      </c>
      <c r="Q145" s="22">
        <f t="shared" si="108"/>
        <v>544.37295273407346</v>
      </c>
      <c r="R145" s="60">
        <f t="shared" si="109"/>
        <v>830.06811023713249</v>
      </c>
      <c r="S145" s="60">
        <f ca="1">AVERAGE(OFFSET($R$3,0,0,'Données projet'!$E$9+1,1))-AVERAGE(OFFSET($H$3,0,0,'Données projet'!$E$9+1,1))</f>
        <v>469.15492079216403</v>
      </c>
      <c r="T145" s="60">
        <f t="shared" si="142"/>
        <v>250.47702091764884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1.3</v>
      </c>
      <c r="AI145" s="14">
        <f>IF('Données projet'!$A$62&gt;35,AI144+AH145-AQ144,IF(A145&lt;'Données projet'!$A$62,$AF$205^A145,IF(A145='Données projet'!$A$62,'Données projet'!$B$62,AI144+AH145-AQ144)))</f>
        <v>278.09999999999957</v>
      </c>
      <c r="AJ145" s="14">
        <f>AI145*VLOOKUP('Données projet'!$B$10,Paramètres!$A$1:$I$89,3,0)*VLOOKUP('Données projet'!$B$10,Paramètres!$A$1:$I$89,5,0)</f>
        <v>234.27143999999967</v>
      </c>
      <c r="AK145" s="14">
        <f t="shared" si="143"/>
        <v>57.205275291167766</v>
      </c>
      <c r="AL145" s="22">
        <f t="shared" si="112"/>
        <v>507.65527913211662</v>
      </c>
      <c r="AM145" s="60">
        <f t="shared" si="113"/>
        <v>793.3504366351757</v>
      </c>
      <c r="AN145" s="60">
        <f ca="1">AVERAGE(OFFSET($AM$3,0,0,'Données projet'!$E$10+1,1))-AVERAGE(OFFSET($H$3,0,0,'Données projet'!$E$10+1,1))</f>
        <v>442.49274132121275</v>
      </c>
      <c r="AO145" s="60">
        <f t="shared" si="144"/>
        <v>237.37463556402756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1.3035332813160495E-13</v>
      </c>
      <c r="BF145" s="14">
        <f t="shared" si="145"/>
        <v>1.8987770485018903E-12</v>
      </c>
      <c r="BG145" s="22">
        <f t="shared" si="115"/>
        <v>3.5340687393033375E-12</v>
      </c>
      <c r="BH145" s="60">
        <f t="shared" si="116"/>
        <v>285.6951575030626</v>
      </c>
      <c r="BI145" s="60">
        <f ca="1">AVERAGE(OFFSET($BH$3,0,0,'Données projet'!$E$11+1,1))-AVERAGE(OFFSET($H$3,0,0,'Données projet'!$E$11+1,1))</f>
        <v>267.90768140488603</v>
      </c>
      <c r="BJ145" s="60">
        <f t="shared" si="146"/>
        <v>280.25465074992258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4.6111381379887463E-14</v>
      </c>
      <c r="CA145" s="14">
        <f t="shared" si="147"/>
        <v>7.5804141040779151E-13</v>
      </c>
      <c r="CB145" s="22">
        <f t="shared" si="118"/>
        <v>1.4005661123635408E-12</v>
      </c>
      <c r="CC145" s="60">
        <f t="shared" si="119"/>
        <v>285.6951575030605</v>
      </c>
      <c r="CD145" s="60">
        <f ca="1">AVERAGE(OFFSET($CC$3,0,0,'Données projet'!$E$12+1,1))-AVERAGE(OFFSET($H$3,0,0,'Données projet'!$E$12+1,1))</f>
        <v>308.6594206517259</v>
      </c>
      <c r="CE145" s="60">
        <f t="shared" si="148"/>
        <v>258.90832875500325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-5.4092197387944907E-14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397.63792993520934</v>
      </c>
      <c r="CZ145" s="60">
        <f t="shared" si="150"/>
        <v>300.63705521148802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7.626113074366004E-14</v>
      </c>
      <c r="DQ145" s="14">
        <f t="shared" si="151"/>
        <v>1.1823749172251317E-12</v>
      </c>
      <c r="DR145" s="22">
        <f t="shared" si="124"/>
        <v>2.1921244502123119E-12</v>
      </c>
      <c r="DS145" s="60">
        <f t="shared" si="125"/>
        <v>285.6951575030613</v>
      </c>
      <c r="DT145" s="60">
        <f ca="1">AVERAGE(OFFSET($DS$3,0,0,'Données projet'!$E$14+1,1))-AVERAGE(OFFSET($H$3,0,0,'Données projet'!$E$14+1,1))</f>
        <v>343.94240546037798</v>
      </c>
      <c r="DU145" s="60">
        <f t="shared" si="152"/>
        <v>277.30931495079346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5.7350059518081531E-2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5.7350059518081531E-2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-2.8421709430404007E-13</v>
      </c>
      <c r="EK145" s="18">
        <f>EJ145*VLOOKUP('Données projet'!$B$15,Paramètres!$A$1:$I$89,3,0)*VLOOKUP('Données projet'!$B$15,Paramètres!$A$1:$I$89,5,0)</f>
        <v>-2.2168933355715128E-13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308.76306523144956</v>
      </c>
      <c r="EP145" s="60">
        <f t="shared" si="154"/>
        <v>283.28099819802776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-9.9316821433603781E-14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296.01124173332352</v>
      </c>
      <c r="FK145" s="60">
        <f t="shared" si="156"/>
        <v>315.50730924873733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391.18744390931187</v>
      </c>
      <c r="GF145" s="60">
        <f t="shared" si="158"/>
        <v>261.46982358454386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6.1131392425938944E-2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6.1131392425938944E-2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1.3</v>
      </c>
      <c r="N146" s="14">
        <f>IF('Données projet'!$A$36&gt;35,N145+M146-V145,IF(A146&lt;'Données projet'!$A$36,$K$205^A146,IF(A146='Données projet'!$A$36,'Données projet'!$B$36,N145+M146-V145)))</f>
        <v>279.39999999999958</v>
      </c>
      <c r="O146" s="14">
        <f>N146*VLOOKUP('Données projet'!$B$9,Paramètres!$A$1:$I$89,3,0)*VLOOKUP('Données projet'!$B$9,Paramètres!$A$1:$I$89,5,0)</f>
        <v>252.8011199999996</v>
      </c>
      <c r="P146" s="14">
        <f t="shared" si="141"/>
        <v>61.185369021394209</v>
      </c>
      <c r="Q146" s="22">
        <f t="shared" si="108"/>
        <v>546.85980171226095</v>
      </c>
      <c r="R146" s="60">
        <f t="shared" si="109"/>
        <v>832.68746448957245</v>
      </c>
      <c r="S146" s="60">
        <f ca="1">AVERAGE(OFFSET($R$3,0,0,'Données projet'!$E$9+1,1))-AVERAGE(OFFSET($H$3,0,0,'Données projet'!$E$9+1,1))</f>
        <v>469.15492079216403</v>
      </c>
      <c r="T146" s="60">
        <f t="shared" si="142"/>
        <v>250.47702091764884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1.3</v>
      </c>
      <c r="AI146" s="14">
        <f>IF('Données projet'!$A$62&gt;35,AI145+AH146-AQ145,IF(A146&lt;'Données projet'!$A$62,$AF$205^A146,IF(A146='Données projet'!$A$62,'Données projet'!$B$62,AI145+AH146-AQ145)))</f>
        <v>279.39999999999958</v>
      </c>
      <c r="AJ146" s="14">
        <f>AI146*VLOOKUP('Données projet'!$B$10,Paramètres!$A$1:$I$89,3,0)*VLOOKUP('Données projet'!$B$10,Paramètres!$A$1:$I$89,5,0)</f>
        <v>235.36655999999965</v>
      </c>
      <c r="AK146" s="14">
        <f t="shared" si="143"/>
        <v>57.441495030120343</v>
      </c>
      <c r="AL146" s="22">
        <f t="shared" si="112"/>
        <v>509.97402917745893</v>
      </c>
      <c r="AM146" s="60">
        <f t="shared" si="113"/>
        <v>795.80169195477038</v>
      </c>
      <c r="AN146" s="60">
        <f ca="1">AVERAGE(OFFSET($AM$3,0,0,'Données projet'!$E$10+1,1))-AVERAGE(OFFSET($H$3,0,0,'Données projet'!$E$10+1,1))</f>
        <v>442.49274132121275</v>
      </c>
      <c r="AO146" s="60">
        <f t="shared" si="144"/>
        <v>237.37463556402756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1.3035332813160495E-13</v>
      </c>
      <c r="BF146" s="14">
        <f t="shared" si="145"/>
        <v>1.8987770485018903E-12</v>
      </c>
      <c r="BG146" s="22">
        <f t="shared" si="115"/>
        <v>3.5340687393033375E-12</v>
      </c>
      <c r="BH146" s="60">
        <f t="shared" si="116"/>
        <v>285.82766277731497</v>
      </c>
      <c r="BI146" s="60">
        <f ca="1">AVERAGE(OFFSET($BH$3,0,0,'Données projet'!$E$11+1,1))-AVERAGE(OFFSET($H$3,0,0,'Données projet'!$E$11+1,1))</f>
        <v>267.90768140488603</v>
      </c>
      <c r="BJ146" s="60">
        <f t="shared" si="146"/>
        <v>280.25465074992258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4.6111381379887463E-14</v>
      </c>
      <c r="CA146" s="14">
        <f t="shared" si="147"/>
        <v>7.5804141040779151E-13</v>
      </c>
      <c r="CB146" s="22">
        <f t="shared" si="118"/>
        <v>1.4005661123635408E-12</v>
      </c>
      <c r="CC146" s="60">
        <f t="shared" si="119"/>
        <v>285.82766277731287</v>
      </c>
      <c r="CD146" s="60">
        <f ca="1">AVERAGE(OFFSET($CC$3,0,0,'Données projet'!$E$12+1,1))-AVERAGE(OFFSET($H$3,0,0,'Données projet'!$E$12+1,1))</f>
        <v>308.6594206517259</v>
      </c>
      <c r="CE146" s="60">
        <f t="shared" si="148"/>
        <v>258.90832875500325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-5.4092197387944907E-14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397.63792993520934</v>
      </c>
      <c r="CZ146" s="60">
        <f t="shared" si="150"/>
        <v>300.63705521148802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7.626113074366004E-14</v>
      </c>
      <c r="DQ146" s="14">
        <f t="shared" si="151"/>
        <v>1.1823749172251317E-12</v>
      </c>
      <c r="DR146" s="22">
        <f t="shared" si="124"/>
        <v>2.1921244502123119E-12</v>
      </c>
      <c r="DS146" s="60">
        <f t="shared" si="125"/>
        <v>285.82766277731366</v>
      </c>
      <c r="DT146" s="60">
        <f ca="1">AVERAGE(OFFSET($DS$3,0,0,'Données projet'!$E$14+1,1))-AVERAGE(OFFSET($H$3,0,0,'Données projet'!$E$14+1,1))</f>
        <v>343.94240546037798</v>
      </c>
      <c r="DU146" s="60">
        <f t="shared" si="152"/>
        <v>277.30931495079346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5.5781819124651036E-2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5.5781819124651036E-2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-2.8421709430404007E-13</v>
      </c>
      <c r="EK146" s="18">
        <f>EJ146*VLOOKUP('Données projet'!$B$15,Paramètres!$A$1:$I$89,3,0)*VLOOKUP('Données projet'!$B$15,Paramètres!$A$1:$I$89,5,0)</f>
        <v>-2.2168933355715128E-13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308.76306523144956</v>
      </c>
      <c r="EP146" s="60">
        <f t="shared" si="154"/>
        <v>283.28099819802776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-9.9316821433603781E-14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296.01124173332352</v>
      </c>
      <c r="FK146" s="60">
        <f t="shared" si="156"/>
        <v>315.50730924873733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391.18744390931187</v>
      </c>
      <c r="GF146" s="60">
        <f t="shared" si="158"/>
        <v>261.46982358454386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5.9459751285291434E-2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5.9459751285291434E-2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1.3</v>
      </c>
      <c r="N147" s="14">
        <f>IF('Données projet'!$A$36&gt;35,N146+M147-V146,IF(A147&lt;'Données projet'!$A$36,$K$205^A147,IF(A147='Données projet'!$A$36,'Données projet'!$B$36,N146+M147-V146)))</f>
        <v>280.69999999999959</v>
      </c>
      <c r="O147" s="14">
        <f>N147*VLOOKUP('Données projet'!$B$9,Paramètres!$A$1:$I$89,3,0)*VLOOKUP('Données projet'!$B$9,Paramètres!$A$1:$I$89,5,0)</f>
        <v>253.97735999999963</v>
      </c>
      <c r="P147" s="14">
        <f t="shared" si="141"/>
        <v>61.436848657993856</v>
      </c>
      <c r="Q147" s="22">
        <f t="shared" si="108"/>
        <v>549.34641341267195</v>
      </c>
      <c r="R147" s="60">
        <f t="shared" si="109"/>
        <v>835.30428279396483</v>
      </c>
      <c r="S147" s="60">
        <f ca="1">AVERAGE(OFFSET($R$3,0,0,'Données projet'!$E$9+1,1))-AVERAGE(OFFSET($H$3,0,0,'Données projet'!$E$9+1,1))</f>
        <v>469.15492079216403</v>
      </c>
      <c r="T147" s="60">
        <f t="shared" si="142"/>
        <v>250.47702091764884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1.3</v>
      </c>
      <c r="AI147" s="14">
        <f>IF('Données projet'!$A$62&gt;35,AI146+AH147-AQ146,IF(A147&lt;'Données projet'!$A$62,$AF$205^A147,IF(A147='Données projet'!$A$62,'Données projet'!$B$62,AI146+AH147-AQ146)))</f>
        <v>280.69999999999959</v>
      </c>
      <c r="AJ147" s="14">
        <f>AI147*VLOOKUP('Données projet'!$B$10,Paramètres!$A$1:$I$89,3,0)*VLOOKUP('Données projet'!$B$10,Paramètres!$A$1:$I$89,5,0)</f>
        <v>236.46167999999966</v>
      </c>
      <c r="AK147" s="14">
        <f t="shared" si="143"/>
        <v>57.677586869181859</v>
      </c>
      <c r="AL147" s="22">
        <f t="shared" si="112"/>
        <v>512.29255646382444</v>
      </c>
      <c r="AM147" s="60">
        <f t="shared" si="113"/>
        <v>798.25042584511732</v>
      </c>
      <c r="AN147" s="60">
        <f ca="1">AVERAGE(OFFSET($AM$3,0,0,'Données projet'!$E$10+1,1))-AVERAGE(OFFSET($H$3,0,0,'Données projet'!$E$10+1,1))</f>
        <v>442.49274132121275</v>
      </c>
      <c r="AO147" s="60">
        <f t="shared" si="144"/>
        <v>237.37463556402756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1.3035332813160495E-13</v>
      </c>
      <c r="BF147" s="14">
        <f t="shared" si="145"/>
        <v>1.8987770485018903E-12</v>
      </c>
      <c r="BG147" s="22">
        <f t="shared" si="115"/>
        <v>3.5340687393033375E-12</v>
      </c>
      <c r="BH147" s="60">
        <f t="shared" si="116"/>
        <v>285.9578693812964</v>
      </c>
      <c r="BI147" s="60">
        <f ca="1">AVERAGE(OFFSET($BH$3,0,0,'Données projet'!$E$11+1,1))-AVERAGE(OFFSET($H$3,0,0,'Données projet'!$E$11+1,1))</f>
        <v>267.90768140488603</v>
      </c>
      <c r="BJ147" s="60">
        <f t="shared" si="146"/>
        <v>280.25465074992258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4.6111381379887463E-14</v>
      </c>
      <c r="CA147" s="14">
        <f t="shared" si="147"/>
        <v>7.5804141040779151E-13</v>
      </c>
      <c r="CB147" s="22">
        <f t="shared" si="118"/>
        <v>1.4005661123635408E-12</v>
      </c>
      <c r="CC147" s="60">
        <f t="shared" si="119"/>
        <v>285.9578693812943</v>
      </c>
      <c r="CD147" s="60">
        <f ca="1">AVERAGE(OFFSET($CC$3,0,0,'Données projet'!$E$12+1,1))-AVERAGE(OFFSET($H$3,0,0,'Données projet'!$E$12+1,1))</f>
        <v>308.6594206517259</v>
      </c>
      <c r="CE147" s="60">
        <f t="shared" si="148"/>
        <v>258.90832875500325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-5.4092197387944907E-14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397.63792993520934</v>
      </c>
      <c r="CZ147" s="60">
        <f t="shared" si="150"/>
        <v>300.63705521148802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7.626113074366004E-14</v>
      </c>
      <c r="DQ147" s="14">
        <f t="shared" si="151"/>
        <v>1.1823749172251317E-12</v>
      </c>
      <c r="DR147" s="22">
        <f t="shared" si="124"/>
        <v>2.1921244502123119E-12</v>
      </c>
      <c r="DS147" s="60">
        <f t="shared" si="125"/>
        <v>285.9578693812951</v>
      </c>
      <c r="DT147" s="60">
        <f ca="1">AVERAGE(OFFSET($DS$3,0,0,'Données projet'!$E$14+1,1))-AVERAGE(OFFSET($H$3,0,0,'Données projet'!$E$14+1,1))</f>
        <v>343.94240546037798</v>
      </c>
      <c r="DU147" s="60">
        <f t="shared" si="152"/>
        <v>277.30931495079346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5.4256462347249075E-2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5.4256462347249075E-2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-2.8421709430404007E-13</v>
      </c>
      <c r="EK147" s="18">
        <f>EJ147*VLOOKUP('Données projet'!$B$15,Paramètres!$A$1:$I$89,3,0)*VLOOKUP('Données projet'!$B$15,Paramètres!$A$1:$I$89,5,0)</f>
        <v>-2.2168933355715128E-13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308.76306523144956</v>
      </c>
      <c r="EP147" s="60">
        <f t="shared" si="154"/>
        <v>283.28099819802776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-9.9316821433603781E-14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296.01124173332352</v>
      </c>
      <c r="FK147" s="60">
        <f t="shared" si="156"/>
        <v>315.50730924873733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391.18744390931187</v>
      </c>
      <c r="GF147" s="60">
        <f t="shared" si="158"/>
        <v>261.46982358454386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5.7833821259542714E-2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5.7833821259542714E-2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282</v>
      </c>
      <c r="L148" s="13">
        <f>VLOOKUP(A148,'Données projet'!$A$35:$I$55,9,0)</f>
        <v>1.3</v>
      </c>
      <c r="M148" s="13">
        <f t="array" ref="M148">INDEX(L:L,MIN(IF(ISNUMBER(L148:L344),ROW(L148:L344),"")))</f>
        <v>1.3</v>
      </c>
      <c r="N148" s="14">
        <f>IF('Données projet'!$A$36&gt;35,N147+M148-V147,IF(A148&lt;'Données projet'!$A$36,$K$205^A148,IF(A148='Données projet'!$A$36,'Données projet'!$B$36,N147+M148-V147)))</f>
        <v>281.9999999999996</v>
      </c>
      <c r="O148" s="14">
        <f>N148*VLOOKUP('Données projet'!$B$9,Paramètres!$A$1:$I$89,3,0)*VLOOKUP('Données projet'!$B$9,Paramètres!$A$1:$I$89,5,0)</f>
        <v>255.15359999999961</v>
      </c>
      <c r="P148" s="14">
        <f t="shared" si="141"/>
        <v>61.688192762754319</v>
      </c>
      <c r="Q148" s="22">
        <f t="shared" si="108"/>
        <v>551.83278906179635</v>
      </c>
      <c r="R148" s="60">
        <f t="shared" si="109"/>
        <v>837.91860625358993</v>
      </c>
      <c r="S148" s="60">
        <f ca="1">AVERAGE(OFFSET($R$3,0,0,'Données projet'!$E$9+1,1))-AVERAGE(OFFSET($H$3,0,0,'Données projet'!$E$9+1,1))</f>
        <v>469.15492079216403</v>
      </c>
      <c r="T148" s="60">
        <f t="shared" si="142"/>
        <v>250.47702091764884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282</v>
      </c>
      <c r="AG148" s="13">
        <f>VLOOKUP(A148,'Données projet'!$A$61:$I$81,9,0)</f>
        <v>1.3</v>
      </c>
      <c r="AH148" s="13">
        <f t="array" ref="AH148">INDEX(AG:AG,MIN(IF(ISNUMBER(AG148:AG344),ROW(AG148:AG344),"")))</f>
        <v>1.3</v>
      </c>
      <c r="AI148" s="14">
        <f>IF('Données projet'!$A$62&gt;35,AI147+AH148-AQ147,IF(A148&lt;'Données projet'!$A$62,$AF$205^A148,IF(A148='Données projet'!$A$62,'Données projet'!$B$62,AI147+AH148-AQ147)))</f>
        <v>281.9999999999996</v>
      </c>
      <c r="AJ148" s="14">
        <f>AI148*VLOOKUP('Données projet'!$B$10,Paramètres!$A$1:$I$89,3,0)*VLOOKUP('Données projet'!$B$10,Paramètres!$A$1:$I$89,5,0)</f>
        <v>237.5567999999997</v>
      </c>
      <c r="AK148" s="14">
        <f t="shared" si="143"/>
        <v>57.913551469467258</v>
      </c>
      <c r="AL148" s="22">
        <f t="shared" si="112"/>
        <v>514.61086214265481</v>
      </c>
      <c r="AM148" s="60">
        <f t="shared" si="113"/>
        <v>800.69667933444839</v>
      </c>
      <c r="AN148" s="60">
        <f ca="1">AVERAGE(OFFSET($AM$3,0,0,'Données projet'!$E$10+1,1))-AVERAGE(OFFSET($H$3,0,0,'Données projet'!$E$10+1,1))</f>
        <v>442.49274132121275</v>
      </c>
      <c r="AO148" s="60">
        <f t="shared" si="144"/>
        <v>237.37463556402756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1.3035332813160495E-13</v>
      </c>
      <c r="BF148" s="14">
        <f t="shared" si="145"/>
        <v>1.8987770485018903E-12</v>
      </c>
      <c r="BG148" s="22">
        <f t="shared" si="115"/>
        <v>3.5340687393033375E-12</v>
      </c>
      <c r="BH148" s="60">
        <f t="shared" si="116"/>
        <v>286.0858171917971</v>
      </c>
      <c r="BI148" s="60">
        <f ca="1">AVERAGE(OFFSET($BH$3,0,0,'Données projet'!$E$11+1,1))-AVERAGE(OFFSET($H$3,0,0,'Données projet'!$E$11+1,1))</f>
        <v>267.90768140488603</v>
      </c>
      <c r="BJ148" s="60">
        <f t="shared" si="146"/>
        <v>280.25465074992258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4.6111381379887463E-14</v>
      </c>
      <c r="CA148" s="14">
        <f t="shared" si="147"/>
        <v>7.5804141040779151E-13</v>
      </c>
      <c r="CB148" s="22">
        <f t="shared" si="118"/>
        <v>1.4005661123635408E-12</v>
      </c>
      <c r="CC148" s="60">
        <f t="shared" si="119"/>
        <v>286.085817191795</v>
      </c>
      <c r="CD148" s="60">
        <f ca="1">AVERAGE(OFFSET($CC$3,0,0,'Données projet'!$E$12+1,1))-AVERAGE(OFFSET($H$3,0,0,'Données projet'!$E$12+1,1))</f>
        <v>308.6594206517259</v>
      </c>
      <c r="CE148" s="60">
        <f t="shared" si="148"/>
        <v>258.90832875500325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-5.4092197387944907E-14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397.63792993520934</v>
      </c>
      <c r="CZ148" s="60">
        <f t="shared" si="150"/>
        <v>300.63705521148802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7.626113074366004E-14</v>
      </c>
      <c r="DQ148" s="14">
        <f t="shared" si="151"/>
        <v>1.1823749172251317E-12</v>
      </c>
      <c r="DR148" s="22">
        <f t="shared" si="124"/>
        <v>2.1921244502123119E-12</v>
      </c>
      <c r="DS148" s="60">
        <f t="shared" si="125"/>
        <v>286.0858171917958</v>
      </c>
      <c r="DT148" s="60">
        <f ca="1">AVERAGE(OFFSET($DS$3,0,0,'Données projet'!$E$14+1,1))-AVERAGE(OFFSET($H$3,0,0,'Données projet'!$E$14+1,1))</f>
        <v>343.94240546037798</v>
      </c>
      <c r="DU148" s="60">
        <f t="shared" si="152"/>
        <v>277.30931495079346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5.2772816531140201E-2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5.2772816531140201E-2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-2.8421709430404007E-13</v>
      </c>
      <c r="EK148" s="18">
        <f>EJ148*VLOOKUP('Données projet'!$B$15,Paramètres!$A$1:$I$89,3,0)*VLOOKUP('Données projet'!$B$15,Paramètres!$A$1:$I$89,5,0)</f>
        <v>-2.2168933355715128E-13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308.76306523144956</v>
      </c>
      <c r="EP148" s="60">
        <f t="shared" si="154"/>
        <v>283.28099819802776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-9.9316821433603781E-14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296.01124173332352</v>
      </c>
      <c r="FK148" s="60">
        <f t="shared" si="156"/>
        <v>315.50730924873733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391.18744390931187</v>
      </c>
      <c r="GF148" s="60">
        <f t="shared" si="158"/>
        <v>261.46982358454386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5.6252352375852042E-2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5.6252352375852042E-2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284.19999999999959</v>
      </c>
      <c r="O149" s="14">
        <f>N149*VLOOKUP('Données projet'!$B$9,Paramètres!$A$1:$I$89,3,0)*VLOOKUP('Données projet'!$B$9,Paramètres!$A$1:$I$89,5,0)</f>
        <v>257.1441599999996</v>
      </c>
      <c r="P149" s="14">
        <f t="shared" si="141"/>
        <v>62.113237520609694</v>
      </c>
      <c r="Q149" s="22">
        <f t="shared" si="108"/>
        <v>556.0399673483945</v>
      </c>
      <c r="R149" s="60">
        <f t="shared" si="109"/>
        <v>842.25151274222515</v>
      </c>
      <c r="S149" s="60">
        <f ca="1">AVERAGE(OFFSET($R$3,0,0,'Données projet'!$E$9+1,1))-AVERAGE(OFFSET($H$3,0,0,'Données projet'!$E$9+1,1))</f>
        <v>469.15492079216403</v>
      </c>
      <c r="T149" s="60">
        <f t="shared" si="142"/>
        <v>250.47702091764884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284.19999999999959</v>
      </c>
      <c r="AJ149" s="14">
        <f>AI149*VLOOKUP('Données projet'!$B$10,Paramètres!$A$1:$I$89,3,0)*VLOOKUP('Données projet'!$B$10,Paramètres!$A$1:$I$89,5,0)</f>
        <v>239.41007999999968</v>
      </c>
      <c r="AK149" s="14">
        <f t="shared" si="143"/>
        <v>58.312588146640657</v>
      </c>
      <c r="AL149" s="22">
        <f t="shared" si="112"/>
        <v>518.53364702206522</v>
      </c>
      <c r="AM149" s="60">
        <f t="shared" si="113"/>
        <v>804.74519241589587</v>
      </c>
      <c r="AN149" s="60">
        <f ca="1">AVERAGE(OFFSET($AM$3,0,0,'Données projet'!$E$10+1,1))-AVERAGE(OFFSET($H$3,0,0,'Données projet'!$E$10+1,1))</f>
        <v>442.49274132121275</v>
      </c>
      <c r="AO149" s="60">
        <f t="shared" si="144"/>
        <v>237.37463556402756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1.3035332813160495E-13</v>
      </c>
      <c r="BF149" s="14">
        <f t="shared" si="145"/>
        <v>1.8987770485018903E-12</v>
      </c>
      <c r="BG149" s="22">
        <f t="shared" si="115"/>
        <v>3.5340687393033375E-12</v>
      </c>
      <c r="BH149" s="60">
        <f t="shared" si="116"/>
        <v>286.21154539383417</v>
      </c>
      <c r="BI149" s="60">
        <f ca="1">AVERAGE(OFFSET($BH$3,0,0,'Données projet'!$E$11+1,1))-AVERAGE(OFFSET($H$3,0,0,'Données projet'!$E$11+1,1))</f>
        <v>267.90768140488603</v>
      </c>
      <c r="BJ149" s="60">
        <f t="shared" si="146"/>
        <v>280.25465074992258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4.6111381379887463E-14</v>
      </c>
      <c r="CA149" s="14">
        <f t="shared" si="147"/>
        <v>7.5804141040779151E-13</v>
      </c>
      <c r="CB149" s="22">
        <f t="shared" si="118"/>
        <v>1.4005661123635408E-12</v>
      </c>
      <c r="CC149" s="60">
        <f t="shared" si="119"/>
        <v>286.21154539383207</v>
      </c>
      <c r="CD149" s="60">
        <f ca="1">AVERAGE(OFFSET($CC$3,0,0,'Données projet'!$E$12+1,1))-AVERAGE(OFFSET($H$3,0,0,'Données projet'!$E$12+1,1))</f>
        <v>308.6594206517259</v>
      </c>
      <c r="CE149" s="60">
        <f t="shared" si="148"/>
        <v>258.90832875500325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-5.4092197387944907E-14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397.63792993520934</v>
      </c>
      <c r="CZ149" s="60">
        <f t="shared" si="150"/>
        <v>300.63705521148802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7.626113074366004E-14</v>
      </c>
      <c r="DQ149" s="14">
        <f t="shared" si="151"/>
        <v>1.1823749172251317E-12</v>
      </c>
      <c r="DR149" s="22">
        <f t="shared" si="124"/>
        <v>2.1921244502123119E-12</v>
      </c>
      <c r="DS149" s="60">
        <f t="shared" si="125"/>
        <v>286.21154539383286</v>
      </c>
      <c r="DT149" s="60">
        <f ca="1">AVERAGE(OFFSET($DS$3,0,0,'Données projet'!$E$14+1,1))-AVERAGE(OFFSET($H$3,0,0,'Données projet'!$E$14+1,1))</f>
        <v>343.94240546037798</v>
      </c>
      <c r="DU149" s="60">
        <f t="shared" si="152"/>
        <v>277.30931495079346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5.1329741087894364E-2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5.1329741087894364E-2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-2.8421709430404007E-13</v>
      </c>
      <c r="EK149" s="18">
        <f>EJ149*VLOOKUP('Données projet'!$B$15,Paramètres!$A$1:$I$89,3,0)*VLOOKUP('Données projet'!$B$15,Paramètres!$A$1:$I$89,5,0)</f>
        <v>-2.2168933355715128E-13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308.76306523144956</v>
      </c>
      <c r="EP149" s="60">
        <f t="shared" si="154"/>
        <v>283.28099819802776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-9.9316821433603781E-14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296.01124173332352</v>
      </c>
      <c r="FK149" s="60">
        <f t="shared" si="156"/>
        <v>315.50730924873733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391.18744390931187</v>
      </c>
      <c r="GF149" s="60">
        <f t="shared" si="158"/>
        <v>261.46982358454386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5.4714128841951724E-2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5.4714128841951724E-2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286.39999999999958</v>
      </c>
      <c r="O150" s="14">
        <f>N150*VLOOKUP('Données projet'!$B$9,Paramètres!$A$1:$I$89,3,0)*VLOOKUP('Données projet'!$B$9,Paramètres!$A$1:$I$89,5,0)</f>
        <v>259.13471999999962</v>
      </c>
      <c r="P150" s="14">
        <f t="shared" si="141"/>
        <v>62.537899457959206</v>
      </c>
      <c r="Q150" s="22">
        <f t="shared" si="108"/>
        <v>560.24647888927836</v>
      </c>
      <c r="R150" s="60">
        <f t="shared" si="109"/>
        <v>846.58157138192678</v>
      </c>
      <c r="S150" s="60">
        <f ca="1">AVERAGE(OFFSET($R$3,0,0,'Données projet'!$E$9+1,1))-AVERAGE(OFFSET($H$3,0,0,'Données projet'!$E$9+1,1))</f>
        <v>469.15492079216403</v>
      </c>
      <c r="T150" s="60">
        <f t="shared" si="142"/>
        <v>250.47702091764884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286.39999999999958</v>
      </c>
      <c r="AJ150" s="14">
        <f>AI150*VLOOKUP('Données projet'!$B$10,Paramètres!$A$1:$I$89,3,0)*VLOOKUP('Données projet'!$B$10,Paramètres!$A$1:$I$89,5,0)</f>
        <v>241.26335999999966</v>
      </c>
      <c r="AK150" s="14">
        <f t="shared" si="143"/>
        <v>58.711265427727525</v>
      </c>
      <c r="AL150" s="22">
        <f t="shared" si="112"/>
        <v>522.45580595329147</v>
      </c>
      <c r="AM150" s="60">
        <f t="shared" si="113"/>
        <v>808.79089844593989</v>
      </c>
      <c r="AN150" s="60">
        <f ca="1">AVERAGE(OFFSET($AM$3,0,0,'Données projet'!$E$10+1,1))-AVERAGE(OFFSET($H$3,0,0,'Données projet'!$E$10+1,1))</f>
        <v>442.49274132121275</v>
      </c>
      <c r="AO150" s="60">
        <f t="shared" si="144"/>
        <v>237.37463556402756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1.3035332813160495E-13</v>
      </c>
      <c r="BF150" s="14">
        <f t="shared" si="145"/>
        <v>1.8987770485018903E-12</v>
      </c>
      <c r="BG150" s="22">
        <f t="shared" si="115"/>
        <v>3.5340687393033375E-12</v>
      </c>
      <c r="BH150" s="60">
        <f t="shared" si="116"/>
        <v>286.33509249265194</v>
      </c>
      <c r="BI150" s="60">
        <f ca="1">AVERAGE(OFFSET($BH$3,0,0,'Données projet'!$E$11+1,1))-AVERAGE(OFFSET($H$3,0,0,'Données projet'!$E$11+1,1))</f>
        <v>267.90768140488603</v>
      </c>
      <c r="BJ150" s="60">
        <f t="shared" si="146"/>
        <v>280.25465074992258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4.6111381379887463E-14</v>
      </c>
      <c r="CA150" s="14">
        <f t="shared" si="147"/>
        <v>7.5804141040779151E-13</v>
      </c>
      <c r="CB150" s="22">
        <f t="shared" si="118"/>
        <v>1.4005661123635408E-12</v>
      </c>
      <c r="CC150" s="60">
        <f t="shared" si="119"/>
        <v>286.33509249264984</v>
      </c>
      <c r="CD150" s="60">
        <f ca="1">AVERAGE(OFFSET($CC$3,0,0,'Données projet'!$E$12+1,1))-AVERAGE(OFFSET($H$3,0,0,'Données projet'!$E$12+1,1))</f>
        <v>308.6594206517259</v>
      </c>
      <c r="CE150" s="60">
        <f t="shared" si="148"/>
        <v>258.90832875500325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-5.4092197387944907E-14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397.63792993520934</v>
      </c>
      <c r="CZ150" s="60">
        <f t="shared" si="150"/>
        <v>300.63705521148802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7.626113074366004E-14</v>
      </c>
      <c r="DQ150" s="14">
        <f t="shared" si="151"/>
        <v>1.1823749172251317E-12</v>
      </c>
      <c r="DR150" s="22">
        <f t="shared" si="124"/>
        <v>2.1921244502123119E-12</v>
      </c>
      <c r="DS150" s="60">
        <f t="shared" si="125"/>
        <v>286.33509249265063</v>
      </c>
      <c r="DT150" s="60">
        <f ca="1">AVERAGE(OFFSET($DS$3,0,0,'Données projet'!$E$14+1,1))-AVERAGE(OFFSET($H$3,0,0,'Données projet'!$E$14+1,1))</f>
        <v>343.94240546037798</v>
      </c>
      <c r="DU150" s="60">
        <f t="shared" si="152"/>
        <v>277.30931495079346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4.9926126618532123E-2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4.9926126618532123E-2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-2.8421709430404007E-13</v>
      </c>
      <c r="EK150" s="18">
        <f>EJ150*VLOOKUP('Données projet'!$B$15,Paramètres!$A$1:$I$89,3,0)*VLOOKUP('Données projet'!$B$15,Paramètres!$A$1:$I$89,5,0)</f>
        <v>-2.2168933355715128E-13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308.76306523144956</v>
      </c>
      <c r="EP150" s="60">
        <f t="shared" si="154"/>
        <v>283.28099819802776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-9.9316821433603781E-14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296.01124173332352</v>
      </c>
      <c r="FK150" s="60">
        <f t="shared" si="156"/>
        <v>315.50730924873733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391.18744390931187</v>
      </c>
      <c r="GF150" s="60">
        <f t="shared" si="158"/>
        <v>261.46982358454386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5.3217968111477568E-2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5.3217968111477568E-2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288.59999999999957</v>
      </c>
      <c r="O151" s="14">
        <f>N151*VLOOKUP('Données projet'!$B$9,Paramètres!$A$1:$I$89,3,0)*VLOOKUP('Données projet'!$B$9,Paramètres!$A$1:$I$89,5,0)</f>
        <v>261.12527999999963</v>
      </c>
      <c r="P151" s="14">
        <f t="shared" si="141"/>
        <v>62.962181856353716</v>
      </c>
      <c r="Q151" s="22">
        <f t="shared" si="108"/>
        <v>564.45232939981543</v>
      </c>
      <c r="R151" s="60">
        <f t="shared" si="109"/>
        <v>850.90882572532712</v>
      </c>
      <c r="S151" s="60">
        <f ca="1">AVERAGE(OFFSET($R$3,0,0,'Données projet'!$E$9+1,1))-AVERAGE(OFFSET($H$3,0,0,'Données projet'!$E$9+1,1))</f>
        <v>469.15492079216403</v>
      </c>
      <c r="T151" s="60">
        <f t="shared" si="142"/>
        <v>250.47702091764884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288.59999999999957</v>
      </c>
      <c r="AJ151" s="14">
        <f>AI151*VLOOKUP('Données projet'!$B$10,Paramètres!$A$1:$I$89,3,0)*VLOOKUP('Données projet'!$B$10,Paramètres!$A$1:$I$89,5,0)</f>
        <v>243.11663999999965</v>
      </c>
      <c r="AK151" s="14">
        <f t="shared" si="143"/>
        <v>59.109586393483582</v>
      </c>
      <c r="AL151" s="22">
        <f t="shared" si="112"/>
        <v>526.37734430198316</v>
      </c>
      <c r="AM151" s="60">
        <f t="shared" si="113"/>
        <v>812.83384062749485</v>
      </c>
      <c r="AN151" s="60">
        <f ca="1">AVERAGE(OFFSET($AM$3,0,0,'Données projet'!$E$10+1,1))-AVERAGE(OFFSET($H$3,0,0,'Données projet'!$E$10+1,1))</f>
        <v>442.49274132121275</v>
      </c>
      <c r="AO151" s="60">
        <f t="shared" si="144"/>
        <v>237.37463556402756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1.3035332813160495E-13</v>
      </c>
      <c r="BF151" s="14">
        <f t="shared" si="145"/>
        <v>1.8987770485018903E-12</v>
      </c>
      <c r="BG151" s="22">
        <f t="shared" si="115"/>
        <v>3.5340687393033375E-12</v>
      </c>
      <c r="BH151" s="60">
        <f t="shared" si="116"/>
        <v>286.45649632551522</v>
      </c>
      <c r="BI151" s="60">
        <f ca="1">AVERAGE(OFFSET($BH$3,0,0,'Données projet'!$E$11+1,1))-AVERAGE(OFFSET($H$3,0,0,'Données projet'!$E$11+1,1))</f>
        <v>267.90768140488603</v>
      </c>
      <c r="BJ151" s="60">
        <f t="shared" si="146"/>
        <v>280.25465074992258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4.6111381379887463E-14</v>
      </c>
      <c r="CA151" s="14">
        <f t="shared" si="147"/>
        <v>7.5804141040779151E-13</v>
      </c>
      <c r="CB151" s="22">
        <f t="shared" si="118"/>
        <v>1.4005661123635408E-12</v>
      </c>
      <c r="CC151" s="60">
        <f t="shared" si="119"/>
        <v>286.45649632551311</v>
      </c>
      <c r="CD151" s="60">
        <f ca="1">AVERAGE(OFFSET($CC$3,0,0,'Données projet'!$E$12+1,1))-AVERAGE(OFFSET($H$3,0,0,'Données projet'!$E$12+1,1))</f>
        <v>308.6594206517259</v>
      </c>
      <c r="CE151" s="60">
        <f t="shared" si="148"/>
        <v>258.90832875500325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-5.4092197387944907E-14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397.63792993520934</v>
      </c>
      <c r="CZ151" s="60">
        <f t="shared" si="150"/>
        <v>300.63705521148802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7.626113074366004E-14</v>
      </c>
      <c r="DQ151" s="14">
        <f t="shared" si="151"/>
        <v>1.1823749172251317E-12</v>
      </c>
      <c r="DR151" s="22">
        <f t="shared" si="124"/>
        <v>2.1921244502123119E-12</v>
      </c>
      <c r="DS151" s="60">
        <f t="shared" si="125"/>
        <v>286.45649632551391</v>
      </c>
      <c r="DT151" s="60">
        <f ca="1">AVERAGE(OFFSET($DS$3,0,0,'Données projet'!$E$14+1,1))-AVERAGE(OFFSET($H$3,0,0,'Données projet'!$E$14+1,1))</f>
        <v>343.94240546037798</v>
      </c>
      <c r="DU151" s="60">
        <f t="shared" si="152"/>
        <v>277.30931495079346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4.8560894060647473E-2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4.8560894060647473E-2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-2.8421709430404007E-13</v>
      </c>
      <c r="EK151" s="18">
        <f>EJ151*VLOOKUP('Données projet'!$B$15,Paramètres!$A$1:$I$89,3,0)*VLOOKUP('Données projet'!$B$15,Paramètres!$A$1:$I$89,5,0)</f>
        <v>-2.2168933355715128E-13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308.76306523144956</v>
      </c>
      <c r="EP151" s="60">
        <f t="shared" si="154"/>
        <v>283.28099819802776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-9.9316821433603781E-14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296.01124173332352</v>
      </c>
      <c r="FK151" s="60">
        <f t="shared" si="156"/>
        <v>315.50730924873733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391.18744390931187</v>
      </c>
      <c r="GF151" s="60">
        <f t="shared" si="158"/>
        <v>261.46982358454386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5.1762719974857901E-2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5.1762719974857901E-2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290.79999999999956</v>
      </c>
      <c r="O152" s="14">
        <f>N152*VLOOKUP('Données projet'!$B$9,Paramètres!$A$1:$I$89,3,0)*VLOOKUP('Données projet'!$B$9,Paramètres!$A$1:$I$89,5,0)</f>
        <v>263.11583999999959</v>
      </c>
      <c r="P152" s="14">
        <f t="shared" si="141"/>
        <v>63.38608794442333</v>
      </c>
      <c r="Q152" s="22">
        <f t="shared" si="108"/>
        <v>568.65752450320326</v>
      </c>
      <c r="R152" s="60">
        <f t="shared" si="109"/>
        <v>855.23331857649634</v>
      </c>
      <c r="S152" s="60">
        <f ca="1">AVERAGE(OFFSET($R$3,0,0,'Données projet'!$E$9+1,1))-AVERAGE(OFFSET($H$3,0,0,'Données projet'!$E$9+1,1))</f>
        <v>469.15492079216403</v>
      </c>
      <c r="T152" s="60">
        <f t="shared" si="142"/>
        <v>250.47702091764884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290.79999999999956</v>
      </c>
      <c r="AJ152" s="14">
        <f>AI152*VLOOKUP('Données projet'!$B$10,Paramètres!$A$1:$I$89,3,0)*VLOOKUP('Données projet'!$B$10,Paramètres!$A$1:$I$89,5,0)</f>
        <v>244.96991999999966</v>
      </c>
      <c r="AK152" s="14">
        <f t="shared" si="143"/>
        <v>59.507554074982316</v>
      </c>
      <c r="AL152" s="22">
        <f t="shared" si="112"/>
        <v>530.29826734726021</v>
      </c>
      <c r="AM152" s="60">
        <f t="shared" si="113"/>
        <v>816.87406142055329</v>
      </c>
      <c r="AN152" s="60">
        <f ca="1">AVERAGE(OFFSET($AM$3,0,0,'Données projet'!$E$10+1,1))-AVERAGE(OFFSET($H$3,0,0,'Données projet'!$E$10+1,1))</f>
        <v>442.49274132121275</v>
      </c>
      <c r="AO152" s="60">
        <f t="shared" si="144"/>
        <v>237.37463556402756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1.3035332813160495E-13</v>
      </c>
      <c r="BF152" s="14">
        <f t="shared" si="145"/>
        <v>1.8987770485018903E-12</v>
      </c>
      <c r="BG152" s="22">
        <f t="shared" si="115"/>
        <v>3.5340687393033375E-12</v>
      </c>
      <c r="BH152" s="60">
        <f t="shared" si="116"/>
        <v>286.57579407329661</v>
      </c>
      <c r="BI152" s="60">
        <f ca="1">AVERAGE(OFFSET($BH$3,0,0,'Données projet'!$E$11+1,1))-AVERAGE(OFFSET($H$3,0,0,'Données projet'!$E$11+1,1))</f>
        <v>267.90768140488603</v>
      </c>
      <c r="BJ152" s="60">
        <f t="shared" si="146"/>
        <v>280.25465074992258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4.6111381379887463E-14</v>
      </c>
      <c r="CA152" s="14">
        <f t="shared" si="147"/>
        <v>7.5804141040779151E-13</v>
      </c>
      <c r="CB152" s="22">
        <f t="shared" si="118"/>
        <v>1.4005661123635408E-12</v>
      </c>
      <c r="CC152" s="60">
        <f t="shared" si="119"/>
        <v>286.5757940732945</v>
      </c>
      <c r="CD152" s="60">
        <f ca="1">AVERAGE(OFFSET($CC$3,0,0,'Données projet'!$E$12+1,1))-AVERAGE(OFFSET($H$3,0,0,'Données projet'!$E$12+1,1))</f>
        <v>308.6594206517259</v>
      </c>
      <c r="CE152" s="60">
        <f t="shared" si="148"/>
        <v>258.90832875500325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-5.4092197387944907E-14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397.63792993520934</v>
      </c>
      <c r="CZ152" s="60">
        <f t="shared" si="150"/>
        <v>300.63705521148802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7.626113074366004E-14</v>
      </c>
      <c r="DQ152" s="14">
        <f t="shared" si="151"/>
        <v>1.1823749172251317E-12</v>
      </c>
      <c r="DR152" s="22">
        <f t="shared" si="124"/>
        <v>2.1921244502123119E-12</v>
      </c>
      <c r="DS152" s="60">
        <f t="shared" si="125"/>
        <v>286.5757940732953</v>
      </c>
      <c r="DT152" s="60">
        <f ca="1">AVERAGE(OFFSET($DS$3,0,0,'Données projet'!$E$14+1,1))-AVERAGE(OFFSET($H$3,0,0,'Données projet'!$E$14+1,1))</f>
        <v>343.94240546037798</v>
      </c>
      <c r="DU152" s="60">
        <f t="shared" si="152"/>
        <v>277.30931495079346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4.7232993858852636E-2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4.7232993858852636E-2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-2.8421709430404007E-13</v>
      </c>
      <c r="EK152" s="18">
        <f>EJ152*VLOOKUP('Données projet'!$B$15,Paramètres!$A$1:$I$89,3,0)*VLOOKUP('Données projet'!$B$15,Paramètres!$A$1:$I$89,5,0)</f>
        <v>-2.2168933355715128E-13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308.76306523144956</v>
      </c>
      <c r="EP152" s="60">
        <f t="shared" si="154"/>
        <v>283.28099819802776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-9.9316821433603781E-14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296.01124173332352</v>
      </c>
      <c r="FK152" s="60">
        <f t="shared" si="156"/>
        <v>315.50730924873733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391.18744390931187</v>
      </c>
      <c r="GF152" s="60">
        <f t="shared" si="158"/>
        <v>261.46982358454386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5.0347265675062272E-2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5.0347265675062272E-2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292.99999999999955</v>
      </c>
      <c r="O153" s="14">
        <f>N153*VLOOKUP('Données projet'!$B$9,Paramètres!$A$1:$I$89,3,0)*VLOOKUP('Données projet'!$B$9,Paramètres!$A$1:$I$89,5,0)</f>
        <v>265.10639999999955</v>
      </c>
      <c r="P153" s="14">
        <f t="shared" si="141"/>
        <v>63.809620899125193</v>
      </c>
      <c r="Q153" s="22">
        <f t="shared" si="108"/>
        <v>572.86206973264234</v>
      </c>
      <c r="R153" s="60">
        <f t="shared" si="109"/>
        <v>859.55509200450274</v>
      </c>
      <c r="S153" s="60">
        <f ca="1">AVERAGE(OFFSET($R$3,0,0,'Données projet'!$E$9+1,1))-AVERAGE(OFFSET($H$3,0,0,'Données projet'!$E$9+1,1))</f>
        <v>469.15492079216403</v>
      </c>
      <c r="T153" s="60">
        <f t="shared" si="142"/>
        <v>250.47702091764884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292.99999999999955</v>
      </c>
      <c r="AJ153" s="14">
        <f>AI153*VLOOKUP('Données projet'!$B$10,Paramètres!$A$1:$I$89,3,0)*VLOOKUP('Données projet'!$B$10,Paramètres!$A$1:$I$89,5,0)</f>
        <v>246.82319999999964</v>
      </c>
      <c r="AK153" s="14">
        <f t="shared" si="143"/>
        <v>59.905171454785908</v>
      </c>
      <c r="AL153" s="22">
        <f t="shared" si="112"/>
        <v>534.21858028375152</v>
      </c>
      <c r="AM153" s="60">
        <f t="shared" si="113"/>
        <v>820.91160255561181</v>
      </c>
      <c r="AN153" s="60">
        <f ca="1">AVERAGE(OFFSET($AM$3,0,0,'Données projet'!$E$10+1,1))-AVERAGE(OFFSET($H$3,0,0,'Données projet'!$E$10+1,1))</f>
        <v>442.49274132121275</v>
      </c>
      <c r="AO153" s="60">
        <f t="shared" si="144"/>
        <v>237.37463556402756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1.3035332813160495E-13</v>
      </c>
      <c r="BF153" s="14">
        <f t="shared" si="145"/>
        <v>1.8987770485018903E-12</v>
      </c>
      <c r="BG153" s="22">
        <f t="shared" si="115"/>
        <v>3.5340687393033375E-12</v>
      </c>
      <c r="BH153" s="60">
        <f t="shared" si="116"/>
        <v>286.69302227186387</v>
      </c>
      <c r="BI153" s="60">
        <f ca="1">AVERAGE(OFFSET($BH$3,0,0,'Données projet'!$E$11+1,1))-AVERAGE(OFFSET($H$3,0,0,'Données projet'!$E$11+1,1))</f>
        <v>267.90768140488603</v>
      </c>
      <c r="BJ153" s="60">
        <f t="shared" si="146"/>
        <v>280.25465074992258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4.6111381379887463E-14</v>
      </c>
      <c r="CA153" s="14">
        <f t="shared" si="147"/>
        <v>7.5804141040779151E-13</v>
      </c>
      <c r="CB153" s="22">
        <f t="shared" si="118"/>
        <v>1.4005661123635408E-12</v>
      </c>
      <c r="CC153" s="60">
        <f t="shared" si="119"/>
        <v>286.69302227186176</v>
      </c>
      <c r="CD153" s="60">
        <f ca="1">AVERAGE(OFFSET($CC$3,0,0,'Données projet'!$E$12+1,1))-AVERAGE(OFFSET($H$3,0,0,'Données projet'!$E$12+1,1))</f>
        <v>308.6594206517259</v>
      </c>
      <c r="CE153" s="60">
        <f t="shared" si="148"/>
        <v>258.90832875500325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-5.4092197387944907E-14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397.63792993520934</v>
      </c>
      <c r="CZ153" s="60">
        <f t="shared" si="150"/>
        <v>300.63705521148802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7.626113074366004E-14</v>
      </c>
      <c r="DQ153" s="14">
        <f t="shared" si="151"/>
        <v>1.1823749172251317E-12</v>
      </c>
      <c r="DR153" s="22">
        <f t="shared" si="124"/>
        <v>2.1921244502123119E-12</v>
      </c>
      <c r="DS153" s="60">
        <f t="shared" si="125"/>
        <v>286.69302227186256</v>
      </c>
      <c r="DT153" s="60">
        <f ca="1">AVERAGE(OFFSET($DS$3,0,0,'Données projet'!$E$14+1,1))-AVERAGE(OFFSET($H$3,0,0,'Données projet'!$E$14+1,1))</f>
        <v>343.94240546037798</v>
      </c>
      <c r="DU153" s="60">
        <f t="shared" si="152"/>
        <v>277.30931495079346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4.5941405157907116E-2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4.5941405157907116E-2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-2.8421709430404007E-13</v>
      </c>
      <c r="EK153" s="18">
        <f>EJ153*VLOOKUP('Données projet'!$B$15,Paramètres!$A$1:$I$89,3,0)*VLOOKUP('Données projet'!$B$15,Paramètres!$A$1:$I$89,5,0)</f>
        <v>-2.2168933355715128E-13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308.76306523144956</v>
      </c>
      <c r="EP153" s="60">
        <f t="shared" si="154"/>
        <v>283.28099819802776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-9.9316821433603781E-14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296.01124173332352</v>
      </c>
      <c r="FK153" s="60">
        <f t="shared" si="156"/>
        <v>315.50730924873733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391.18744390931187</v>
      </c>
      <c r="GF153" s="60">
        <f t="shared" si="158"/>
        <v>261.46982358454386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4.8970517047530061E-2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4.8970517047530061E-2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-4.1145540308207271E-13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469.15492079216403</v>
      </c>
      <c r="T154" s="60">
        <f t="shared" si="142"/>
        <v>250.47702091764884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-3.8307916838675739E-13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442.49274132121275</v>
      </c>
      <c r="AO154" s="60">
        <f t="shared" si="144"/>
        <v>237.37463556402756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1.3035332813160495E-13</v>
      </c>
      <c r="BF154" s="14">
        <f t="shared" ref="BF154:BF203" si="167">EXP(-1.0587+0.8836*LN(BE154)+0.284)</f>
        <v>1.8987770485018903E-12</v>
      </c>
      <c r="BG154" s="22">
        <f t="shared" ref="BG154:BG203" si="168">(BE154+BF154)*0.475*44/12</f>
        <v>3.5340687393033375E-12</v>
      </c>
      <c r="BH154" s="60">
        <f t="shared" si="116"/>
        <v>286.80821682326888</v>
      </c>
      <c r="BI154" s="60">
        <f ca="1">AVERAGE(OFFSET($BH$3,0,0,'Données projet'!$E$11+1,1))-AVERAGE(OFFSET($H$3,0,0,'Données projet'!$E$11+1,1))</f>
        <v>267.90768140488603</v>
      </c>
      <c r="BJ154" s="60">
        <f t="shared" si="146"/>
        <v>280.25465074992258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4.6111381379887463E-14</v>
      </c>
      <c r="CA154" s="14">
        <f t="shared" ref="CA154:CA203" si="170">EXP(-1.0587+0.8836*LN(BZ154)+0.284)</f>
        <v>7.5804141040779151E-13</v>
      </c>
      <c r="CB154" s="22">
        <f t="shared" ref="CB154:CB203" si="171">(BZ154+CA154)*0.475*44/12</f>
        <v>1.4005661123635408E-12</v>
      </c>
      <c r="CC154" s="60">
        <f t="shared" si="119"/>
        <v>286.80821682326678</v>
      </c>
      <c r="CD154" s="60">
        <f ca="1">AVERAGE(OFFSET($CC$3,0,0,'Données projet'!$E$12+1,1))-AVERAGE(OFFSET($H$3,0,0,'Données projet'!$E$12+1,1))</f>
        <v>308.6594206517259</v>
      </c>
      <c r="CE154" s="60">
        <f t="shared" si="148"/>
        <v>258.90832875500325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-5.4092197387944907E-14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397.63792993520934</v>
      </c>
      <c r="CZ154" s="60">
        <f t="shared" si="150"/>
        <v>300.63705521148802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7.626113074366004E-14</v>
      </c>
      <c r="DQ154" s="14">
        <f t="shared" ref="DQ154:DQ203" si="176">EXP(-1.0587+0.8836*LN(DP154)+0.284)</f>
        <v>1.1823749172251317E-12</v>
      </c>
      <c r="DR154" s="22">
        <f t="shared" ref="DR154:DR203" si="177">(DP154+DQ154)*0.475*44/12</f>
        <v>2.1921244502123119E-12</v>
      </c>
      <c r="DS154" s="60">
        <f t="shared" si="125"/>
        <v>286.80821682326757</v>
      </c>
      <c r="DT154" s="60">
        <f ca="1">AVERAGE(OFFSET($DS$3,0,0,'Données projet'!$E$14+1,1))-AVERAGE(OFFSET($H$3,0,0,'Données projet'!$E$14+1,1))</f>
        <v>343.94240546037798</v>
      </c>
      <c r="DU154" s="60">
        <f t="shared" si="152"/>
        <v>277.30931495079346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4.4685135017910646E-2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4.4685135017910646E-2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-2.8421709430404007E-13</v>
      </c>
      <c r="EK154" s="18">
        <f>EJ154*VLOOKUP('Données projet'!$B$15,Paramètres!$A$1:$I$89,3,0)*VLOOKUP('Données projet'!$B$15,Paramètres!$A$1:$I$89,5,0)</f>
        <v>-2.2168933355715128E-13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308.76306523144956</v>
      </c>
      <c r="EP154" s="60">
        <f t="shared" si="154"/>
        <v>283.28099819802776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-9.9316821433603781E-14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296.01124173332352</v>
      </c>
      <c r="FK154" s="60">
        <f t="shared" si="156"/>
        <v>315.50730924873733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391.18744390931187</v>
      </c>
      <c r="GF154" s="60">
        <f t="shared" si="158"/>
        <v>261.46982358454386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4.7631415683617784E-2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4.7631415683617784E-2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-4.1145540308207271E-13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469.15492079216403</v>
      </c>
      <c r="T155" s="60">
        <f t="shared" si="142"/>
        <v>250.47702091764884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-3.8307916838675739E-13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442.49274132121275</v>
      </c>
      <c r="AO155" s="60">
        <f t="shared" si="144"/>
        <v>237.37463556402756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1.3035332813160495E-13</v>
      </c>
      <c r="BF155" s="14">
        <f t="shared" si="167"/>
        <v>1.8987770485018903E-12</v>
      </c>
      <c r="BG155" s="22">
        <f t="shared" si="168"/>
        <v>3.5340687393033375E-12</v>
      </c>
      <c r="BH155" s="60">
        <f t="shared" si="116"/>
        <v>286.92141300674342</v>
      </c>
      <c r="BI155" s="60">
        <f ca="1">AVERAGE(OFFSET($BH$3,0,0,'Données projet'!$E$11+1,1))-AVERAGE(OFFSET($H$3,0,0,'Données projet'!$E$11+1,1))</f>
        <v>267.90768140488603</v>
      </c>
      <c r="BJ155" s="60">
        <f t="shared" si="146"/>
        <v>280.25465074992258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4.6111381379887463E-14</v>
      </c>
      <c r="CA155" s="14">
        <f t="shared" si="170"/>
        <v>7.5804141040779151E-13</v>
      </c>
      <c r="CB155" s="22">
        <f t="shared" si="171"/>
        <v>1.4005661123635408E-12</v>
      </c>
      <c r="CC155" s="60">
        <f t="shared" si="119"/>
        <v>286.92141300674132</v>
      </c>
      <c r="CD155" s="60">
        <f ca="1">AVERAGE(OFFSET($CC$3,0,0,'Données projet'!$E$12+1,1))-AVERAGE(OFFSET($H$3,0,0,'Données projet'!$E$12+1,1))</f>
        <v>308.6594206517259</v>
      </c>
      <c r="CE155" s="60">
        <f t="shared" si="148"/>
        <v>258.90832875500325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-5.4092197387944907E-14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397.63792993520934</v>
      </c>
      <c r="CZ155" s="60">
        <f t="shared" si="150"/>
        <v>300.63705521148802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7.626113074366004E-14</v>
      </c>
      <c r="DQ155" s="14">
        <f t="shared" si="176"/>
        <v>1.1823749172251317E-12</v>
      </c>
      <c r="DR155" s="22">
        <f t="shared" si="177"/>
        <v>2.1921244502123119E-12</v>
      </c>
      <c r="DS155" s="60">
        <f t="shared" si="125"/>
        <v>286.92141300674211</v>
      </c>
      <c r="DT155" s="60">
        <f ca="1">AVERAGE(OFFSET($DS$3,0,0,'Données projet'!$E$14+1,1))-AVERAGE(OFFSET($H$3,0,0,'Données projet'!$E$14+1,1))</f>
        <v>343.94240546037798</v>
      </c>
      <c r="DU155" s="60">
        <f t="shared" si="152"/>
        <v>277.30931495079346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4.3463217650956759E-2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4.3463217650956759E-2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-2.8421709430404007E-13</v>
      </c>
      <c r="EK155" s="18">
        <f>EJ155*VLOOKUP('Données projet'!$B$15,Paramètres!$A$1:$I$89,3,0)*VLOOKUP('Données projet'!$B$15,Paramètres!$A$1:$I$89,5,0)</f>
        <v>-2.2168933355715128E-13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308.76306523144956</v>
      </c>
      <c r="EP155" s="60">
        <f t="shared" si="154"/>
        <v>283.28099819802776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-9.9316821433603781E-14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296.01124173332352</v>
      </c>
      <c r="FK155" s="60">
        <f t="shared" si="156"/>
        <v>315.50730924873733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391.18744390931187</v>
      </c>
      <c r="GF155" s="60">
        <f t="shared" si="158"/>
        <v>261.46982358454386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4.6328932116921968E-2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4.6328932116921968E-2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-4.1145540308207271E-13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469.15492079216403</v>
      </c>
      <c r="T156" s="60">
        <f t="shared" si="142"/>
        <v>250.47702091764884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-3.8307916838675739E-13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442.49274132121275</v>
      </c>
      <c r="AO156" s="60">
        <f t="shared" si="144"/>
        <v>237.37463556402756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1.3035332813160495E-13</v>
      </c>
      <c r="BF156" s="14">
        <f t="shared" si="167"/>
        <v>1.8987770485018903E-12</v>
      </c>
      <c r="BG156" s="22">
        <f t="shared" si="168"/>
        <v>3.5340687393033375E-12</v>
      </c>
      <c r="BH156" s="60">
        <f t="shared" si="116"/>
        <v>287.03264548950352</v>
      </c>
      <c r="BI156" s="60">
        <f ca="1">AVERAGE(OFFSET($BH$3,0,0,'Données projet'!$E$11+1,1))-AVERAGE(OFFSET($H$3,0,0,'Données projet'!$E$11+1,1))</f>
        <v>267.90768140488603</v>
      </c>
      <c r="BJ156" s="60">
        <f t="shared" si="146"/>
        <v>280.25465074992258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4.6111381379887463E-14</v>
      </c>
      <c r="CA156" s="14">
        <f t="shared" si="170"/>
        <v>7.5804141040779151E-13</v>
      </c>
      <c r="CB156" s="22">
        <f t="shared" si="171"/>
        <v>1.4005661123635408E-12</v>
      </c>
      <c r="CC156" s="60">
        <f t="shared" si="119"/>
        <v>287.03264548950142</v>
      </c>
      <c r="CD156" s="60">
        <f ca="1">AVERAGE(OFFSET($CC$3,0,0,'Données projet'!$E$12+1,1))-AVERAGE(OFFSET($H$3,0,0,'Données projet'!$E$12+1,1))</f>
        <v>308.6594206517259</v>
      </c>
      <c r="CE156" s="60">
        <f t="shared" si="148"/>
        <v>258.90832875500325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-5.4092197387944907E-14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397.63792993520934</v>
      </c>
      <c r="CZ156" s="60">
        <f t="shared" si="150"/>
        <v>300.63705521148802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7.626113074366004E-14</v>
      </c>
      <c r="DQ156" s="14">
        <f t="shared" si="176"/>
        <v>1.1823749172251317E-12</v>
      </c>
      <c r="DR156" s="22">
        <f t="shared" si="177"/>
        <v>2.1921244502123119E-12</v>
      </c>
      <c r="DS156" s="60">
        <f t="shared" si="125"/>
        <v>287.03264548950222</v>
      </c>
      <c r="DT156" s="60">
        <f ca="1">AVERAGE(OFFSET($DS$3,0,0,'Données projet'!$E$14+1,1))-AVERAGE(OFFSET($H$3,0,0,'Données projet'!$E$14+1,1))</f>
        <v>343.94240546037798</v>
      </c>
      <c r="DU156" s="60">
        <f t="shared" si="152"/>
        <v>277.30931495079346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4.2274713678660064E-2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4.2274713678660064E-2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-2.8421709430404007E-13</v>
      </c>
      <c r="EK156" s="18">
        <f>EJ156*VLOOKUP('Données projet'!$B$15,Paramètres!$A$1:$I$89,3,0)*VLOOKUP('Données projet'!$B$15,Paramètres!$A$1:$I$89,5,0)</f>
        <v>-2.2168933355715128E-13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308.76306523144956</v>
      </c>
      <c r="EP156" s="60">
        <f t="shared" si="154"/>
        <v>283.28099819802776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-9.9316821433603781E-14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296.01124173332352</v>
      </c>
      <c r="FK156" s="60">
        <f t="shared" si="156"/>
        <v>315.50730924873733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391.18744390931187</v>
      </c>
      <c r="GF156" s="60">
        <f t="shared" si="158"/>
        <v>261.46982358454386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4.5062065031852082E-2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4.5062065031852082E-2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-4.1145540308207271E-13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469.15492079216403</v>
      </c>
      <c r="T157" s="60">
        <f t="shared" si="142"/>
        <v>250.47702091764884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-3.8307916838675739E-13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442.49274132121275</v>
      </c>
      <c r="AO157" s="60">
        <f t="shared" si="144"/>
        <v>237.37463556402756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1.3035332813160495E-13</v>
      </c>
      <c r="BF157" s="14">
        <f t="shared" si="167"/>
        <v>1.8987770485018903E-12</v>
      </c>
      <c r="BG157" s="22">
        <f t="shared" si="168"/>
        <v>3.5340687393033375E-12</v>
      </c>
      <c r="BH157" s="60">
        <f t="shared" si="116"/>
        <v>287.14194833736627</v>
      </c>
      <c r="BI157" s="60">
        <f ca="1">AVERAGE(OFFSET($BH$3,0,0,'Données projet'!$E$11+1,1))-AVERAGE(OFFSET($H$3,0,0,'Données projet'!$E$11+1,1))</f>
        <v>267.90768140488603</v>
      </c>
      <c r="BJ157" s="60">
        <f t="shared" si="146"/>
        <v>280.25465074992258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4.6111381379887463E-14</v>
      </c>
      <c r="CA157" s="14">
        <f t="shared" si="170"/>
        <v>7.5804141040779151E-13</v>
      </c>
      <c r="CB157" s="22">
        <f t="shared" si="171"/>
        <v>1.4005661123635408E-12</v>
      </c>
      <c r="CC157" s="60">
        <f t="shared" si="119"/>
        <v>287.14194833736417</v>
      </c>
      <c r="CD157" s="60">
        <f ca="1">AVERAGE(OFFSET($CC$3,0,0,'Données projet'!$E$12+1,1))-AVERAGE(OFFSET($H$3,0,0,'Données projet'!$E$12+1,1))</f>
        <v>308.6594206517259</v>
      </c>
      <c r="CE157" s="60">
        <f t="shared" si="148"/>
        <v>258.90832875500325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-5.4092197387944907E-14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397.63792993520934</v>
      </c>
      <c r="CZ157" s="60">
        <f t="shared" si="150"/>
        <v>300.63705521148802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7.626113074366004E-14</v>
      </c>
      <c r="DQ157" s="14">
        <f t="shared" si="176"/>
        <v>1.1823749172251317E-12</v>
      </c>
      <c r="DR157" s="22">
        <f t="shared" si="177"/>
        <v>2.1921244502123119E-12</v>
      </c>
      <c r="DS157" s="60">
        <f t="shared" si="125"/>
        <v>287.14194833736497</v>
      </c>
      <c r="DT157" s="60">
        <f ca="1">AVERAGE(OFFSET($DS$3,0,0,'Données projet'!$E$14+1,1))-AVERAGE(OFFSET($H$3,0,0,'Données projet'!$E$14+1,1))</f>
        <v>343.94240546037798</v>
      </c>
      <c r="DU157" s="60">
        <f t="shared" si="152"/>
        <v>277.30931495079346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4.1118709409986534E-2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4.1118709409986534E-2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-2.8421709430404007E-13</v>
      </c>
      <c r="EK157" s="18">
        <f>EJ157*VLOOKUP('Données projet'!$B$15,Paramètres!$A$1:$I$89,3,0)*VLOOKUP('Données projet'!$B$15,Paramètres!$A$1:$I$89,5,0)</f>
        <v>-2.2168933355715128E-13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308.76306523144956</v>
      </c>
      <c r="EP157" s="60">
        <f t="shared" si="154"/>
        <v>283.28099819802776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-9.9316821433603781E-14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296.01124173332352</v>
      </c>
      <c r="FK157" s="60">
        <f t="shared" si="156"/>
        <v>315.50730924873733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391.18744390931187</v>
      </c>
      <c r="GF157" s="60">
        <f t="shared" si="158"/>
        <v>261.46982358454386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4.3829840493845078E-2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4.3829840493845078E-2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-4.1145540308207271E-13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469.15492079216403</v>
      </c>
      <c r="T158" s="60">
        <f t="shared" si="142"/>
        <v>250.47702091764884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-3.8307916838675739E-13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442.49274132121275</v>
      </c>
      <c r="AO158" s="60">
        <f t="shared" si="144"/>
        <v>237.37463556402756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1.3035332813160495E-13</v>
      </c>
      <c r="BF158" s="14">
        <f t="shared" si="167"/>
        <v>1.8987770485018903E-12</v>
      </c>
      <c r="BG158" s="22">
        <f t="shared" si="168"/>
        <v>3.5340687393033375E-12</v>
      </c>
      <c r="BH158" s="60">
        <f t="shared" si="116"/>
        <v>287.24935502518321</v>
      </c>
      <c r="BI158" s="60">
        <f ca="1">AVERAGE(OFFSET($BH$3,0,0,'Données projet'!$E$11+1,1))-AVERAGE(OFFSET($H$3,0,0,'Données projet'!$E$11+1,1))</f>
        <v>267.90768140488603</v>
      </c>
      <c r="BJ158" s="60">
        <f t="shared" si="146"/>
        <v>280.25465074992258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4.6111381379887463E-14</v>
      </c>
      <c r="CA158" s="14">
        <f t="shared" si="170"/>
        <v>7.5804141040779151E-13</v>
      </c>
      <c r="CB158" s="22">
        <f t="shared" si="171"/>
        <v>1.4005661123635408E-12</v>
      </c>
      <c r="CC158" s="60">
        <f t="shared" si="119"/>
        <v>287.2493550251811</v>
      </c>
      <c r="CD158" s="60">
        <f ca="1">AVERAGE(OFFSET($CC$3,0,0,'Données projet'!$E$12+1,1))-AVERAGE(OFFSET($H$3,0,0,'Données projet'!$E$12+1,1))</f>
        <v>308.6594206517259</v>
      </c>
      <c r="CE158" s="60">
        <f t="shared" si="148"/>
        <v>258.90832875500325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-5.4092197387944907E-14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397.63792993520934</v>
      </c>
      <c r="CZ158" s="60">
        <f t="shared" si="150"/>
        <v>300.63705521148802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7.626113074366004E-14</v>
      </c>
      <c r="DQ158" s="14">
        <f t="shared" si="176"/>
        <v>1.1823749172251317E-12</v>
      </c>
      <c r="DR158" s="22">
        <f t="shared" si="177"/>
        <v>2.1921244502123119E-12</v>
      </c>
      <c r="DS158" s="60">
        <f t="shared" si="125"/>
        <v>287.2493550251819</v>
      </c>
      <c r="DT158" s="60">
        <f ca="1">AVERAGE(OFFSET($DS$3,0,0,'Données projet'!$E$14+1,1))-AVERAGE(OFFSET($H$3,0,0,'Données projet'!$E$14+1,1))</f>
        <v>343.94240546037798</v>
      </c>
      <c r="DU158" s="60">
        <f t="shared" si="152"/>
        <v>277.30931495079346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3.9994316138831504E-2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3.9994316138831504E-2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-2.8421709430404007E-13</v>
      </c>
      <c r="EK158" s="18">
        <f>EJ158*VLOOKUP('Données projet'!$B$15,Paramètres!$A$1:$I$89,3,0)*VLOOKUP('Données projet'!$B$15,Paramètres!$A$1:$I$89,5,0)</f>
        <v>-2.2168933355715128E-13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308.76306523144956</v>
      </c>
      <c r="EP158" s="60">
        <f t="shared" si="154"/>
        <v>283.28099819802776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-9.9316821433603781E-14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296.01124173332352</v>
      </c>
      <c r="FK158" s="60">
        <f t="shared" si="156"/>
        <v>315.50730924873733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391.18744390931187</v>
      </c>
      <c r="GF158" s="60">
        <f t="shared" si="158"/>
        <v>261.46982358454386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4.2631311200629747E-2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4.2631311200629747E-2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-4.1145540308207271E-13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469.15492079216403</v>
      </c>
      <c r="T159" s="60">
        <f t="shared" si="142"/>
        <v>250.47702091764884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-3.8307916838675739E-13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442.49274132121275</v>
      </c>
      <c r="AO159" s="60">
        <f t="shared" si="144"/>
        <v>237.37463556402756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1.3035332813160495E-13</v>
      </c>
      <c r="BF159" s="14">
        <f t="shared" si="167"/>
        <v>1.8987770485018903E-12</v>
      </c>
      <c r="BG159" s="22">
        <f t="shared" si="168"/>
        <v>3.5340687393033375E-12</v>
      </c>
      <c r="BH159" s="60">
        <f t="shared" si="116"/>
        <v>287.35489844709184</v>
      </c>
      <c r="BI159" s="60">
        <f ca="1">AVERAGE(OFFSET($BH$3,0,0,'Données projet'!$E$11+1,1))-AVERAGE(OFFSET($H$3,0,0,'Données projet'!$E$11+1,1))</f>
        <v>267.90768140488603</v>
      </c>
      <c r="BJ159" s="60">
        <f t="shared" si="146"/>
        <v>280.25465074992258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4.6111381379887463E-14</v>
      </c>
      <c r="CA159" s="14">
        <f t="shared" si="170"/>
        <v>7.5804141040779151E-13</v>
      </c>
      <c r="CB159" s="22">
        <f t="shared" si="171"/>
        <v>1.4005661123635408E-12</v>
      </c>
      <c r="CC159" s="60">
        <f t="shared" si="119"/>
        <v>287.35489844708974</v>
      </c>
      <c r="CD159" s="60">
        <f ca="1">AVERAGE(OFFSET($CC$3,0,0,'Données projet'!$E$12+1,1))-AVERAGE(OFFSET($H$3,0,0,'Données projet'!$E$12+1,1))</f>
        <v>308.6594206517259</v>
      </c>
      <c r="CE159" s="60">
        <f t="shared" si="148"/>
        <v>258.90832875500325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-5.4092197387944907E-14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397.63792993520934</v>
      </c>
      <c r="CZ159" s="60">
        <f t="shared" si="150"/>
        <v>300.63705521148802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7.626113074366004E-14</v>
      </c>
      <c r="DQ159" s="14">
        <f t="shared" si="176"/>
        <v>1.1823749172251317E-12</v>
      </c>
      <c r="DR159" s="22">
        <f t="shared" si="177"/>
        <v>2.1921244502123119E-12</v>
      </c>
      <c r="DS159" s="60">
        <f t="shared" si="125"/>
        <v>287.35489844709053</v>
      </c>
      <c r="DT159" s="60">
        <f ca="1">AVERAGE(OFFSET($DS$3,0,0,'Données projet'!$E$14+1,1))-AVERAGE(OFFSET($H$3,0,0,'Données projet'!$E$14+1,1))</f>
        <v>343.94240546037798</v>
      </c>
      <c r="DU159" s="60">
        <f t="shared" si="152"/>
        <v>277.30931495079346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3.8900669460805476E-2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3.8900669460805476E-2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-2.8421709430404007E-13</v>
      </c>
      <c r="EK159" s="18">
        <f>EJ159*VLOOKUP('Données projet'!$B$15,Paramètres!$A$1:$I$89,3,0)*VLOOKUP('Données projet'!$B$15,Paramètres!$A$1:$I$89,5,0)</f>
        <v>-2.2168933355715128E-13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308.76306523144956</v>
      </c>
      <c r="EP159" s="60">
        <f t="shared" si="154"/>
        <v>283.28099819802776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-9.9316821433603781E-14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296.01124173332352</v>
      </c>
      <c r="FK159" s="60">
        <f t="shared" si="156"/>
        <v>315.50730924873733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391.18744390931187</v>
      </c>
      <c r="GF159" s="60">
        <f t="shared" si="158"/>
        <v>261.46982358454386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4.1465555753965308E-2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4.1465555753965308E-2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-4.1145540308207271E-13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469.15492079216403</v>
      </c>
      <c r="T160" s="60">
        <f t="shared" si="142"/>
        <v>250.47702091764884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-3.8307916838675739E-13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442.49274132121275</v>
      </c>
      <c r="AO160" s="60">
        <f t="shared" si="144"/>
        <v>237.37463556402756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1.3035332813160495E-13</v>
      </c>
      <c r="BF160" s="14">
        <f t="shared" si="167"/>
        <v>1.8987770485018903E-12</v>
      </c>
      <c r="BG160" s="22">
        <f t="shared" si="168"/>
        <v>3.5340687393033375E-12</v>
      </c>
      <c r="BH160" s="60">
        <f t="shared" si="116"/>
        <v>287.4586109265901</v>
      </c>
      <c r="BI160" s="60">
        <f ca="1">AVERAGE(OFFSET($BH$3,0,0,'Données projet'!$E$11+1,1))-AVERAGE(OFFSET($H$3,0,0,'Données projet'!$E$11+1,1))</f>
        <v>267.90768140488603</v>
      </c>
      <c r="BJ160" s="60">
        <f t="shared" si="146"/>
        <v>280.25465074992258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4.6111381379887463E-14</v>
      </c>
      <c r="CA160" s="14">
        <f t="shared" si="170"/>
        <v>7.5804141040779151E-13</v>
      </c>
      <c r="CB160" s="22">
        <f t="shared" si="171"/>
        <v>1.4005661123635408E-12</v>
      </c>
      <c r="CC160" s="60">
        <f t="shared" si="119"/>
        <v>287.45861092658799</v>
      </c>
      <c r="CD160" s="60">
        <f ca="1">AVERAGE(OFFSET($CC$3,0,0,'Données projet'!$E$12+1,1))-AVERAGE(OFFSET($H$3,0,0,'Données projet'!$E$12+1,1))</f>
        <v>308.6594206517259</v>
      </c>
      <c r="CE160" s="60">
        <f t="shared" si="148"/>
        <v>258.90832875500325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-5.4092197387944907E-14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397.63792993520934</v>
      </c>
      <c r="CZ160" s="60">
        <f t="shared" si="150"/>
        <v>300.63705521148802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7.626113074366004E-14</v>
      </c>
      <c r="DQ160" s="14">
        <f t="shared" si="176"/>
        <v>1.1823749172251317E-12</v>
      </c>
      <c r="DR160" s="22">
        <f t="shared" si="177"/>
        <v>2.1921244502123119E-12</v>
      </c>
      <c r="DS160" s="60">
        <f t="shared" si="125"/>
        <v>287.45861092658879</v>
      </c>
      <c r="DT160" s="60">
        <f ca="1">AVERAGE(OFFSET($DS$3,0,0,'Données projet'!$E$14+1,1))-AVERAGE(OFFSET($H$3,0,0,'Données projet'!$E$14+1,1))</f>
        <v>343.94240546037798</v>
      </c>
      <c r="DU160" s="60">
        <f t="shared" si="152"/>
        <v>277.30931495079346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3.7836928608702455E-2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3.7836928608702455E-2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-2.8421709430404007E-13</v>
      </c>
      <c r="EK160" s="18">
        <f>EJ160*VLOOKUP('Données projet'!$B$15,Paramètres!$A$1:$I$89,3,0)*VLOOKUP('Données projet'!$B$15,Paramètres!$A$1:$I$89,5,0)</f>
        <v>-2.2168933355715128E-13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308.76306523144956</v>
      </c>
      <c r="EP160" s="60">
        <f t="shared" si="154"/>
        <v>283.28099819802776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-9.9316821433603781E-14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296.01124173332352</v>
      </c>
      <c r="FK160" s="60">
        <f t="shared" si="156"/>
        <v>315.50730924873733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391.18744390931187</v>
      </c>
      <c r="GF160" s="60">
        <f t="shared" si="158"/>
        <v>261.46982358454386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4.0331677951294317E-2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4.0331677951294317E-2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-4.1145540308207271E-13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469.15492079216403</v>
      </c>
      <c r="T161" s="60">
        <f t="shared" si="142"/>
        <v>250.47702091764884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-3.8307916838675739E-13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442.49274132121275</v>
      </c>
      <c r="AO161" s="60">
        <f t="shared" si="144"/>
        <v>237.37463556402756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1.3035332813160495E-13</v>
      </c>
      <c r="BF161" s="14">
        <f t="shared" si="167"/>
        <v>1.8987770485018903E-12</v>
      </c>
      <c r="BG161" s="22">
        <f t="shared" si="168"/>
        <v>3.5340687393033375E-12</v>
      </c>
      <c r="BH161" s="60">
        <f t="shared" si="116"/>
        <v>287.56052422643552</v>
      </c>
      <c r="BI161" s="60">
        <f ca="1">AVERAGE(OFFSET($BH$3,0,0,'Données projet'!$E$11+1,1))-AVERAGE(OFFSET($H$3,0,0,'Données projet'!$E$11+1,1))</f>
        <v>267.90768140488603</v>
      </c>
      <c r="BJ161" s="60">
        <f t="shared" si="146"/>
        <v>280.25465074992258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4.6111381379887463E-14</v>
      </c>
      <c r="CA161" s="14">
        <f t="shared" si="170"/>
        <v>7.5804141040779151E-13</v>
      </c>
      <c r="CB161" s="22">
        <f t="shared" si="171"/>
        <v>1.4005661123635408E-12</v>
      </c>
      <c r="CC161" s="60">
        <f t="shared" si="119"/>
        <v>287.56052422643342</v>
      </c>
      <c r="CD161" s="60">
        <f ca="1">AVERAGE(OFFSET($CC$3,0,0,'Données projet'!$E$12+1,1))-AVERAGE(OFFSET($H$3,0,0,'Données projet'!$E$12+1,1))</f>
        <v>308.6594206517259</v>
      </c>
      <c r="CE161" s="60">
        <f t="shared" si="148"/>
        <v>258.90832875500325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-5.4092197387944907E-14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397.63792993520934</v>
      </c>
      <c r="CZ161" s="60">
        <f t="shared" si="150"/>
        <v>300.63705521148802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7.626113074366004E-14</v>
      </c>
      <c r="DQ161" s="14">
        <f t="shared" si="176"/>
        <v>1.1823749172251317E-12</v>
      </c>
      <c r="DR161" s="22">
        <f t="shared" si="177"/>
        <v>2.1921244502123119E-12</v>
      </c>
      <c r="DS161" s="60">
        <f t="shared" si="125"/>
        <v>287.56052422643421</v>
      </c>
      <c r="DT161" s="60">
        <f ca="1">AVERAGE(OFFSET($DS$3,0,0,'Données projet'!$E$14+1,1))-AVERAGE(OFFSET($H$3,0,0,'Données projet'!$E$14+1,1))</f>
        <v>343.94240546037798</v>
      </c>
      <c r="DU161" s="60">
        <f t="shared" si="152"/>
        <v>277.30931495079346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3.6802275806139886E-2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3.6802275806139886E-2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-2.8421709430404007E-13</v>
      </c>
      <c r="EK161" s="18">
        <f>EJ161*VLOOKUP('Données projet'!$B$15,Paramètres!$A$1:$I$89,3,0)*VLOOKUP('Données projet'!$B$15,Paramètres!$A$1:$I$89,5,0)</f>
        <v>-2.2168933355715128E-13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308.76306523144956</v>
      </c>
      <c r="EP161" s="60">
        <f t="shared" si="154"/>
        <v>283.28099819802776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-9.9316821433603781E-14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296.01124173332352</v>
      </c>
      <c r="FK161" s="60">
        <f t="shared" si="156"/>
        <v>315.50730924873733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391.18744390931187</v>
      </c>
      <c r="GF161" s="60">
        <f t="shared" si="158"/>
        <v>261.46982358454386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3.9228806096765413E-2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3.9228806096765413E-2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-4.1145540308207271E-13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469.15492079216403</v>
      </c>
      <c r="T162" s="60">
        <f t="shared" si="142"/>
        <v>250.47702091764884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-3.8307916838675739E-13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442.49274132121275</v>
      </c>
      <c r="AO162" s="60">
        <f t="shared" si="144"/>
        <v>237.37463556402756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1.3035332813160495E-13</v>
      </c>
      <c r="BF162" s="14">
        <f t="shared" si="167"/>
        <v>1.8987770485018903E-12</v>
      </c>
      <c r="BG162" s="22">
        <f t="shared" si="168"/>
        <v>3.5340687393033375E-12</v>
      </c>
      <c r="BH162" s="60">
        <f t="shared" si="116"/>
        <v>287.66066955837249</v>
      </c>
      <c r="BI162" s="60">
        <f ca="1">AVERAGE(OFFSET($BH$3,0,0,'Données projet'!$E$11+1,1))-AVERAGE(OFFSET($H$3,0,0,'Données projet'!$E$11+1,1))</f>
        <v>267.90768140488603</v>
      </c>
      <c r="BJ162" s="60">
        <f t="shared" si="146"/>
        <v>280.25465074992258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4.6111381379887463E-14</v>
      </c>
      <c r="CA162" s="14">
        <f t="shared" si="170"/>
        <v>7.5804141040779151E-13</v>
      </c>
      <c r="CB162" s="22">
        <f t="shared" si="171"/>
        <v>1.4005661123635408E-12</v>
      </c>
      <c r="CC162" s="60">
        <f t="shared" si="119"/>
        <v>287.66066955837039</v>
      </c>
      <c r="CD162" s="60">
        <f ca="1">AVERAGE(OFFSET($CC$3,0,0,'Données projet'!$E$12+1,1))-AVERAGE(OFFSET($H$3,0,0,'Données projet'!$E$12+1,1))</f>
        <v>308.6594206517259</v>
      </c>
      <c r="CE162" s="60">
        <f t="shared" si="148"/>
        <v>258.90832875500325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-5.4092197387944907E-14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397.63792993520934</v>
      </c>
      <c r="CZ162" s="60">
        <f t="shared" si="150"/>
        <v>300.63705521148802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7.626113074366004E-14</v>
      </c>
      <c r="DQ162" s="14">
        <f t="shared" si="176"/>
        <v>1.1823749172251317E-12</v>
      </c>
      <c r="DR162" s="22">
        <f t="shared" si="177"/>
        <v>2.1921244502123119E-12</v>
      </c>
      <c r="DS162" s="60">
        <f t="shared" si="125"/>
        <v>287.66066955837118</v>
      </c>
      <c r="DT162" s="60">
        <f ca="1">AVERAGE(OFFSET($DS$3,0,0,'Données projet'!$E$14+1,1))-AVERAGE(OFFSET($H$3,0,0,'Données projet'!$E$14+1,1))</f>
        <v>343.94240546037798</v>
      </c>
      <c r="DU162" s="60">
        <f t="shared" si="152"/>
        <v>277.30931495079346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3.5795915638873417E-2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3.5795915638873417E-2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-2.8421709430404007E-13</v>
      </c>
      <c r="EK162" s="18">
        <f>EJ162*VLOOKUP('Données projet'!$B$15,Paramètres!$A$1:$I$89,3,0)*VLOOKUP('Données projet'!$B$15,Paramètres!$A$1:$I$89,5,0)</f>
        <v>-2.2168933355715128E-13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308.76306523144956</v>
      </c>
      <c r="EP162" s="60">
        <f t="shared" si="154"/>
        <v>283.28099819802776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-9.9316821433603781E-14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296.01124173332352</v>
      </c>
      <c r="FK162" s="60">
        <f t="shared" si="156"/>
        <v>315.50730924873733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391.18744390931187</v>
      </c>
      <c r="GF162" s="60">
        <f t="shared" si="158"/>
        <v>261.46982358454386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3.8156092331096111E-2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3.8156092331096111E-2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-4.1145540308207271E-13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469.15492079216403</v>
      </c>
      <c r="T163" s="60">
        <f t="shared" si="142"/>
        <v>250.47702091764884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-3.8307916838675739E-13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442.49274132121275</v>
      </c>
      <c r="AO163" s="60">
        <f t="shared" si="144"/>
        <v>237.37463556402756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1.3035332813160495E-13</v>
      </c>
      <c r="BF163" s="14">
        <f t="shared" si="167"/>
        <v>1.8987770485018903E-12</v>
      </c>
      <c r="BG163" s="22">
        <f t="shared" si="168"/>
        <v>3.5340687393033375E-12</v>
      </c>
      <c r="BH163" s="60">
        <f t="shared" si="116"/>
        <v>287.75907759269188</v>
      </c>
      <c r="BI163" s="60">
        <f ca="1">AVERAGE(OFFSET($BH$3,0,0,'Données projet'!$E$11+1,1))-AVERAGE(OFFSET($H$3,0,0,'Données projet'!$E$11+1,1))</f>
        <v>267.90768140488603</v>
      </c>
      <c r="BJ163" s="60">
        <f t="shared" si="146"/>
        <v>280.25465074992258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4.6111381379887463E-14</v>
      </c>
      <c r="CA163" s="14">
        <f t="shared" si="170"/>
        <v>7.5804141040779151E-13</v>
      </c>
      <c r="CB163" s="22">
        <f t="shared" si="171"/>
        <v>1.4005661123635408E-12</v>
      </c>
      <c r="CC163" s="60">
        <f t="shared" si="119"/>
        <v>287.75907759268978</v>
      </c>
      <c r="CD163" s="60">
        <f ca="1">AVERAGE(OFFSET($CC$3,0,0,'Données projet'!$E$12+1,1))-AVERAGE(OFFSET($H$3,0,0,'Données projet'!$E$12+1,1))</f>
        <v>308.6594206517259</v>
      </c>
      <c r="CE163" s="60">
        <f t="shared" si="148"/>
        <v>258.90832875500325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-5.4092197387944907E-14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397.63792993520934</v>
      </c>
      <c r="CZ163" s="60">
        <f t="shared" si="150"/>
        <v>300.63705521148802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7.626113074366004E-14</v>
      </c>
      <c r="DQ163" s="14">
        <f t="shared" si="176"/>
        <v>1.1823749172251317E-12</v>
      </c>
      <c r="DR163" s="22">
        <f t="shared" si="177"/>
        <v>2.1921244502123119E-12</v>
      </c>
      <c r="DS163" s="60">
        <f t="shared" si="125"/>
        <v>287.75907759269057</v>
      </c>
      <c r="DT163" s="60">
        <f ca="1">AVERAGE(OFFSET($DS$3,0,0,'Données projet'!$E$14+1,1))-AVERAGE(OFFSET($H$3,0,0,'Données projet'!$E$14+1,1))</f>
        <v>343.94240546037798</v>
      </c>
      <c r="DU163" s="60">
        <f t="shared" si="152"/>
        <v>277.30931495079346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3.481707444330303E-2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3.481707444330303E-2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-2.8421709430404007E-13</v>
      </c>
      <c r="EK163" s="18">
        <f>EJ163*VLOOKUP('Données projet'!$B$15,Paramètres!$A$1:$I$89,3,0)*VLOOKUP('Données projet'!$B$15,Paramètres!$A$1:$I$89,5,0)</f>
        <v>-2.2168933355715128E-13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308.76306523144956</v>
      </c>
      <c r="EP163" s="60">
        <f t="shared" si="154"/>
        <v>283.28099819802776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-9.9316821433603781E-14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296.01124173332352</v>
      </c>
      <c r="FK163" s="60">
        <f t="shared" si="156"/>
        <v>315.50730924873733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391.18744390931187</v>
      </c>
      <c r="GF163" s="60">
        <f t="shared" si="158"/>
        <v>261.46982358454386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3.7112711979760599E-2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3.7112711979760599E-2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-4.1145540308207271E-13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469.15492079216403</v>
      </c>
      <c r="T164" s="60">
        <f t="shared" si="142"/>
        <v>250.47702091764884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-3.8307916838675739E-13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442.49274132121275</v>
      </c>
      <c r="AO164" s="60">
        <f t="shared" si="144"/>
        <v>237.37463556402756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1.3035332813160495E-13</v>
      </c>
      <c r="BF164" s="14">
        <f t="shared" si="167"/>
        <v>1.8987770485018903E-12</v>
      </c>
      <c r="BG164" s="22">
        <f t="shared" si="168"/>
        <v>3.5340687393033375E-12</v>
      </c>
      <c r="BH164" s="60">
        <f t="shared" si="116"/>
        <v>287.85577846762322</v>
      </c>
      <c r="BI164" s="60">
        <f ca="1">AVERAGE(OFFSET($BH$3,0,0,'Données projet'!$E$11+1,1))-AVERAGE(OFFSET($H$3,0,0,'Données projet'!$E$11+1,1))</f>
        <v>267.90768140488603</v>
      </c>
      <c r="BJ164" s="60">
        <f t="shared" si="146"/>
        <v>280.25465074992258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4.6111381379887463E-14</v>
      </c>
      <c r="CA164" s="14">
        <f t="shared" si="170"/>
        <v>7.5804141040779151E-13</v>
      </c>
      <c r="CB164" s="22">
        <f t="shared" si="171"/>
        <v>1.4005661123635408E-12</v>
      </c>
      <c r="CC164" s="60">
        <f t="shared" si="119"/>
        <v>287.85577846762112</v>
      </c>
      <c r="CD164" s="60">
        <f ca="1">AVERAGE(OFFSET($CC$3,0,0,'Données projet'!$E$12+1,1))-AVERAGE(OFFSET($H$3,0,0,'Données projet'!$E$12+1,1))</f>
        <v>308.6594206517259</v>
      </c>
      <c r="CE164" s="60">
        <f t="shared" si="148"/>
        <v>258.90832875500325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-5.4092197387944907E-14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397.63792993520934</v>
      </c>
      <c r="CZ164" s="60">
        <f t="shared" si="150"/>
        <v>300.63705521148802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7.626113074366004E-14</v>
      </c>
      <c r="DQ164" s="14">
        <f t="shared" si="176"/>
        <v>1.1823749172251317E-12</v>
      </c>
      <c r="DR164" s="22">
        <f t="shared" si="177"/>
        <v>2.1921244502123119E-12</v>
      </c>
      <c r="DS164" s="60">
        <f t="shared" si="125"/>
        <v>287.85577846762192</v>
      </c>
      <c r="DT164" s="60">
        <f ca="1">AVERAGE(OFFSET($DS$3,0,0,'Données projet'!$E$14+1,1))-AVERAGE(OFFSET($H$3,0,0,'Données projet'!$E$14+1,1))</f>
        <v>343.94240546037798</v>
      </c>
      <c r="DU164" s="60">
        <f t="shared" si="152"/>
        <v>277.30931495079346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3.3864999711700539E-2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3.3864999711700539E-2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-2.8421709430404007E-13</v>
      </c>
      <c r="EK164" s="18">
        <f>EJ164*VLOOKUP('Données projet'!$B$15,Paramètres!$A$1:$I$89,3,0)*VLOOKUP('Données projet'!$B$15,Paramètres!$A$1:$I$89,5,0)</f>
        <v>-2.2168933355715128E-13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308.76306523144956</v>
      </c>
      <c r="EP164" s="60">
        <f t="shared" si="154"/>
        <v>283.28099819802776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-9.9316821433603781E-14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296.01124173332352</v>
      </c>
      <c r="FK164" s="60">
        <f t="shared" si="156"/>
        <v>315.50730924873733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391.18744390931187</v>
      </c>
      <c r="GF164" s="60">
        <f t="shared" si="158"/>
        <v>261.46982358454386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3.6097862919001342E-2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3.6097862919001342E-2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-4.1145540308207271E-13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469.15492079216403</v>
      </c>
      <c r="T165" s="60">
        <f t="shared" si="142"/>
        <v>250.47702091764884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-3.8307916838675739E-13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442.49274132121275</v>
      </c>
      <c r="AO165" s="60">
        <f t="shared" si="144"/>
        <v>237.37463556402756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1.3035332813160495E-13</v>
      </c>
      <c r="BF165" s="14">
        <f t="shared" si="167"/>
        <v>1.8987770485018903E-12</v>
      </c>
      <c r="BG165" s="22">
        <f t="shared" si="168"/>
        <v>3.5340687393033375E-12</v>
      </c>
      <c r="BH165" s="60">
        <f t="shared" si="116"/>
        <v>287.95080179856524</v>
      </c>
      <c r="BI165" s="60">
        <f ca="1">AVERAGE(OFFSET($BH$3,0,0,'Données projet'!$E$11+1,1))-AVERAGE(OFFSET($H$3,0,0,'Données projet'!$E$11+1,1))</f>
        <v>267.90768140488603</v>
      </c>
      <c r="BJ165" s="60">
        <f t="shared" si="146"/>
        <v>280.25465074992258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4.6111381379887463E-14</v>
      </c>
      <c r="CA165" s="14">
        <f t="shared" si="170"/>
        <v>7.5804141040779151E-13</v>
      </c>
      <c r="CB165" s="22">
        <f t="shared" si="171"/>
        <v>1.4005661123635408E-12</v>
      </c>
      <c r="CC165" s="60">
        <f t="shared" si="119"/>
        <v>287.95080179856313</v>
      </c>
      <c r="CD165" s="60">
        <f ca="1">AVERAGE(OFFSET($CC$3,0,0,'Données projet'!$E$12+1,1))-AVERAGE(OFFSET($H$3,0,0,'Données projet'!$E$12+1,1))</f>
        <v>308.6594206517259</v>
      </c>
      <c r="CE165" s="60">
        <f t="shared" si="148"/>
        <v>258.90832875500325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-5.4092197387944907E-14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397.63792993520934</v>
      </c>
      <c r="CZ165" s="60">
        <f t="shared" si="150"/>
        <v>300.63705521148802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7.626113074366004E-14</v>
      </c>
      <c r="DQ165" s="14">
        <f t="shared" si="176"/>
        <v>1.1823749172251317E-12</v>
      </c>
      <c r="DR165" s="22">
        <f t="shared" si="177"/>
        <v>2.1921244502123119E-12</v>
      </c>
      <c r="DS165" s="60">
        <f t="shared" si="125"/>
        <v>287.95080179856393</v>
      </c>
      <c r="DT165" s="60">
        <f ca="1">AVERAGE(OFFSET($DS$3,0,0,'Données projet'!$E$14+1,1))-AVERAGE(OFFSET($H$3,0,0,'Données projet'!$E$14+1,1))</f>
        <v>343.94240546037798</v>
      </c>
      <c r="DU165" s="60">
        <f t="shared" si="152"/>
        <v>277.30931495079346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3.2938959513701155E-2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3.2938959513701155E-2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-2.8421709430404007E-13</v>
      </c>
      <c r="EK165" s="18">
        <f>EJ165*VLOOKUP('Données projet'!$B$15,Paramètres!$A$1:$I$89,3,0)*VLOOKUP('Données projet'!$B$15,Paramètres!$A$1:$I$89,5,0)</f>
        <v>-2.2168933355715128E-13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308.76306523144956</v>
      </c>
      <c r="EP165" s="60">
        <f t="shared" si="154"/>
        <v>283.28099819802776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-9.9316821433603781E-14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296.01124173332352</v>
      </c>
      <c r="FK165" s="60">
        <f t="shared" si="156"/>
        <v>315.50730924873733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391.18744390931187</v>
      </c>
      <c r="GF165" s="60">
        <f t="shared" si="158"/>
        <v>261.46982358454386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3.5110764959177143E-2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3.5110764959177143E-2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-4.1145540308207271E-13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469.15492079216403</v>
      </c>
      <c r="T166" s="60">
        <f t="shared" si="142"/>
        <v>250.47702091764884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-3.8307916838675739E-13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442.49274132121275</v>
      </c>
      <c r="AO166" s="60">
        <f t="shared" si="144"/>
        <v>237.37463556402756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1.3035332813160495E-13</v>
      </c>
      <c r="BF166" s="14">
        <f t="shared" si="167"/>
        <v>1.8987770485018903E-12</v>
      </c>
      <c r="BG166" s="22">
        <f t="shared" si="168"/>
        <v>3.5340687393033375E-12</v>
      </c>
      <c r="BH166" s="60">
        <f t="shared" si="116"/>
        <v>288.04417668715575</v>
      </c>
      <c r="BI166" s="60">
        <f ca="1">AVERAGE(OFFSET($BH$3,0,0,'Données projet'!$E$11+1,1))-AVERAGE(OFFSET($H$3,0,0,'Données projet'!$E$11+1,1))</f>
        <v>267.90768140488603</v>
      </c>
      <c r="BJ166" s="60">
        <f t="shared" si="146"/>
        <v>280.25465074992258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4.6111381379887463E-14</v>
      </c>
      <c r="CA166" s="14">
        <f t="shared" si="170"/>
        <v>7.5804141040779151E-13</v>
      </c>
      <c r="CB166" s="22">
        <f t="shared" si="171"/>
        <v>1.4005661123635408E-12</v>
      </c>
      <c r="CC166" s="60">
        <f t="shared" si="119"/>
        <v>288.04417668715365</v>
      </c>
      <c r="CD166" s="60">
        <f ca="1">AVERAGE(OFFSET($CC$3,0,0,'Données projet'!$E$12+1,1))-AVERAGE(OFFSET($H$3,0,0,'Données projet'!$E$12+1,1))</f>
        <v>308.6594206517259</v>
      </c>
      <c r="CE166" s="60">
        <f t="shared" si="148"/>
        <v>258.90832875500325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-5.4092197387944907E-14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397.63792993520934</v>
      </c>
      <c r="CZ166" s="60">
        <f t="shared" si="150"/>
        <v>300.63705521148802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7.626113074366004E-14</v>
      </c>
      <c r="DQ166" s="14">
        <f t="shared" si="176"/>
        <v>1.1823749172251317E-12</v>
      </c>
      <c r="DR166" s="22">
        <f t="shared" si="177"/>
        <v>2.1921244502123119E-12</v>
      </c>
      <c r="DS166" s="60">
        <f t="shared" si="125"/>
        <v>288.04417668715445</v>
      </c>
      <c r="DT166" s="60">
        <f ca="1">AVERAGE(OFFSET($DS$3,0,0,'Données projet'!$E$14+1,1))-AVERAGE(OFFSET($H$3,0,0,'Données projet'!$E$14+1,1))</f>
        <v>343.94240546037798</v>
      </c>
      <c r="DU166" s="60">
        <f t="shared" si="152"/>
        <v>277.30931495079346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3.2038241933614396E-2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3.2038241933614396E-2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-2.8421709430404007E-13</v>
      </c>
      <c r="EK166" s="18">
        <f>EJ166*VLOOKUP('Données projet'!$B$15,Paramètres!$A$1:$I$89,3,0)*VLOOKUP('Données projet'!$B$15,Paramètres!$A$1:$I$89,5,0)</f>
        <v>-2.2168933355715128E-13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308.76306523144956</v>
      </c>
      <c r="EP166" s="60">
        <f t="shared" si="154"/>
        <v>283.28099819802776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-9.9316821433603781E-14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296.01124173332352</v>
      </c>
      <c r="FK166" s="60">
        <f t="shared" si="156"/>
        <v>315.50730924873733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391.18744390931187</v>
      </c>
      <c r="GF166" s="60">
        <f t="shared" si="158"/>
        <v>261.46982358454386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3.4150659244973562E-2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3.4150659244973562E-2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-4.1145540308207271E-13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469.15492079216403</v>
      </c>
      <c r="T167" s="60">
        <f t="shared" si="142"/>
        <v>250.47702091764884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-3.8307916838675739E-13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442.49274132121275</v>
      </c>
      <c r="AO167" s="60">
        <f t="shared" si="144"/>
        <v>237.37463556402756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1.3035332813160495E-13</v>
      </c>
      <c r="BF167" s="14">
        <f t="shared" si="167"/>
        <v>1.8987770485018903E-12</v>
      </c>
      <c r="BG167" s="22">
        <f t="shared" si="168"/>
        <v>3.5340687393033375E-12</v>
      </c>
      <c r="BH167" s="60">
        <f t="shared" si="116"/>
        <v>288.13593173018421</v>
      </c>
      <c r="BI167" s="60">
        <f ca="1">AVERAGE(OFFSET($BH$3,0,0,'Données projet'!$E$11+1,1))-AVERAGE(OFFSET($H$3,0,0,'Données projet'!$E$11+1,1))</f>
        <v>267.90768140488603</v>
      </c>
      <c r="BJ167" s="60">
        <f t="shared" si="146"/>
        <v>280.25465074992258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4.6111381379887463E-14</v>
      </c>
      <c r="CA167" s="14">
        <f t="shared" si="170"/>
        <v>7.5804141040779151E-13</v>
      </c>
      <c r="CB167" s="22">
        <f t="shared" si="171"/>
        <v>1.4005661123635408E-12</v>
      </c>
      <c r="CC167" s="60">
        <f t="shared" si="119"/>
        <v>288.13593173018211</v>
      </c>
      <c r="CD167" s="60">
        <f ca="1">AVERAGE(OFFSET($CC$3,0,0,'Données projet'!$E$12+1,1))-AVERAGE(OFFSET($H$3,0,0,'Données projet'!$E$12+1,1))</f>
        <v>308.6594206517259</v>
      </c>
      <c r="CE167" s="60">
        <f t="shared" si="148"/>
        <v>258.90832875500325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-5.4092197387944907E-14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397.63792993520934</v>
      </c>
      <c r="CZ167" s="60">
        <f t="shared" si="150"/>
        <v>300.63705521148802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7.626113074366004E-14</v>
      </c>
      <c r="DQ167" s="14">
        <f t="shared" si="176"/>
        <v>1.1823749172251317E-12</v>
      </c>
      <c r="DR167" s="22">
        <f t="shared" si="177"/>
        <v>2.1921244502123119E-12</v>
      </c>
      <c r="DS167" s="60">
        <f t="shared" si="125"/>
        <v>288.1359317301829</v>
      </c>
      <c r="DT167" s="60">
        <f ca="1">AVERAGE(OFFSET($DS$3,0,0,'Données projet'!$E$14+1,1))-AVERAGE(OFFSET($H$3,0,0,'Données projet'!$E$14+1,1))</f>
        <v>343.94240546037798</v>
      </c>
      <c r="DU167" s="60">
        <f t="shared" si="152"/>
        <v>277.30931495079346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3.116215452312179E-2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3.116215452312179E-2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-2.8421709430404007E-13</v>
      </c>
      <c r="EK167" s="18">
        <f>EJ167*VLOOKUP('Données projet'!$B$15,Paramètres!$A$1:$I$89,3,0)*VLOOKUP('Données projet'!$B$15,Paramètres!$A$1:$I$89,5,0)</f>
        <v>-2.2168933355715128E-13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308.76306523144956</v>
      </c>
      <c r="EP167" s="60">
        <f t="shared" si="154"/>
        <v>283.28099819802776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-9.9316821433603781E-14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296.01124173332352</v>
      </c>
      <c r="FK167" s="60">
        <f t="shared" si="156"/>
        <v>315.50730924873733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391.18744390931187</v>
      </c>
      <c r="GF167" s="60">
        <f t="shared" si="158"/>
        <v>261.46982358454386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3.3216807672014639E-2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3.3216807672014639E-2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-4.1145540308207271E-13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469.15492079216403</v>
      </c>
      <c r="T168" s="60">
        <f t="shared" si="142"/>
        <v>250.47702091764884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-3.8307916838675739E-13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442.49274132121275</v>
      </c>
      <c r="AO168" s="60">
        <f t="shared" si="144"/>
        <v>237.37463556402756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1.3035332813160495E-13</v>
      </c>
      <c r="BF168" s="14">
        <f t="shared" si="167"/>
        <v>1.8987770485018903E-12</v>
      </c>
      <c r="BG168" s="22">
        <f t="shared" si="168"/>
        <v>3.5340687393033375E-12</v>
      </c>
      <c r="BH168" s="60">
        <f t="shared" si="116"/>
        <v>288.22609502834968</v>
      </c>
      <c r="BI168" s="60">
        <f ca="1">AVERAGE(OFFSET($BH$3,0,0,'Données projet'!$E$11+1,1))-AVERAGE(OFFSET($H$3,0,0,'Données projet'!$E$11+1,1))</f>
        <v>267.90768140488603</v>
      </c>
      <c r="BJ168" s="60">
        <f t="shared" si="146"/>
        <v>280.25465074992258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4.6111381379887463E-14</v>
      </c>
      <c r="CA168" s="14">
        <f t="shared" si="170"/>
        <v>7.5804141040779151E-13</v>
      </c>
      <c r="CB168" s="22">
        <f t="shared" si="171"/>
        <v>1.4005661123635408E-12</v>
      </c>
      <c r="CC168" s="60">
        <f t="shared" si="119"/>
        <v>288.22609502834757</v>
      </c>
      <c r="CD168" s="60">
        <f ca="1">AVERAGE(OFFSET($CC$3,0,0,'Données projet'!$E$12+1,1))-AVERAGE(OFFSET($H$3,0,0,'Données projet'!$E$12+1,1))</f>
        <v>308.6594206517259</v>
      </c>
      <c r="CE168" s="60">
        <f t="shared" si="148"/>
        <v>258.90832875500325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-5.4092197387944907E-14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397.63792993520934</v>
      </c>
      <c r="CZ168" s="60">
        <f t="shared" si="150"/>
        <v>300.63705521148802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7.626113074366004E-14</v>
      </c>
      <c r="DQ168" s="14">
        <f t="shared" si="176"/>
        <v>1.1823749172251317E-12</v>
      </c>
      <c r="DR168" s="22">
        <f t="shared" si="177"/>
        <v>2.1921244502123119E-12</v>
      </c>
      <c r="DS168" s="60">
        <f t="shared" si="125"/>
        <v>288.22609502834837</v>
      </c>
      <c r="DT168" s="60">
        <f ca="1">AVERAGE(OFFSET($DS$3,0,0,'Données projet'!$E$14+1,1))-AVERAGE(OFFSET($H$3,0,0,'Données projet'!$E$14+1,1))</f>
        <v>343.94240546037798</v>
      </c>
      <c r="DU168" s="60">
        <f t="shared" si="152"/>
        <v>277.30931495079346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3.0310023768940542E-2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3.0310023768940542E-2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-2.8421709430404007E-13</v>
      </c>
      <c r="EK168" s="18">
        <f>EJ168*VLOOKUP('Données projet'!$B$15,Paramètres!$A$1:$I$89,3,0)*VLOOKUP('Données projet'!$B$15,Paramètres!$A$1:$I$89,5,0)</f>
        <v>-2.2168933355715128E-13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308.76306523144956</v>
      </c>
      <c r="EP168" s="60">
        <f t="shared" si="154"/>
        <v>283.28099819802776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-9.9316821433603781E-14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296.01124173332352</v>
      </c>
      <c r="FK168" s="60">
        <f t="shared" si="156"/>
        <v>315.50730924873733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391.18744390931187</v>
      </c>
      <c r="GF168" s="60">
        <f t="shared" si="158"/>
        <v>261.46982358454386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3.2308492319427402E-2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3.2308492319427402E-2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-4.1145540308207271E-13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469.15492079216403</v>
      </c>
      <c r="T169" s="60">
        <f t="shared" si="142"/>
        <v>250.47702091764884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-3.8307916838675739E-13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442.49274132121275</v>
      </c>
      <c r="AO169" s="60">
        <f t="shared" si="144"/>
        <v>237.37463556402756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1.3035332813160495E-13</v>
      </c>
      <c r="BF169" s="14">
        <f t="shared" si="167"/>
        <v>1.8987770485018903E-12</v>
      </c>
      <c r="BG169" s="22">
        <f t="shared" si="168"/>
        <v>3.5340687393033375E-12</v>
      </c>
      <c r="BH169" s="60">
        <f t="shared" si="116"/>
        <v>288.31469419486695</v>
      </c>
      <c r="BI169" s="60">
        <f ca="1">AVERAGE(OFFSET($BH$3,0,0,'Données projet'!$E$11+1,1))-AVERAGE(OFFSET($H$3,0,0,'Données projet'!$E$11+1,1))</f>
        <v>267.90768140488603</v>
      </c>
      <c r="BJ169" s="60">
        <f t="shared" si="146"/>
        <v>280.25465074992258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4.6111381379887463E-14</v>
      </c>
      <c r="CA169" s="14">
        <f t="shared" si="170"/>
        <v>7.5804141040779151E-13</v>
      </c>
      <c r="CB169" s="22">
        <f t="shared" si="171"/>
        <v>1.4005661123635408E-12</v>
      </c>
      <c r="CC169" s="60">
        <f t="shared" si="119"/>
        <v>288.31469419486484</v>
      </c>
      <c r="CD169" s="60">
        <f ca="1">AVERAGE(OFFSET($CC$3,0,0,'Données projet'!$E$12+1,1))-AVERAGE(OFFSET($H$3,0,0,'Données projet'!$E$12+1,1))</f>
        <v>308.6594206517259</v>
      </c>
      <c r="CE169" s="60">
        <f t="shared" si="148"/>
        <v>258.90832875500325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-5.4092197387944907E-14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397.63792993520934</v>
      </c>
      <c r="CZ169" s="60">
        <f t="shared" si="150"/>
        <v>300.63705521148802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7.626113074366004E-14</v>
      </c>
      <c r="DQ169" s="14">
        <f t="shared" si="176"/>
        <v>1.1823749172251317E-12</v>
      </c>
      <c r="DR169" s="22">
        <f t="shared" si="177"/>
        <v>2.1921244502123119E-12</v>
      </c>
      <c r="DS169" s="60">
        <f t="shared" si="125"/>
        <v>288.31469419486564</v>
      </c>
      <c r="DT169" s="60">
        <f ca="1">AVERAGE(OFFSET($DS$3,0,0,'Données projet'!$E$14+1,1))-AVERAGE(OFFSET($H$3,0,0,'Données projet'!$E$14+1,1))</f>
        <v>343.94240546037798</v>
      </c>
      <c r="DU169" s="60">
        <f t="shared" si="152"/>
        <v>277.30931495079346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2.9481194575043987E-2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2.9481194575043987E-2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-2.8421709430404007E-13</v>
      </c>
      <c r="EK169" s="18">
        <f>EJ169*VLOOKUP('Données projet'!$B$15,Paramètres!$A$1:$I$89,3,0)*VLOOKUP('Données projet'!$B$15,Paramètres!$A$1:$I$89,5,0)</f>
        <v>-2.2168933355715128E-13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308.76306523144956</v>
      </c>
      <c r="EP169" s="60">
        <f t="shared" si="154"/>
        <v>283.28099819802776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-9.9316821433603781E-14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296.01124173332352</v>
      </c>
      <c r="FK169" s="60">
        <f t="shared" si="156"/>
        <v>315.50730924873733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391.18744390931187</v>
      </c>
      <c r="GF169" s="60">
        <f t="shared" si="158"/>
        <v>261.46982358454386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3.142501489792289E-2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3.142501489792289E-2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-4.1145540308207271E-13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469.15492079216403</v>
      </c>
      <c r="T170" s="60">
        <f t="shared" si="142"/>
        <v>250.47702091764884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-3.8307916838675739E-13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442.49274132121275</v>
      </c>
      <c r="AO170" s="60">
        <f t="shared" si="144"/>
        <v>237.37463556402756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1.3035332813160495E-13</v>
      </c>
      <c r="BF170" s="14">
        <f t="shared" si="167"/>
        <v>1.8987770485018903E-12</v>
      </c>
      <c r="BG170" s="22">
        <f t="shared" si="168"/>
        <v>3.5340687393033375E-12</v>
      </c>
      <c r="BH170" s="60">
        <f t="shared" si="116"/>
        <v>288.40175636392314</v>
      </c>
      <c r="BI170" s="60">
        <f ca="1">AVERAGE(OFFSET($BH$3,0,0,'Données projet'!$E$11+1,1))-AVERAGE(OFFSET($H$3,0,0,'Données projet'!$E$11+1,1))</f>
        <v>267.90768140488603</v>
      </c>
      <c r="BJ170" s="60">
        <f t="shared" si="146"/>
        <v>280.25465074992258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4.6111381379887463E-14</v>
      </c>
      <c r="CA170" s="14">
        <f t="shared" si="170"/>
        <v>7.5804141040779151E-13</v>
      </c>
      <c r="CB170" s="22">
        <f t="shared" si="171"/>
        <v>1.4005661123635408E-12</v>
      </c>
      <c r="CC170" s="60">
        <f t="shared" si="119"/>
        <v>288.40175636392104</v>
      </c>
      <c r="CD170" s="60">
        <f ca="1">AVERAGE(OFFSET($CC$3,0,0,'Données projet'!$E$12+1,1))-AVERAGE(OFFSET($H$3,0,0,'Données projet'!$E$12+1,1))</f>
        <v>308.6594206517259</v>
      </c>
      <c r="CE170" s="60">
        <f t="shared" si="148"/>
        <v>258.90832875500325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-5.4092197387944907E-14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397.63792993520934</v>
      </c>
      <c r="CZ170" s="60">
        <f t="shared" si="150"/>
        <v>300.63705521148802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7.626113074366004E-14</v>
      </c>
      <c r="DQ170" s="14">
        <f t="shared" si="176"/>
        <v>1.1823749172251317E-12</v>
      </c>
      <c r="DR170" s="22">
        <f t="shared" si="177"/>
        <v>2.1921244502123119E-12</v>
      </c>
      <c r="DS170" s="60">
        <f t="shared" si="125"/>
        <v>288.40175636392183</v>
      </c>
      <c r="DT170" s="60">
        <f ca="1">AVERAGE(OFFSET($DS$3,0,0,'Données projet'!$E$14+1,1))-AVERAGE(OFFSET($H$3,0,0,'Données projet'!$E$14+1,1))</f>
        <v>343.94240546037798</v>
      </c>
      <c r="DU170" s="60">
        <f t="shared" si="152"/>
        <v>277.30931495079346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2.8675029759040765E-2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2.8675029759040765E-2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-2.8421709430404007E-13</v>
      </c>
      <c r="EK170" s="18">
        <f>EJ170*VLOOKUP('Données projet'!$B$15,Paramètres!$A$1:$I$89,3,0)*VLOOKUP('Données projet'!$B$15,Paramètres!$A$1:$I$89,5,0)</f>
        <v>-2.2168933355715128E-13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308.76306523144956</v>
      </c>
      <c r="EP170" s="60">
        <f t="shared" si="154"/>
        <v>283.28099819802776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-9.9316821433603781E-14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296.01124173332352</v>
      </c>
      <c r="FK170" s="60">
        <f t="shared" si="156"/>
        <v>315.50730924873733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391.18744390931187</v>
      </c>
      <c r="GF170" s="60">
        <f t="shared" si="158"/>
        <v>261.46982358454386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3.0565696212969479E-2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3.0565696212969479E-2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-4.1145540308207271E-13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469.15492079216403</v>
      </c>
      <c r="T171" s="60">
        <f t="shared" si="142"/>
        <v>250.47702091764884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-3.8307916838675739E-13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442.49274132121275</v>
      </c>
      <c r="AO171" s="60">
        <f t="shared" si="144"/>
        <v>237.37463556402756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1.3035332813160495E-13</v>
      </c>
      <c r="BF171" s="14">
        <f t="shared" si="167"/>
        <v>1.8987770485018903E-12</v>
      </c>
      <c r="BG171" s="22">
        <f t="shared" si="168"/>
        <v>3.5340687393033375E-12</v>
      </c>
      <c r="BH171" s="60">
        <f t="shared" si="116"/>
        <v>288.48730819898805</v>
      </c>
      <c r="BI171" s="60">
        <f ca="1">AVERAGE(OFFSET($BH$3,0,0,'Données projet'!$E$11+1,1))-AVERAGE(OFFSET($H$3,0,0,'Données projet'!$E$11+1,1))</f>
        <v>267.90768140488603</v>
      </c>
      <c r="BJ171" s="60">
        <f t="shared" si="146"/>
        <v>280.25465074992258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4.6111381379887463E-14</v>
      </c>
      <c r="CA171" s="14">
        <f t="shared" si="170"/>
        <v>7.5804141040779151E-13</v>
      </c>
      <c r="CB171" s="22">
        <f t="shared" si="171"/>
        <v>1.4005661123635408E-12</v>
      </c>
      <c r="CC171" s="60">
        <f t="shared" si="119"/>
        <v>288.48730819898594</v>
      </c>
      <c r="CD171" s="60">
        <f ca="1">AVERAGE(OFFSET($CC$3,0,0,'Données projet'!$E$12+1,1))-AVERAGE(OFFSET($H$3,0,0,'Données projet'!$E$12+1,1))</f>
        <v>308.6594206517259</v>
      </c>
      <c r="CE171" s="60">
        <f t="shared" si="148"/>
        <v>258.90832875500325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-5.4092197387944907E-14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397.63792993520934</v>
      </c>
      <c r="CZ171" s="60">
        <f t="shared" si="150"/>
        <v>300.63705521148802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7.626113074366004E-14</v>
      </c>
      <c r="DQ171" s="14">
        <f t="shared" si="176"/>
        <v>1.1823749172251317E-12</v>
      </c>
      <c r="DR171" s="22">
        <f t="shared" si="177"/>
        <v>2.1921244502123119E-12</v>
      </c>
      <c r="DS171" s="60">
        <f t="shared" si="125"/>
        <v>288.48730819898674</v>
      </c>
      <c r="DT171" s="60">
        <f ca="1">AVERAGE(OFFSET($DS$3,0,0,'Données projet'!$E$14+1,1))-AVERAGE(OFFSET($H$3,0,0,'Données projet'!$E$14+1,1))</f>
        <v>343.94240546037798</v>
      </c>
      <c r="DU171" s="60">
        <f t="shared" si="152"/>
        <v>277.30931495079346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2.7890909562325518E-2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2.7890909562325518E-2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-2.8421709430404007E-13</v>
      </c>
      <c r="EK171" s="18">
        <f>EJ171*VLOOKUP('Données projet'!$B$15,Paramètres!$A$1:$I$89,3,0)*VLOOKUP('Données projet'!$B$15,Paramètres!$A$1:$I$89,5,0)</f>
        <v>-2.2168933355715128E-13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308.76306523144956</v>
      </c>
      <c r="EP171" s="60">
        <f t="shared" si="154"/>
        <v>283.28099819802776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-9.9316821433603781E-14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296.01124173332352</v>
      </c>
      <c r="FK171" s="60">
        <f t="shared" si="156"/>
        <v>315.50730924873733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391.18744390931187</v>
      </c>
      <c r="GF171" s="60">
        <f t="shared" si="158"/>
        <v>261.46982358454386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2.9729875642645724E-2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2.9729875642645724E-2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-4.1145540308207271E-13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469.15492079216403</v>
      </c>
      <c r="T172" s="60">
        <f t="shared" si="142"/>
        <v>250.47702091764884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-3.8307916838675739E-13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442.49274132121275</v>
      </c>
      <c r="AO172" s="60">
        <f t="shared" si="144"/>
        <v>237.37463556402756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1.3035332813160495E-13</v>
      </c>
      <c r="BF172" s="14">
        <f t="shared" si="167"/>
        <v>1.8987770485018903E-12</v>
      </c>
      <c r="BG172" s="22">
        <f t="shared" si="168"/>
        <v>3.5340687393033375E-12</v>
      </c>
      <c r="BH172" s="60">
        <f t="shared" si="116"/>
        <v>288.57137590097994</v>
      </c>
      <c r="BI172" s="60">
        <f ca="1">AVERAGE(OFFSET($BH$3,0,0,'Données projet'!$E$11+1,1))-AVERAGE(OFFSET($H$3,0,0,'Données projet'!$E$11+1,1))</f>
        <v>267.90768140488603</v>
      </c>
      <c r="BJ172" s="60">
        <f t="shared" si="146"/>
        <v>280.25465074992258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4.6111381379887463E-14</v>
      </c>
      <c r="CA172" s="14">
        <f t="shared" si="170"/>
        <v>7.5804141040779151E-13</v>
      </c>
      <c r="CB172" s="22">
        <f t="shared" si="171"/>
        <v>1.4005661123635408E-12</v>
      </c>
      <c r="CC172" s="60">
        <f t="shared" si="119"/>
        <v>288.57137590097784</v>
      </c>
      <c r="CD172" s="60">
        <f ca="1">AVERAGE(OFFSET($CC$3,0,0,'Données projet'!$E$12+1,1))-AVERAGE(OFFSET($H$3,0,0,'Données projet'!$E$12+1,1))</f>
        <v>308.6594206517259</v>
      </c>
      <c r="CE172" s="60">
        <f t="shared" si="148"/>
        <v>258.90832875500325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-5.4092197387944907E-14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397.63792993520934</v>
      </c>
      <c r="CZ172" s="60">
        <f t="shared" si="150"/>
        <v>300.63705521148802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7.626113074366004E-14</v>
      </c>
      <c r="DQ172" s="14">
        <f t="shared" si="176"/>
        <v>1.1823749172251317E-12</v>
      </c>
      <c r="DR172" s="22">
        <f t="shared" si="177"/>
        <v>2.1921244502123119E-12</v>
      </c>
      <c r="DS172" s="60">
        <f t="shared" si="125"/>
        <v>288.57137590097864</v>
      </c>
      <c r="DT172" s="60">
        <f ca="1">AVERAGE(OFFSET($DS$3,0,0,'Données projet'!$E$14+1,1))-AVERAGE(OFFSET($H$3,0,0,'Données projet'!$E$14+1,1))</f>
        <v>343.94240546037798</v>
      </c>
      <c r="DU172" s="60">
        <f t="shared" si="152"/>
        <v>277.30931495079346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2.7128231173624538E-2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2.7128231173624538E-2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-2.8421709430404007E-13</v>
      </c>
      <c r="EK172" s="18">
        <f>EJ172*VLOOKUP('Données projet'!$B$15,Paramètres!$A$1:$I$89,3,0)*VLOOKUP('Données projet'!$B$15,Paramètres!$A$1:$I$89,5,0)</f>
        <v>-2.2168933355715128E-13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308.76306523144956</v>
      </c>
      <c r="EP172" s="60">
        <f t="shared" si="154"/>
        <v>283.28099819802776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-9.9316821433603781E-14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296.01124173332352</v>
      </c>
      <c r="FK172" s="60">
        <f t="shared" si="156"/>
        <v>315.50730924873733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391.18744390931187</v>
      </c>
      <c r="GF172" s="60">
        <f t="shared" si="158"/>
        <v>261.46982358454386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2.8916910629771364E-2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2.8916910629771364E-2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-4.1145540308207271E-13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469.15492079216403</v>
      </c>
      <c r="T173" s="60">
        <f t="shared" si="142"/>
        <v>250.47702091764884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-3.8307916838675739E-13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442.49274132121275</v>
      </c>
      <c r="AO173" s="60">
        <f t="shared" si="144"/>
        <v>237.37463556402756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1.3035332813160495E-13</v>
      </c>
      <c r="BF173" s="14">
        <f t="shared" si="167"/>
        <v>1.8987770485018903E-12</v>
      </c>
      <c r="BG173" s="22">
        <f t="shared" si="168"/>
        <v>3.5340687393033375E-12</v>
      </c>
      <c r="BH173" s="60">
        <f t="shared" si="116"/>
        <v>288.65398521628941</v>
      </c>
      <c r="BI173" s="60">
        <f ca="1">AVERAGE(OFFSET($BH$3,0,0,'Données projet'!$E$11+1,1))-AVERAGE(OFFSET($H$3,0,0,'Données projet'!$E$11+1,1))</f>
        <v>267.90768140488603</v>
      </c>
      <c r="BJ173" s="60">
        <f t="shared" si="146"/>
        <v>280.25465074992258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4.6111381379887463E-14</v>
      </c>
      <c r="CA173" s="14">
        <f t="shared" si="170"/>
        <v>7.5804141040779151E-13</v>
      </c>
      <c r="CB173" s="22">
        <f t="shared" si="171"/>
        <v>1.4005661123635408E-12</v>
      </c>
      <c r="CC173" s="60">
        <f t="shared" si="119"/>
        <v>288.65398521628731</v>
      </c>
      <c r="CD173" s="60">
        <f ca="1">AVERAGE(OFFSET($CC$3,0,0,'Données projet'!$E$12+1,1))-AVERAGE(OFFSET($H$3,0,0,'Données projet'!$E$12+1,1))</f>
        <v>308.6594206517259</v>
      </c>
      <c r="CE173" s="60">
        <f t="shared" si="148"/>
        <v>258.90832875500325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-5.4092197387944907E-14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397.63792993520934</v>
      </c>
      <c r="CZ173" s="60">
        <f t="shared" si="150"/>
        <v>300.63705521148802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7.626113074366004E-14</v>
      </c>
      <c r="DQ173" s="14">
        <f t="shared" si="176"/>
        <v>1.1823749172251317E-12</v>
      </c>
      <c r="DR173" s="22">
        <f t="shared" si="177"/>
        <v>2.1921244502123119E-12</v>
      </c>
      <c r="DS173" s="60">
        <f t="shared" si="125"/>
        <v>288.65398521628811</v>
      </c>
      <c r="DT173" s="60">
        <f ca="1">AVERAGE(OFFSET($DS$3,0,0,'Données projet'!$E$14+1,1))-AVERAGE(OFFSET($H$3,0,0,'Données projet'!$E$14+1,1))</f>
        <v>343.94240546037798</v>
      </c>
      <c r="DU173" s="60">
        <f t="shared" si="152"/>
        <v>277.30931495079346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2.6386408265570101E-2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2.6386408265570101E-2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-2.8421709430404007E-13</v>
      </c>
      <c r="EK173" s="18">
        <f>EJ173*VLOOKUP('Données projet'!$B$15,Paramètres!$A$1:$I$89,3,0)*VLOOKUP('Données projet'!$B$15,Paramètres!$A$1:$I$89,5,0)</f>
        <v>-2.2168933355715128E-13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308.76306523144956</v>
      </c>
      <c r="EP173" s="60">
        <f t="shared" si="154"/>
        <v>283.28099819802776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-9.9316821433603781E-14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296.01124173332352</v>
      </c>
      <c r="FK173" s="60">
        <f t="shared" si="156"/>
        <v>315.50730924873733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391.18744390931187</v>
      </c>
      <c r="GF173" s="60">
        <f t="shared" si="158"/>
        <v>261.46982358454386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2.8126176187926028E-2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2.8126176187926028E-2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-4.1145540308207271E-13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469.15492079216403</v>
      </c>
      <c r="T174" s="60">
        <f t="shared" si="142"/>
        <v>250.47702091764884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-3.8307916838675739E-13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442.49274132121275</v>
      </c>
      <c r="AO174" s="60">
        <f t="shared" si="144"/>
        <v>237.37463556402756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1.3035332813160495E-13</v>
      </c>
      <c r="BF174" s="14">
        <f t="shared" si="167"/>
        <v>1.8987770485018903E-12</v>
      </c>
      <c r="BG174" s="22">
        <f t="shared" si="168"/>
        <v>3.5340687393033375E-12</v>
      </c>
      <c r="BH174" s="60">
        <f t="shared" si="116"/>
        <v>288.73516144466504</v>
      </c>
      <c r="BI174" s="60">
        <f ca="1">AVERAGE(OFFSET($BH$3,0,0,'Données projet'!$E$11+1,1))-AVERAGE(OFFSET($H$3,0,0,'Données projet'!$E$11+1,1))</f>
        <v>267.90768140488603</v>
      </c>
      <c r="BJ174" s="60">
        <f t="shared" si="146"/>
        <v>280.25465074992258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4.6111381379887463E-14</v>
      </c>
      <c r="CA174" s="14">
        <f t="shared" si="170"/>
        <v>7.5804141040779151E-13</v>
      </c>
      <c r="CB174" s="22">
        <f t="shared" si="171"/>
        <v>1.4005661123635408E-12</v>
      </c>
      <c r="CC174" s="60">
        <f t="shared" si="119"/>
        <v>288.73516144466294</v>
      </c>
      <c r="CD174" s="60">
        <f ca="1">AVERAGE(OFFSET($CC$3,0,0,'Données projet'!$E$12+1,1))-AVERAGE(OFFSET($H$3,0,0,'Données projet'!$E$12+1,1))</f>
        <v>308.6594206517259</v>
      </c>
      <c r="CE174" s="60">
        <f t="shared" si="148"/>
        <v>258.90832875500325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-5.4092197387944907E-14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397.63792993520934</v>
      </c>
      <c r="CZ174" s="60">
        <f t="shared" si="150"/>
        <v>300.63705521148802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7.626113074366004E-14</v>
      </c>
      <c r="DQ174" s="14">
        <f t="shared" si="176"/>
        <v>1.1823749172251317E-12</v>
      </c>
      <c r="DR174" s="22">
        <f t="shared" si="177"/>
        <v>2.1921244502123119E-12</v>
      </c>
      <c r="DS174" s="60">
        <f t="shared" si="125"/>
        <v>288.73516144466373</v>
      </c>
      <c r="DT174" s="60">
        <f ca="1">AVERAGE(OFFSET($DS$3,0,0,'Données projet'!$E$14+1,1))-AVERAGE(OFFSET($H$3,0,0,'Données projet'!$E$14+1,1))</f>
        <v>343.94240546037798</v>
      </c>
      <c r="DU174" s="60">
        <f t="shared" si="152"/>
        <v>277.30931495079346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2.5664870543947182E-2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2.5664870543947182E-2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-2.8421709430404007E-13</v>
      </c>
      <c r="EK174" s="18">
        <f>EJ174*VLOOKUP('Données projet'!$B$15,Paramètres!$A$1:$I$89,3,0)*VLOOKUP('Données projet'!$B$15,Paramètres!$A$1:$I$89,5,0)</f>
        <v>-2.2168933355715128E-13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308.76306523144956</v>
      </c>
      <c r="EP174" s="60">
        <f t="shared" si="154"/>
        <v>283.28099819802776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-9.9316821433603781E-14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296.01124173332352</v>
      </c>
      <c r="FK174" s="60">
        <f t="shared" si="156"/>
        <v>315.50730924873733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391.18744390931187</v>
      </c>
      <c r="GF174" s="60">
        <f t="shared" si="158"/>
        <v>261.46982358454386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2.7357064420975869E-2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2.7357064420975869E-2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-4.1145540308207271E-13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469.15492079216403</v>
      </c>
      <c r="T175" s="60">
        <f t="shared" si="142"/>
        <v>250.47702091764884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-3.8307916838675739E-13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442.49274132121275</v>
      </c>
      <c r="AO175" s="60">
        <f t="shared" si="144"/>
        <v>237.37463556402756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1.3035332813160495E-13</v>
      </c>
      <c r="BF175" s="14">
        <f t="shared" si="167"/>
        <v>1.8987770485018903E-12</v>
      </c>
      <c r="BG175" s="22">
        <f t="shared" si="168"/>
        <v>3.5340687393033375E-12</v>
      </c>
      <c r="BH175" s="60">
        <f t="shared" si="116"/>
        <v>288.81492944696117</v>
      </c>
      <c r="BI175" s="60">
        <f ca="1">AVERAGE(OFFSET($BH$3,0,0,'Données projet'!$E$11+1,1))-AVERAGE(OFFSET($H$3,0,0,'Données projet'!$E$11+1,1))</f>
        <v>267.90768140488603</v>
      </c>
      <c r="BJ175" s="60">
        <f t="shared" si="146"/>
        <v>280.25465074992258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4.6111381379887463E-14</v>
      </c>
      <c r="CA175" s="14">
        <f t="shared" si="170"/>
        <v>7.5804141040779151E-13</v>
      </c>
      <c r="CB175" s="22">
        <f t="shared" si="171"/>
        <v>1.4005661123635408E-12</v>
      </c>
      <c r="CC175" s="60">
        <f t="shared" si="119"/>
        <v>288.81492944695907</v>
      </c>
      <c r="CD175" s="60">
        <f ca="1">AVERAGE(OFFSET($CC$3,0,0,'Données projet'!$E$12+1,1))-AVERAGE(OFFSET($H$3,0,0,'Données projet'!$E$12+1,1))</f>
        <v>308.6594206517259</v>
      </c>
      <c r="CE175" s="60">
        <f t="shared" si="148"/>
        <v>258.90832875500325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-5.4092197387944907E-14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397.63792993520934</v>
      </c>
      <c r="CZ175" s="60">
        <f t="shared" si="150"/>
        <v>300.63705521148802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7.626113074366004E-14</v>
      </c>
      <c r="DQ175" s="14">
        <f t="shared" si="176"/>
        <v>1.1823749172251317E-12</v>
      </c>
      <c r="DR175" s="22">
        <f t="shared" si="177"/>
        <v>2.1921244502123119E-12</v>
      </c>
      <c r="DS175" s="60">
        <f t="shared" si="125"/>
        <v>288.81492944695987</v>
      </c>
      <c r="DT175" s="60">
        <f ca="1">AVERAGE(OFFSET($DS$3,0,0,'Données projet'!$E$14+1,1))-AVERAGE(OFFSET($H$3,0,0,'Données projet'!$E$14+1,1))</f>
        <v>343.94240546037798</v>
      </c>
      <c r="DU175" s="60">
        <f t="shared" si="152"/>
        <v>277.30931495079346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2.4963063309266061E-2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2.4963063309266061E-2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-2.8421709430404007E-13</v>
      </c>
      <c r="EK175" s="18">
        <f>EJ175*VLOOKUP('Données projet'!$B$15,Paramètres!$A$1:$I$89,3,0)*VLOOKUP('Données projet'!$B$15,Paramètres!$A$1:$I$89,5,0)</f>
        <v>-2.2168933355715128E-13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308.76306523144956</v>
      </c>
      <c r="EP175" s="60">
        <f t="shared" si="154"/>
        <v>283.28099819802776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-9.9316821433603781E-14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296.01124173332352</v>
      </c>
      <c r="FK175" s="60">
        <f t="shared" si="156"/>
        <v>315.50730924873733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391.18744390931187</v>
      </c>
      <c r="GF175" s="60">
        <f t="shared" si="158"/>
        <v>261.46982358454386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2.6608984055738791E-2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2.6608984055738791E-2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-4.1145540308207271E-13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469.15492079216403</v>
      </c>
      <c r="T176" s="60">
        <f t="shared" si="142"/>
        <v>250.47702091764884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-3.8307916838675739E-13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442.49274132121275</v>
      </c>
      <c r="AO176" s="60">
        <f t="shared" si="144"/>
        <v>237.37463556402756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1.3035332813160495E-13</v>
      </c>
      <c r="BF176" s="14">
        <f t="shared" si="167"/>
        <v>1.8987770485018903E-12</v>
      </c>
      <c r="BG176" s="22">
        <f t="shared" si="168"/>
        <v>3.5340687393033375E-12</v>
      </c>
      <c r="BH176" s="60">
        <f t="shared" si="116"/>
        <v>288.893313652752</v>
      </c>
      <c r="BI176" s="60">
        <f ca="1">AVERAGE(OFFSET($BH$3,0,0,'Données projet'!$E$11+1,1))-AVERAGE(OFFSET($H$3,0,0,'Données projet'!$E$11+1,1))</f>
        <v>267.90768140488603</v>
      </c>
      <c r="BJ176" s="60">
        <f t="shared" si="146"/>
        <v>280.25465074992258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4.6111381379887463E-14</v>
      </c>
      <c r="CA176" s="14">
        <f t="shared" si="170"/>
        <v>7.5804141040779151E-13</v>
      </c>
      <c r="CB176" s="22">
        <f t="shared" si="171"/>
        <v>1.4005661123635408E-12</v>
      </c>
      <c r="CC176" s="60">
        <f t="shared" si="119"/>
        <v>288.8933136527499</v>
      </c>
      <c r="CD176" s="60">
        <f ca="1">AVERAGE(OFFSET($CC$3,0,0,'Données projet'!$E$12+1,1))-AVERAGE(OFFSET($H$3,0,0,'Données projet'!$E$12+1,1))</f>
        <v>308.6594206517259</v>
      </c>
      <c r="CE176" s="60">
        <f t="shared" si="148"/>
        <v>258.90832875500325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-5.4092197387944907E-14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397.63792993520934</v>
      </c>
      <c r="CZ176" s="60">
        <f t="shared" si="150"/>
        <v>300.63705521148802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7.626113074366004E-14</v>
      </c>
      <c r="DQ176" s="14">
        <f t="shared" si="176"/>
        <v>1.1823749172251317E-12</v>
      </c>
      <c r="DR176" s="22">
        <f t="shared" si="177"/>
        <v>2.1921244502123119E-12</v>
      </c>
      <c r="DS176" s="60">
        <f t="shared" si="125"/>
        <v>288.89331365275069</v>
      </c>
      <c r="DT176" s="60">
        <f ca="1">AVERAGE(OFFSET($DS$3,0,0,'Données projet'!$E$14+1,1))-AVERAGE(OFFSET($H$3,0,0,'Données projet'!$E$14+1,1))</f>
        <v>343.94240546037798</v>
      </c>
      <c r="DU176" s="60">
        <f t="shared" si="152"/>
        <v>277.30931495079346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2.4280447030323737E-2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2.4280447030323737E-2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-2.8421709430404007E-13</v>
      </c>
      <c r="EK176" s="18">
        <f>EJ176*VLOOKUP('Données projet'!$B$15,Paramètres!$A$1:$I$89,3,0)*VLOOKUP('Données projet'!$B$15,Paramètres!$A$1:$I$89,5,0)</f>
        <v>-2.2168933355715128E-13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308.76306523144956</v>
      </c>
      <c r="EP176" s="60">
        <f t="shared" si="154"/>
        <v>283.28099819802776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-9.9316821433603781E-14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296.01124173332352</v>
      </c>
      <c r="FK176" s="60">
        <f t="shared" si="156"/>
        <v>315.50730924873733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391.18744390931187</v>
      </c>
      <c r="GF176" s="60">
        <f t="shared" si="158"/>
        <v>261.46982358454386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2.5881359987428958E-2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2.5881359987428958E-2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-4.1145540308207271E-13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469.15492079216403</v>
      </c>
      <c r="T177" s="60">
        <f t="shared" si="142"/>
        <v>250.47702091764884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-3.8307916838675739E-13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442.49274132121275</v>
      </c>
      <c r="AO177" s="60">
        <f t="shared" si="144"/>
        <v>237.37463556402756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1.3035332813160495E-13</v>
      </c>
      <c r="BF177" s="14">
        <f t="shared" si="167"/>
        <v>1.8987770485018903E-12</v>
      </c>
      <c r="BG177" s="22">
        <f t="shared" si="168"/>
        <v>3.5340687393033375E-12</v>
      </c>
      <c r="BH177" s="60">
        <f t="shared" si="116"/>
        <v>288.97033806781326</v>
      </c>
      <c r="BI177" s="60">
        <f ca="1">AVERAGE(OFFSET($BH$3,0,0,'Données projet'!$E$11+1,1))-AVERAGE(OFFSET($H$3,0,0,'Données projet'!$E$11+1,1))</f>
        <v>267.90768140488603</v>
      </c>
      <c r="BJ177" s="60">
        <f t="shared" si="146"/>
        <v>280.25465074992258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4.6111381379887463E-14</v>
      </c>
      <c r="CA177" s="14">
        <f t="shared" si="170"/>
        <v>7.5804141040779151E-13</v>
      </c>
      <c r="CB177" s="22">
        <f t="shared" si="171"/>
        <v>1.4005661123635408E-12</v>
      </c>
      <c r="CC177" s="60">
        <f t="shared" si="119"/>
        <v>288.97033806781116</v>
      </c>
      <c r="CD177" s="60">
        <f ca="1">AVERAGE(OFFSET($CC$3,0,0,'Données projet'!$E$12+1,1))-AVERAGE(OFFSET($H$3,0,0,'Données projet'!$E$12+1,1))</f>
        <v>308.6594206517259</v>
      </c>
      <c r="CE177" s="60">
        <f t="shared" si="148"/>
        <v>258.90832875500325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-5.4092197387944907E-14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397.63792993520934</v>
      </c>
      <c r="CZ177" s="60">
        <f t="shared" si="150"/>
        <v>300.63705521148802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7.626113074366004E-14</v>
      </c>
      <c r="DQ177" s="14">
        <f t="shared" si="176"/>
        <v>1.1823749172251317E-12</v>
      </c>
      <c r="DR177" s="22">
        <f t="shared" si="177"/>
        <v>2.1921244502123119E-12</v>
      </c>
      <c r="DS177" s="60">
        <f t="shared" si="125"/>
        <v>288.97033806781195</v>
      </c>
      <c r="DT177" s="60">
        <f ca="1">AVERAGE(OFFSET($DS$3,0,0,'Données projet'!$E$14+1,1))-AVERAGE(OFFSET($H$3,0,0,'Données projet'!$E$14+1,1))</f>
        <v>343.94240546037798</v>
      </c>
      <c r="DU177" s="60">
        <f t="shared" si="152"/>
        <v>277.30931495079346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2.3616496929426318E-2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2.3616496929426318E-2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-2.8421709430404007E-13</v>
      </c>
      <c r="EK177" s="18">
        <f>EJ177*VLOOKUP('Données projet'!$B$15,Paramètres!$A$1:$I$89,3,0)*VLOOKUP('Données projet'!$B$15,Paramètres!$A$1:$I$89,5,0)</f>
        <v>-2.2168933355715128E-13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308.76306523144956</v>
      </c>
      <c r="EP177" s="60">
        <f t="shared" si="154"/>
        <v>283.28099819802776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-9.9316821433603781E-14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296.01124173332352</v>
      </c>
      <c r="FK177" s="60">
        <f t="shared" si="156"/>
        <v>315.50730924873733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391.18744390931187</v>
      </c>
      <c r="GF177" s="60">
        <f t="shared" si="158"/>
        <v>261.46982358454386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2.5173632837531143E-2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2.5173632837531143E-2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-4.1145540308207271E-13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469.15492079216403</v>
      </c>
      <c r="T178" s="60">
        <f t="shared" si="142"/>
        <v>250.47702091764884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-3.8307916838675739E-13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442.49274132121275</v>
      </c>
      <c r="AO178" s="60">
        <f t="shared" si="144"/>
        <v>237.37463556402756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1.3035332813160495E-13</v>
      </c>
      <c r="BF178" s="14">
        <f t="shared" si="167"/>
        <v>1.8987770485018903E-12</v>
      </c>
      <c r="BG178" s="22">
        <f t="shared" si="168"/>
        <v>3.5340687393033375E-12</v>
      </c>
      <c r="BH178" s="60">
        <f t="shared" si="116"/>
        <v>289.04602628147393</v>
      </c>
      <c r="BI178" s="60">
        <f ca="1">AVERAGE(OFFSET($BH$3,0,0,'Données projet'!$E$11+1,1))-AVERAGE(OFFSET($H$3,0,0,'Données projet'!$E$11+1,1))</f>
        <v>267.90768140488603</v>
      </c>
      <c r="BJ178" s="60">
        <f t="shared" si="146"/>
        <v>280.25465074992258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4.6111381379887463E-14</v>
      </c>
      <c r="CA178" s="14">
        <f t="shared" si="170"/>
        <v>7.5804141040779151E-13</v>
      </c>
      <c r="CB178" s="22">
        <f t="shared" si="171"/>
        <v>1.4005661123635408E-12</v>
      </c>
      <c r="CC178" s="60">
        <f t="shared" si="119"/>
        <v>289.04602628147182</v>
      </c>
      <c r="CD178" s="60">
        <f ca="1">AVERAGE(OFFSET($CC$3,0,0,'Données projet'!$E$12+1,1))-AVERAGE(OFFSET($H$3,0,0,'Données projet'!$E$12+1,1))</f>
        <v>308.6594206517259</v>
      </c>
      <c r="CE178" s="60">
        <f t="shared" si="148"/>
        <v>258.90832875500325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-5.4092197387944907E-14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397.63792993520934</v>
      </c>
      <c r="CZ178" s="60">
        <f t="shared" si="150"/>
        <v>300.63705521148802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7.626113074366004E-14</v>
      </c>
      <c r="DQ178" s="14">
        <f t="shared" si="176"/>
        <v>1.1823749172251317E-12</v>
      </c>
      <c r="DR178" s="22">
        <f t="shared" si="177"/>
        <v>2.1921244502123119E-12</v>
      </c>
      <c r="DS178" s="60">
        <f t="shared" si="125"/>
        <v>289.04602628147262</v>
      </c>
      <c r="DT178" s="60">
        <f ca="1">AVERAGE(OFFSET($DS$3,0,0,'Données projet'!$E$14+1,1))-AVERAGE(OFFSET($H$3,0,0,'Données projet'!$E$14+1,1))</f>
        <v>343.94240546037798</v>
      </c>
      <c r="DU178" s="60">
        <f t="shared" si="152"/>
        <v>277.30931495079346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2.2970702578953558E-2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2.2970702578953558E-2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-2.8421709430404007E-13</v>
      </c>
      <c r="EK178" s="18">
        <f>EJ178*VLOOKUP('Données projet'!$B$15,Paramètres!$A$1:$I$89,3,0)*VLOOKUP('Données projet'!$B$15,Paramètres!$A$1:$I$89,5,0)</f>
        <v>-2.2168933355715128E-13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308.76306523144956</v>
      </c>
      <c r="EP178" s="60">
        <f t="shared" si="154"/>
        <v>283.28099819802776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-9.9316821433603781E-14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296.01124173332352</v>
      </c>
      <c r="FK178" s="60">
        <f t="shared" si="156"/>
        <v>315.50730924873733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391.18744390931187</v>
      </c>
      <c r="GF178" s="60">
        <f t="shared" si="158"/>
        <v>261.46982358454386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2.4485258523765038E-2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2.4485258523765038E-2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-4.1145540308207271E-13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469.15492079216403</v>
      </c>
      <c r="T179" s="60">
        <f t="shared" si="142"/>
        <v>250.47702091764884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-3.8307916838675739E-13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442.49274132121275</v>
      </c>
      <c r="AO179" s="60">
        <f t="shared" si="144"/>
        <v>237.37463556402756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1.3035332813160495E-13</v>
      </c>
      <c r="BF179" s="14">
        <f t="shared" si="167"/>
        <v>1.8987770485018903E-12</v>
      </c>
      <c r="BG179" s="22">
        <f t="shared" si="168"/>
        <v>3.5340687393033375E-12</v>
      </c>
      <c r="BH179" s="60">
        <f t="shared" si="116"/>
        <v>289.12040147384113</v>
      </c>
      <c r="BI179" s="60">
        <f ca="1">AVERAGE(OFFSET($BH$3,0,0,'Données projet'!$E$11+1,1))-AVERAGE(OFFSET($H$3,0,0,'Données projet'!$E$11+1,1))</f>
        <v>267.90768140488603</v>
      </c>
      <c r="BJ179" s="60">
        <f t="shared" si="146"/>
        <v>280.25465074992258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4.6111381379887463E-14</v>
      </c>
      <c r="CA179" s="14">
        <f t="shared" si="170"/>
        <v>7.5804141040779151E-13</v>
      </c>
      <c r="CB179" s="22">
        <f t="shared" si="171"/>
        <v>1.4005661123635408E-12</v>
      </c>
      <c r="CC179" s="60">
        <f t="shared" si="119"/>
        <v>289.12040147383902</v>
      </c>
      <c r="CD179" s="60">
        <f ca="1">AVERAGE(OFFSET($CC$3,0,0,'Données projet'!$E$12+1,1))-AVERAGE(OFFSET($H$3,0,0,'Données projet'!$E$12+1,1))</f>
        <v>308.6594206517259</v>
      </c>
      <c r="CE179" s="60">
        <f t="shared" si="148"/>
        <v>258.90832875500325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-5.4092197387944907E-14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397.63792993520934</v>
      </c>
      <c r="CZ179" s="60">
        <f t="shared" si="150"/>
        <v>300.63705521148802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7.626113074366004E-14</v>
      </c>
      <c r="DQ179" s="14">
        <f t="shared" si="176"/>
        <v>1.1823749172251317E-12</v>
      </c>
      <c r="DR179" s="22">
        <f t="shared" si="177"/>
        <v>2.1921244502123119E-12</v>
      </c>
      <c r="DS179" s="60">
        <f t="shared" si="125"/>
        <v>289.12040147383982</v>
      </c>
      <c r="DT179" s="60">
        <f ca="1">AVERAGE(OFFSET($DS$3,0,0,'Données projet'!$E$14+1,1))-AVERAGE(OFFSET($H$3,0,0,'Données projet'!$E$14+1,1))</f>
        <v>343.94240546037798</v>
      </c>
      <c r="DU179" s="60">
        <f t="shared" si="152"/>
        <v>277.30931495079346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2.2342567508955323E-2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2.2342567508955323E-2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-2.8421709430404007E-13</v>
      </c>
      <c r="EK179" s="18">
        <f>EJ179*VLOOKUP('Données projet'!$B$15,Paramètres!$A$1:$I$89,3,0)*VLOOKUP('Données projet'!$B$15,Paramètres!$A$1:$I$89,5,0)</f>
        <v>-2.2168933355715128E-13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308.76306523144956</v>
      </c>
      <c r="EP179" s="60">
        <f t="shared" si="154"/>
        <v>283.28099819802776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-9.9316821433603781E-14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296.01124173332352</v>
      </c>
      <c r="FK179" s="60">
        <f t="shared" si="156"/>
        <v>315.50730924873733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391.18744390931187</v>
      </c>
      <c r="GF179" s="60">
        <f t="shared" si="158"/>
        <v>261.46982358454386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2.3815707841808899E-2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2.3815707841808899E-2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-4.1145540308207271E-13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469.15492079216403</v>
      </c>
      <c r="T180" s="60">
        <f t="shared" si="142"/>
        <v>250.47702091764884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-3.8307916838675739E-13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442.49274132121275</v>
      </c>
      <c r="AO180" s="60">
        <f t="shared" si="144"/>
        <v>237.37463556402756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1.3035332813160495E-13</v>
      </c>
      <c r="BF180" s="14">
        <f t="shared" si="167"/>
        <v>1.8987770485018903E-12</v>
      </c>
      <c r="BG180" s="22">
        <f t="shared" si="168"/>
        <v>3.5340687393033375E-12</v>
      </c>
      <c r="BH180" s="60">
        <f t="shared" si="116"/>
        <v>289.19348642289879</v>
      </c>
      <c r="BI180" s="60">
        <f ca="1">AVERAGE(OFFSET($BH$3,0,0,'Données projet'!$E$11+1,1))-AVERAGE(OFFSET($H$3,0,0,'Données projet'!$E$11+1,1))</f>
        <v>267.90768140488603</v>
      </c>
      <c r="BJ180" s="60">
        <f t="shared" si="146"/>
        <v>280.25465074992258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4.6111381379887463E-14</v>
      </c>
      <c r="CA180" s="14">
        <f t="shared" si="170"/>
        <v>7.5804141040779151E-13</v>
      </c>
      <c r="CB180" s="22">
        <f t="shared" si="171"/>
        <v>1.4005661123635408E-12</v>
      </c>
      <c r="CC180" s="60">
        <f t="shared" si="119"/>
        <v>289.19348642289668</v>
      </c>
      <c r="CD180" s="60">
        <f ca="1">AVERAGE(OFFSET($CC$3,0,0,'Données projet'!$E$12+1,1))-AVERAGE(OFFSET($H$3,0,0,'Données projet'!$E$12+1,1))</f>
        <v>308.6594206517259</v>
      </c>
      <c r="CE180" s="60">
        <f t="shared" si="148"/>
        <v>258.90832875500325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-5.4092197387944907E-14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397.63792993520934</v>
      </c>
      <c r="CZ180" s="60">
        <f t="shared" si="150"/>
        <v>300.63705521148802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7.626113074366004E-14</v>
      </c>
      <c r="DQ180" s="14">
        <f t="shared" si="176"/>
        <v>1.1823749172251317E-12</v>
      </c>
      <c r="DR180" s="22">
        <f t="shared" si="177"/>
        <v>2.1921244502123119E-12</v>
      </c>
      <c r="DS180" s="60">
        <f t="shared" si="125"/>
        <v>289.19348642289748</v>
      </c>
      <c r="DT180" s="60">
        <f ca="1">AVERAGE(OFFSET($DS$3,0,0,'Données projet'!$E$14+1,1))-AVERAGE(OFFSET($H$3,0,0,'Données projet'!$E$14+1,1))</f>
        <v>343.94240546037798</v>
      </c>
      <c r="DU180" s="60">
        <f t="shared" si="152"/>
        <v>277.30931495079346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2.173160882547838E-2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2.173160882547838E-2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-2.8421709430404007E-13</v>
      </c>
      <c r="EK180" s="18">
        <f>EJ180*VLOOKUP('Données projet'!$B$15,Paramètres!$A$1:$I$89,3,0)*VLOOKUP('Données projet'!$B$15,Paramètres!$A$1:$I$89,5,0)</f>
        <v>-2.2168933355715128E-13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308.76306523144956</v>
      </c>
      <c r="EP180" s="60">
        <f t="shared" si="154"/>
        <v>283.28099819802776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-9.9316821433603781E-14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296.01124173332352</v>
      </c>
      <c r="FK180" s="60">
        <f t="shared" si="156"/>
        <v>315.50730924873733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391.18744390931187</v>
      </c>
      <c r="GF180" s="60">
        <f t="shared" si="158"/>
        <v>261.46982358454386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2.3164466058460991E-2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2.3164466058460991E-2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-4.1145540308207271E-13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469.15492079216403</v>
      </c>
      <c r="T181" s="60">
        <f t="shared" si="142"/>
        <v>250.47702091764884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-3.8307916838675739E-13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442.49274132121275</v>
      </c>
      <c r="AO181" s="60">
        <f t="shared" si="144"/>
        <v>237.37463556402756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1.3035332813160495E-13</v>
      </c>
      <c r="BF181" s="14">
        <f t="shared" si="167"/>
        <v>1.8987770485018903E-12</v>
      </c>
      <c r="BG181" s="22">
        <f t="shared" si="168"/>
        <v>3.5340687393033375E-12</v>
      </c>
      <c r="BH181" s="60">
        <f t="shared" si="116"/>
        <v>289.26530351148369</v>
      </c>
      <c r="BI181" s="60">
        <f ca="1">AVERAGE(OFFSET($BH$3,0,0,'Données projet'!$E$11+1,1))-AVERAGE(OFFSET($H$3,0,0,'Données projet'!$E$11+1,1))</f>
        <v>267.90768140488603</v>
      </c>
      <c r="BJ181" s="60">
        <f t="shared" si="146"/>
        <v>280.25465074992258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4.6111381379887463E-14</v>
      </c>
      <c r="CA181" s="14">
        <f t="shared" si="170"/>
        <v>7.5804141040779151E-13</v>
      </c>
      <c r="CB181" s="22">
        <f t="shared" si="171"/>
        <v>1.4005661123635408E-12</v>
      </c>
      <c r="CC181" s="60">
        <f t="shared" si="119"/>
        <v>289.26530351148159</v>
      </c>
      <c r="CD181" s="60">
        <f ca="1">AVERAGE(OFFSET($CC$3,0,0,'Données projet'!$E$12+1,1))-AVERAGE(OFFSET($H$3,0,0,'Données projet'!$E$12+1,1))</f>
        <v>308.6594206517259</v>
      </c>
      <c r="CE181" s="60">
        <f t="shared" si="148"/>
        <v>258.90832875500325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-5.4092197387944907E-14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397.63792993520934</v>
      </c>
      <c r="CZ181" s="60">
        <f t="shared" si="150"/>
        <v>300.63705521148802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7.626113074366004E-14</v>
      </c>
      <c r="DQ181" s="14">
        <f t="shared" si="176"/>
        <v>1.1823749172251317E-12</v>
      </c>
      <c r="DR181" s="22">
        <f t="shared" si="177"/>
        <v>2.1921244502123119E-12</v>
      </c>
      <c r="DS181" s="60">
        <f t="shared" si="125"/>
        <v>289.26530351148239</v>
      </c>
      <c r="DT181" s="60">
        <f ca="1">AVERAGE(OFFSET($DS$3,0,0,'Données projet'!$E$14+1,1))-AVERAGE(OFFSET($H$3,0,0,'Données projet'!$E$14+1,1))</f>
        <v>343.94240546037798</v>
      </c>
      <c r="DU181" s="60">
        <f t="shared" si="152"/>
        <v>277.30931495079346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2.1137356839330032E-2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2.1137356839330032E-2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-2.8421709430404007E-13</v>
      </c>
      <c r="EK181" s="18">
        <f>EJ181*VLOOKUP('Données projet'!$B$15,Paramètres!$A$1:$I$89,3,0)*VLOOKUP('Données projet'!$B$15,Paramètres!$A$1:$I$89,5,0)</f>
        <v>-2.2168933355715128E-13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308.76306523144956</v>
      </c>
      <c r="EP181" s="60">
        <f t="shared" si="154"/>
        <v>283.28099819802776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-9.9316821433603781E-14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296.01124173332352</v>
      </c>
      <c r="FK181" s="60">
        <f t="shared" si="156"/>
        <v>315.50730924873733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391.18744390931187</v>
      </c>
      <c r="GF181" s="60">
        <f t="shared" si="158"/>
        <v>261.46982358454386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2.2531032515926048E-2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2.2531032515926048E-2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-4.1145540308207271E-13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469.15492079216403</v>
      </c>
      <c r="T182" s="60">
        <f t="shared" si="142"/>
        <v>250.47702091764884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-3.8307916838675739E-13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442.49274132121275</v>
      </c>
      <c r="AO182" s="60">
        <f t="shared" si="144"/>
        <v>237.37463556402756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1.3035332813160495E-13</v>
      </c>
      <c r="BF182" s="14">
        <f t="shared" si="167"/>
        <v>1.8987770485018903E-12</v>
      </c>
      <c r="BG182" s="22">
        <f t="shared" si="168"/>
        <v>3.5340687393033375E-12</v>
      </c>
      <c r="BH182" s="60">
        <f t="shared" si="116"/>
        <v>289.33587473414065</v>
      </c>
      <c r="BI182" s="60">
        <f ca="1">AVERAGE(OFFSET($BH$3,0,0,'Données projet'!$E$11+1,1))-AVERAGE(OFFSET($H$3,0,0,'Données projet'!$E$11+1,1))</f>
        <v>267.90768140488603</v>
      </c>
      <c r="BJ182" s="60">
        <f t="shared" si="146"/>
        <v>280.25465074992258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4.6111381379887463E-14</v>
      </c>
      <c r="CA182" s="14">
        <f t="shared" si="170"/>
        <v>7.5804141040779151E-13</v>
      </c>
      <c r="CB182" s="22">
        <f t="shared" si="171"/>
        <v>1.4005661123635408E-12</v>
      </c>
      <c r="CC182" s="60">
        <f t="shared" si="119"/>
        <v>289.33587473413854</v>
      </c>
      <c r="CD182" s="60">
        <f ca="1">AVERAGE(OFFSET($CC$3,0,0,'Données projet'!$E$12+1,1))-AVERAGE(OFFSET($H$3,0,0,'Données projet'!$E$12+1,1))</f>
        <v>308.6594206517259</v>
      </c>
      <c r="CE182" s="60">
        <f t="shared" si="148"/>
        <v>258.90832875500325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-5.4092197387944907E-14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397.63792993520934</v>
      </c>
      <c r="CZ182" s="60">
        <f t="shared" si="150"/>
        <v>300.63705521148802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7.626113074366004E-14</v>
      </c>
      <c r="DQ182" s="14">
        <f t="shared" si="176"/>
        <v>1.1823749172251317E-12</v>
      </c>
      <c r="DR182" s="22">
        <f t="shared" si="177"/>
        <v>2.1921244502123119E-12</v>
      </c>
      <c r="DS182" s="60">
        <f t="shared" si="125"/>
        <v>289.33587473413934</v>
      </c>
      <c r="DT182" s="60">
        <f ca="1">AVERAGE(OFFSET($DS$3,0,0,'Données projet'!$E$14+1,1))-AVERAGE(OFFSET($H$3,0,0,'Données projet'!$E$14+1,1))</f>
        <v>343.94240546037798</v>
      </c>
      <c r="DU182" s="60">
        <f t="shared" si="152"/>
        <v>277.30931495079346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2.0559354704993267E-2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2.0559354704993267E-2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-2.8421709430404007E-13</v>
      </c>
      <c r="EK182" s="18">
        <f>EJ182*VLOOKUP('Données projet'!$B$15,Paramètres!$A$1:$I$89,3,0)*VLOOKUP('Données projet'!$B$15,Paramètres!$A$1:$I$89,5,0)</f>
        <v>-2.2168933355715128E-13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308.76306523144956</v>
      </c>
      <c r="EP182" s="60">
        <f t="shared" si="154"/>
        <v>283.28099819802776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-9.9316821433603781E-14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296.01124173332352</v>
      </c>
      <c r="FK182" s="60">
        <f t="shared" si="156"/>
        <v>315.50730924873733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391.18744390931187</v>
      </c>
      <c r="GF182" s="60">
        <f t="shared" si="158"/>
        <v>261.46982358454386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2.1914920246922546E-2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2.1914920246922546E-2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-4.1145540308207271E-13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469.15492079216403</v>
      </c>
      <c r="T183" s="60">
        <f t="shared" si="142"/>
        <v>250.47702091764884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-3.8307916838675739E-13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442.49274132121275</v>
      </c>
      <c r="AO183" s="60">
        <f t="shared" si="144"/>
        <v>237.37463556402756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1.3035332813160495E-13</v>
      </c>
      <c r="BF183" s="14">
        <f t="shared" si="167"/>
        <v>1.8987770485018903E-12</v>
      </c>
      <c r="BG183" s="22">
        <f t="shared" si="168"/>
        <v>3.5340687393033375E-12</v>
      </c>
      <c r="BH183" s="60">
        <f t="shared" si="116"/>
        <v>289.40522170385816</v>
      </c>
      <c r="BI183" s="60">
        <f ca="1">AVERAGE(OFFSET($BH$3,0,0,'Données projet'!$E$11+1,1))-AVERAGE(OFFSET($H$3,0,0,'Données projet'!$E$11+1,1))</f>
        <v>267.90768140488603</v>
      </c>
      <c r="BJ183" s="60">
        <f t="shared" si="146"/>
        <v>280.25465074992258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4.6111381379887463E-14</v>
      </c>
      <c r="CA183" s="14">
        <f t="shared" si="170"/>
        <v>7.5804141040779151E-13</v>
      </c>
      <c r="CB183" s="22">
        <f t="shared" si="171"/>
        <v>1.4005661123635408E-12</v>
      </c>
      <c r="CC183" s="60">
        <f t="shared" si="119"/>
        <v>289.40522170385606</v>
      </c>
      <c r="CD183" s="60">
        <f ca="1">AVERAGE(OFFSET($CC$3,0,0,'Données projet'!$E$12+1,1))-AVERAGE(OFFSET($H$3,0,0,'Données projet'!$E$12+1,1))</f>
        <v>308.6594206517259</v>
      </c>
      <c r="CE183" s="60">
        <f t="shared" si="148"/>
        <v>258.90832875500325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-5.4092197387944907E-14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397.63792993520934</v>
      </c>
      <c r="CZ183" s="60">
        <f t="shared" si="150"/>
        <v>300.63705521148802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7.626113074366004E-14</v>
      </c>
      <c r="DQ183" s="14">
        <f t="shared" si="176"/>
        <v>1.1823749172251317E-12</v>
      </c>
      <c r="DR183" s="22">
        <f t="shared" si="177"/>
        <v>2.1921244502123119E-12</v>
      </c>
      <c r="DS183" s="60">
        <f t="shared" si="125"/>
        <v>289.40522170385685</v>
      </c>
      <c r="DT183" s="60">
        <f ca="1">AVERAGE(OFFSET($DS$3,0,0,'Données projet'!$E$14+1,1))-AVERAGE(OFFSET($H$3,0,0,'Données projet'!$E$14+1,1))</f>
        <v>343.94240546037798</v>
      </c>
      <c r="DU183" s="60">
        <f t="shared" si="152"/>
        <v>277.30931495079346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1.9997158069415752E-2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1.9997158069415752E-2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-2.8421709430404007E-13</v>
      </c>
      <c r="EK183" s="18">
        <f>EJ183*VLOOKUP('Données projet'!$B$15,Paramètres!$A$1:$I$89,3,0)*VLOOKUP('Données projet'!$B$15,Paramètres!$A$1:$I$89,5,0)</f>
        <v>-2.2168933355715128E-13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308.76306523144956</v>
      </c>
      <c r="EP183" s="60">
        <f t="shared" si="154"/>
        <v>283.28099819802776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-9.9316821433603781E-14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296.01124173332352</v>
      </c>
      <c r="FK183" s="60">
        <f t="shared" si="156"/>
        <v>315.50730924873733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391.18744390931187</v>
      </c>
      <c r="GF183" s="60">
        <f t="shared" si="158"/>
        <v>261.46982358454386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2.131565560031488E-2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2.131565560031488E-2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-4.1145540308207271E-13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469.15492079216403</v>
      </c>
      <c r="T184" s="60">
        <f t="shared" si="142"/>
        <v>250.47702091764884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-3.8307916838675739E-13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442.49274132121275</v>
      </c>
      <c r="AO184" s="60">
        <f t="shared" si="144"/>
        <v>237.37463556402756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1.3035332813160495E-13</v>
      </c>
      <c r="BF184" s="14">
        <f t="shared" si="167"/>
        <v>1.8987770485018903E-12</v>
      </c>
      <c r="BG184" s="22">
        <f t="shared" si="168"/>
        <v>3.5340687393033375E-12</v>
      </c>
      <c r="BH184" s="60">
        <f t="shared" si="116"/>
        <v>289.47336565868761</v>
      </c>
      <c r="BI184" s="60">
        <f ca="1">AVERAGE(OFFSET($BH$3,0,0,'Données projet'!$E$11+1,1))-AVERAGE(OFFSET($H$3,0,0,'Données projet'!$E$11+1,1))</f>
        <v>267.90768140488603</v>
      </c>
      <c r="BJ184" s="60">
        <f t="shared" si="146"/>
        <v>280.25465074992258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4.6111381379887463E-14</v>
      </c>
      <c r="CA184" s="14">
        <f t="shared" si="170"/>
        <v>7.5804141040779151E-13</v>
      </c>
      <c r="CB184" s="22">
        <f t="shared" si="171"/>
        <v>1.4005661123635408E-12</v>
      </c>
      <c r="CC184" s="60">
        <f t="shared" si="119"/>
        <v>289.47336565868551</v>
      </c>
      <c r="CD184" s="60">
        <f ca="1">AVERAGE(OFFSET($CC$3,0,0,'Données projet'!$E$12+1,1))-AVERAGE(OFFSET($H$3,0,0,'Données projet'!$E$12+1,1))</f>
        <v>308.6594206517259</v>
      </c>
      <c r="CE184" s="60">
        <f t="shared" si="148"/>
        <v>258.90832875500325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-5.4092197387944907E-14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397.63792993520934</v>
      </c>
      <c r="CZ184" s="60">
        <f t="shared" si="150"/>
        <v>300.63705521148802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7.626113074366004E-14</v>
      </c>
      <c r="DQ184" s="14">
        <f t="shared" si="176"/>
        <v>1.1823749172251317E-12</v>
      </c>
      <c r="DR184" s="22">
        <f t="shared" si="177"/>
        <v>2.1921244502123119E-12</v>
      </c>
      <c r="DS184" s="60">
        <f t="shared" si="125"/>
        <v>289.4733656586863</v>
      </c>
      <c r="DT184" s="60">
        <f ca="1">AVERAGE(OFFSET($DS$3,0,0,'Données projet'!$E$14+1,1))-AVERAGE(OFFSET($H$3,0,0,'Données projet'!$E$14+1,1))</f>
        <v>343.94240546037798</v>
      </c>
      <c r="DU184" s="60">
        <f t="shared" si="152"/>
        <v>277.30931495079346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1.9450334730402738E-2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1.9450334730402738E-2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-2.8421709430404007E-13</v>
      </c>
      <c r="EK184" s="18">
        <f>EJ184*VLOOKUP('Données projet'!$B$15,Paramètres!$A$1:$I$89,3,0)*VLOOKUP('Données projet'!$B$15,Paramètres!$A$1:$I$89,5,0)</f>
        <v>-2.2168933355715128E-13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308.76306523144956</v>
      </c>
      <c r="EP184" s="60">
        <f t="shared" si="154"/>
        <v>283.28099819802776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-9.9316821433603781E-14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296.01124173332352</v>
      </c>
      <c r="FK184" s="60">
        <f t="shared" si="156"/>
        <v>315.50730924873733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391.18744390931187</v>
      </c>
      <c r="GF184" s="60">
        <f t="shared" si="158"/>
        <v>261.46982358454386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2.0732777876982661E-2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2.0732777876982661E-2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-4.1145540308207271E-13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469.15492079216403</v>
      </c>
      <c r="T185" s="60">
        <f t="shared" si="142"/>
        <v>250.47702091764884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-3.8307916838675739E-13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442.49274132121275</v>
      </c>
      <c r="AO185" s="60">
        <f t="shared" si="144"/>
        <v>237.37463556402756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1.3035332813160495E-13</v>
      </c>
      <c r="BF185" s="14">
        <f t="shared" si="167"/>
        <v>1.8987770485018903E-12</v>
      </c>
      <c r="BG185" s="22">
        <f t="shared" si="168"/>
        <v>3.5340687393033375E-12</v>
      </c>
      <c r="BH185" s="60">
        <f t="shared" si="116"/>
        <v>289.54032746824794</v>
      </c>
      <c r="BI185" s="60">
        <f ca="1">AVERAGE(OFFSET($BH$3,0,0,'Données projet'!$E$11+1,1))-AVERAGE(OFFSET($H$3,0,0,'Données projet'!$E$11+1,1))</f>
        <v>267.90768140488603</v>
      </c>
      <c r="BJ185" s="60">
        <f t="shared" si="146"/>
        <v>280.25465074992258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4.6111381379887463E-14</v>
      </c>
      <c r="CA185" s="14">
        <f t="shared" si="170"/>
        <v>7.5804141040779151E-13</v>
      </c>
      <c r="CB185" s="22">
        <f t="shared" si="171"/>
        <v>1.4005661123635408E-12</v>
      </c>
      <c r="CC185" s="60">
        <f t="shared" si="119"/>
        <v>289.54032746824583</v>
      </c>
      <c r="CD185" s="60">
        <f ca="1">AVERAGE(OFFSET($CC$3,0,0,'Données projet'!$E$12+1,1))-AVERAGE(OFFSET($H$3,0,0,'Données projet'!$E$12+1,1))</f>
        <v>308.6594206517259</v>
      </c>
      <c r="CE185" s="60">
        <f t="shared" si="148"/>
        <v>258.90832875500325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-5.4092197387944907E-14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397.63792993520934</v>
      </c>
      <c r="CZ185" s="60">
        <f t="shared" si="150"/>
        <v>300.63705521148802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7.626113074366004E-14</v>
      </c>
      <c r="DQ185" s="14">
        <f t="shared" si="176"/>
        <v>1.1823749172251317E-12</v>
      </c>
      <c r="DR185" s="22">
        <f t="shared" si="177"/>
        <v>2.1921244502123119E-12</v>
      </c>
      <c r="DS185" s="60">
        <f t="shared" si="125"/>
        <v>289.54032746824663</v>
      </c>
      <c r="DT185" s="60">
        <f ca="1">AVERAGE(OFFSET($DS$3,0,0,'Données projet'!$E$14+1,1))-AVERAGE(OFFSET($H$3,0,0,'Données projet'!$E$14+1,1))</f>
        <v>343.94240546037798</v>
      </c>
      <c r="DU185" s="60">
        <f t="shared" si="152"/>
        <v>277.30931495079346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1.8918464304351228E-2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1.8918464304351228E-2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-2.8421709430404007E-13</v>
      </c>
      <c r="EK185" s="18">
        <f>EJ185*VLOOKUP('Données projet'!$B$15,Paramètres!$A$1:$I$89,3,0)*VLOOKUP('Données projet'!$B$15,Paramètres!$A$1:$I$89,5,0)</f>
        <v>-2.2168933355715128E-13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308.76306523144956</v>
      </c>
      <c r="EP185" s="60">
        <f t="shared" si="154"/>
        <v>283.28099819802776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-9.9316821433603781E-14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296.01124173332352</v>
      </c>
      <c r="FK185" s="60">
        <f t="shared" si="156"/>
        <v>315.50730924873733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391.18744390931187</v>
      </c>
      <c r="GF185" s="60">
        <f t="shared" si="158"/>
        <v>261.46982358454386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2.0165838975647166E-2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2.0165838975647166E-2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-4.1145540308207271E-13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469.15492079216403</v>
      </c>
      <c r="T186" s="60">
        <f t="shared" si="142"/>
        <v>250.47702091764884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-3.8307916838675739E-13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442.49274132121275</v>
      </c>
      <c r="AO186" s="60">
        <f t="shared" si="144"/>
        <v>237.37463556402756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1.3035332813160495E-13</v>
      </c>
      <c r="BF186" s="14">
        <f t="shared" si="167"/>
        <v>1.8987770485018903E-12</v>
      </c>
      <c r="BG186" s="22">
        <f t="shared" si="168"/>
        <v>3.5340687393033375E-12</v>
      </c>
      <c r="BH186" s="60">
        <f t="shared" si="116"/>
        <v>289.60612764011648</v>
      </c>
      <c r="BI186" s="60">
        <f ca="1">AVERAGE(OFFSET($BH$3,0,0,'Données projet'!$E$11+1,1))-AVERAGE(OFFSET($H$3,0,0,'Données projet'!$E$11+1,1))</f>
        <v>267.90768140488603</v>
      </c>
      <c r="BJ186" s="60">
        <f t="shared" si="146"/>
        <v>280.25465074992258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4.6111381379887463E-14</v>
      </c>
      <c r="CA186" s="14">
        <f t="shared" si="170"/>
        <v>7.5804141040779151E-13</v>
      </c>
      <c r="CB186" s="22">
        <f t="shared" si="171"/>
        <v>1.4005661123635408E-12</v>
      </c>
      <c r="CC186" s="60">
        <f t="shared" si="119"/>
        <v>289.60612764011438</v>
      </c>
      <c r="CD186" s="60">
        <f ca="1">AVERAGE(OFFSET($CC$3,0,0,'Données projet'!$E$12+1,1))-AVERAGE(OFFSET($H$3,0,0,'Données projet'!$E$12+1,1))</f>
        <v>308.6594206517259</v>
      </c>
      <c r="CE186" s="60">
        <f t="shared" si="148"/>
        <v>258.90832875500325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-5.4092197387944907E-14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397.63792993520934</v>
      </c>
      <c r="CZ186" s="60">
        <f t="shared" si="150"/>
        <v>300.63705521148802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7.626113074366004E-14</v>
      </c>
      <c r="DQ186" s="14">
        <f t="shared" si="176"/>
        <v>1.1823749172251317E-12</v>
      </c>
      <c r="DR186" s="22">
        <f t="shared" si="177"/>
        <v>2.1921244502123119E-12</v>
      </c>
      <c r="DS186" s="60">
        <f t="shared" si="125"/>
        <v>289.60612764011518</v>
      </c>
      <c r="DT186" s="60">
        <f ca="1">AVERAGE(OFFSET($DS$3,0,0,'Données projet'!$E$14+1,1))-AVERAGE(OFFSET($H$3,0,0,'Données projet'!$E$14+1,1))</f>
        <v>343.94240546037798</v>
      </c>
      <c r="DU186" s="60">
        <f t="shared" si="152"/>
        <v>277.30931495079346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1.8401137903069943E-2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1.8401137903069943E-2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-2.8421709430404007E-13</v>
      </c>
      <c r="EK186" s="18">
        <f>EJ186*VLOOKUP('Données projet'!$B$15,Paramètres!$A$1:$I$89,3,0)*VLOOKUP('Données projet'!$B$15,Paramètres!$A$1:$I$89,5,0)</f>
        <v>-2.2168933355715128E-13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308.76306523144956</v>
      </c>
      <c r="EP186" s="60">
        <f t="shared" si="154"/>
        <v>283.28099819802776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-9.9316821433603781E-14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296.01124173332352</v>
      </c>
      <c r="FK186" s="60">
        <f t="shared" si="156"/>
        <v>315.50730924873733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391.18744390931187</v>
      </c>
      <c r="GF186" s="60">
        <f t="shared" si="158"/>
        <v>261.46982358454386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1.9614403048382714E-2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1.9614403048382714E-2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-4.1145540308207271E-13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469.15492079216403</v>
      </c>
      <c r="T187" s="60">
        <f t="shared" si="142"/>
        <v>250.47702091764884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-3.8307916838675739E-13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442.49274132121275</v>
      </c>
      <c r="AO187" s="60">
        <f t="shared" si="144"/>
        <v>237.37463556402756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1.3035332813160495E-13</v>
      </c>
      <c r="BF187" s="14">
        <f t="shared" si="167"/>
        <v>1.8987770485018903E-12</v>
      </c>
      <c r="BG187" s="22">
        <f t="shared" si="168"/>
        <v>3.5340687393033375E-12</v>
      </c>
      <c r="BH187" s="60">
        <f t="shared" si="116"/>
        <v>289.67078632611026</v>
      </c>
      <c r="BI187" s="60">
        <f ca="1">AVERAGE(OFFSET($BH$3,0,0,'Données projet'!$E$11+1,1))-AVERAGE(OFFSET($H$3,0,0,'Données projet'!$E$11+1,1))</f>
        <v>267.90768140488603</v>
      </c>
      <c r="BJ187" s="60">
        <f t="shared" si="146"/>
        <v>280.25465074992258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4.6111381379887463E-14</v>
      </c>
      <c r="CA187" s="14">
        <f t="shared" si="170"/>
        <v>7.5804141040779151E-13</v>
      </c>
      <c r="CB187" s="22">
        <f t="shared" si="171"/>
        <v>1.4005661123635408E-12</v>
      </c>
      <c r="CC187" s="60">
        <f t="shared" si="119"/>
        <v>289.67078632610816</v>
      </c>
      <c r="CD187" s="60">
        <f ca="1">AVERAGE(OFFSET($CC$3,0,0,'Données projet'!$E$12+1,1))-AVERAGE(OFFSET($H$3,0,0,'Données projet'!$E$12+1,1))</f>
        <v>308.6594206517259</v>
      </c>
      <c r="CE187" s="60">
        <f t="shared" si="148"/>
        <v>258.90832875500325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-5.4092197387944907E-14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397.63792993520934</v>
      </c>
      <c r="CZ187" s="60">
        <f t="shared" si="150"/>
        <v>300.63705521148802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7.626113074366004E-14</v>
      </c>
      <c r="DQ187" s="14">
        <f t="shared" si="176"/>
        <v>1.1823749172251317E-12</v>
      </c>
      <c r="DR187" s="22">
        <f t="shared" si="177"/>
        <v>2.1921244502123119E-12</v>
      </c>
      <c r="DS187" s="60">
        <f t="shared" si="125"/>
        <v>289.67078632610895</v>
      </c>
      <c r="DT187" s="60">
        <f ca="1">AVERAGE(OFFSET($DS$3,0,0,'Données projet'!$E$14+1,1))-AVERAGE(OFFSET($H$3,0,0,'Données projet'!$E$14+1,1))</f>
        <v>343.94240546037798</v>
      </c>
      <c r="DU187" s="60">
        <f t="shared" si="152"/>
        <v>277.30931495079346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1.7897957819436709E-2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1.7897957819436709E-2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-2.8421709430404007E-13</v>
      </c>
      <c r="EK187" s="18">
        <f>EJ187*VLOOKUP('Données projet'!$B$15,Paramètres!$A$1:$I$89,3,0)*VLOOKUP('Données projet'!$B$15,Paramètres!$A$1:$I$89,5,0)</f>
        <v>-2.2168933355715128E-13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308.76306523144956</v>
      </c>
      <c r="EP187" s="60">
        <f t="shared" si="154"/>
        <v>283.28099819802776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-9.9316821433603781E-14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296.01124173332352</v>
      </c>
      <c r="FK187" s="60">
        <f t="shared" si="156"/>
        <v>315.50730924873733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391.18744390931187</v>
      </c>
      <c r="GF187" s="60">
        <f t="shared" si="158"/>
        <v>261.46982358454386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1.9078046165548063E-2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1.9078046165548063E-2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-4.1145540308207271E-13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469.15492079216403</v>
      </c>
      <c r="T188" s="60">
        <f t="shared" si="142"/>
        <v>250.47702091764884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-3.8307916838675739E-13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442.49274132121275</v>
      </c>
      <c r="AO188" s="60">
        <f t="shared" si="144"/>
        <v>237.37463556402756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1.3035332813160495E-13</v>
      </c>
      <c r="BF188" s="14">
        <f t="shared" si="167"/>
        <v>1.8987770485018903E-12</v>
      </c>
      <c r="BG188" s="22">
        <f t="shared" si="168"/>
        <v>3.5340687393033375E-12</v>
      </c>
      <c r="BH188" s="60">
        <f t="shared" si="116"/>
        <v>289.73432332845726</v>
      </c>
      <c r="BI188" s="60">
        <f ca="1">AVERAGE(OFFSET($BH$3,0,0,'Données projet'!$E$11+1,1))-AVERAGE(OFFSET($H$3,0,0,'Données projet'!$E$11+1,1))</f>
        <v>267.90768140488603</v>
      </c>
      <c r="BJ188" s="60">
        <f t="shared" si="146"/>
        <v>280.25465074992258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4.6111381379887463E-14</v>
      </c>
      <c r="CA188" s="14">
        <f t="shared" si="170"/>
        <v>7.5804141040779151E-13</v>
      </c>
      <c r="CB188" s="22">
        <f t="shared" si="171"/>
        <v>1.4005661123635408E-12</v>
      </c>
      <c r="CC188" s="60">
        <f t="shared" si="119"/>
        <v>289.73432332845516</v>
      </c>
      <c r="CD188" s="60">
        <f ca="1">AVERAGE(OFFSET($CC$3,0,0,'Données projet'!$E$12+1,1))-AVERAGE(OFFSET($H$3,0,0,'Données projet'!$E$12+1,1))</f>
        <v>308.6594206517259</v>
      </c>
      <c r="CE188" s="60">
        <f t="shared" si="148"/>
        <v>258.90832875500325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-5.4092197387944907E-14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397.63792993520934</v>
      </c>
      <c r="CZ188" s="60">
        <f t="shared" si="150"/>
        <v>300.63705521148802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7.626113074366004E-14</v>
      </c>
      <c r="DQ188" s="14">
        <f t="shared" si="176"/>
        <v>1.1823749172251317E-12</v>
      </c>
      <c r="DR188" s="22">
        <f t="shared" si="177"/>
        <v>2.1921244502123119E-12</v>
      </c>
      <c r="DS188" s="60">
        <f t="shared" si="125"/>
        <v>289.73432332845596</v>
      </c>
      <c r="DT188" s="60">
        <f ca="1">AVERAGE(OFFSET($DS$3,0,0,'Données projet'!$E$14+1,1))-AVERAGE(OFFSET($H$3,0,0,'Données projet'!$E$14+1,1))</f>
        <v>343.94240546037798</v>
      </c>
      <c r="DU188" s="60">
        <f t="shared" si="152"/>
        <v>277.30931495079346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1.7408537221651515E-2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1.7408537221651515E-2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-2.8421709430404007E-13</v>
      </c>
      <c r="EK188" s="18">
        <f>EJ188*VLOOKUP('Données projet'!$B$15,Paramètres!$A$1:$I$89,3,0)*VLOOKUP('Données projet'!$B$15,Paramètres!$A$1:$I$89,5,0)</f>
        <v>-2.2168933355715128E-13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308.76306523144956</v>
      </c>
      <c r="EP188" s="60">
        <f t="shared" si="154"/>
        <v>283.28099819802776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-9.9316821433603781E-14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296.01124173332352</v>
      </c>
      <c r="FK188" s="60">
        <f t="shared" si="156"/>
        <v>315.50730924873733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391.18744390931187</v>
      </c>
      <c r="GF188" s="60">
        <f t="shared" si="158"/>
        <v>261.46982358454386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1.8556355989880306E-2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1.8556355989880306E-2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-4.1145540308207271E-13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469.15492079216403</v>
      </c>
      <c r="T189" s="60">
        <f t="shared" si="142"/>
        <v>250.47702091764884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-3.8307916838675739E-13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442.49274132121275</v>
      </c>
      <c r="AO189" s="60">
        <f t="shared" si="144"/>
        <v>237.37463556402756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1.3035332813160495E-13</v>
      </c>
      <c r="BF189" s="14">
        <f t="shared" si="167"/>
        <v>1.8987770485018903E-12</v>
      </c>
      <c r="BG189" s="22">
        <f t="shared" si="168"/>
        <v>3.5340687393033375E-12</v>
      </c>
      <c r="BH189" s="60">
        <f t="shared" si="116"/>
        <v>289.79675810586093</v>
      </c>
      <c r="BI189" s="60">
        <f ca="1">AVERAGE(OFFSET($BH$3,0,0,'Données projet'!$E$11+1,1))-AVERAGE(OFFSET($H$3,0,0,'Données projet'!$E$11+1,1))</f>
        <v>267.90768140488603</v>
      </c>
      <c r="BJ189" s="60">
        <f t="shared" si="146"/>
        <v>280.25465074992258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4.6111381379887463E-14</v>
      </c>
      <c r="CA189" s="14">
        <f t="shared" si="170"/>
        <v>7.5804141040779151E-13</v>
      </c>
      <c r="CB189" s="22">
        <f t="shared" si="171"/>
        <v>1.4005661123635408E-12</v>
      </c>
      <c r="CC189" s="60">
        <f t="shared" si="119"/>
        <v>289.79675810585883</v>
      </c>
      <c r="CD189" s="60">
        <f ca="1">AVERAGE(OFFSET($CC$3,0,0,'Données projet'!$E$12+1,1))-AVERAGE(OFFSET($H$3,0,0,'Données projet'!$E$12+1,1))</f>
        <v>308.6594206517259</v>
      </c>
      <c r="CE189" s="60">
        <f t="shared" si="148"/>
        <v>258.90832875500325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-5.4092197387944907E-14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397.63792993520934</v>
      </c>
      <c r="CZ189" s="60">
        <f t="shared" si="150"/>
        <v>300.63705521148802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7.626113074366004E-14</v>
      </c>
      <c r="DQ189" s="14">
        <f t="shared" si="176"/>
        <v>1.1823749172251317E-12</v>
      </c>
      <c r="DR189" s="22">
        <f t="shared" si="177"/>
        <v>2.1921244502123119E-12</v>
      </c>
      <c r="DS189" s="60">
        <f t="shared" si="125"/>
        <v>289.79675810585962</v>
      </c>
      <c r="DT189" s="60">
        <f ca="1">AVERAGE(OFFSET($DS$3,0,0,'Données projet'!$E$14+1,1))-AVERAGE(OFFSET($H$3,0,0,'Données projet'!$E$14+1,1))</f>
        <v>343.94240546037798</v>
      </c>
      <c r="DU189" s="60">
        <f t="shared" si="152"/>
        <v>277.30931495079346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1.6932499855850269E-2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1.6932499855850269E-2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-2.8421709430404007E-13</v>
      </c>
      <c r="EK189" s="18">
        <f>EJ189*VLOOKUP('Données projet'!$B$15,Paramètres!$A$1:$I$89,3,0)*VLOOKUP('Données projet'!$B$15,Paramètres!$A$1:$I$89,5,0)</f>
        <v>-2.2168933355715128E-13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308.76306523144956</v>
      </c>
      <c r="EP189" s="60">
        <f t="shared" si="154"/>
        <v>283.28099819802776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-9.9316821433603781E-14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296.01124173332352</v>
      </c>
      <c r="FK189" s="60">
        <f t="shared" si="156"/>
        <v>315.50730924873733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391.18744390931187</v>
      </c>
      <c r="GF189" s="60">
        <f t="shared" si="158"/>
        <v>261.46982358454386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1.8048931459500678E-2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1.8048931459500678E-2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-4.1145540308207271E-13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469.15492079216403</v>
      </c>
      <c r="T190" s="60">
        <f t="shared" si="142"/>
        <v>250.47702091764884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-3.8307916838675739E-13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442.49274132121275</v>
      </c>
      <c r="AO190" s="60">
        <f t="shared" si="144"/>
        <v>237.37463556402756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1.3035332813160495E-13</v>
      </c>
      <c r="BF190" s="14">
        <f t="shared" si="167"/>
        <v>1.8987770485018903E-12</v>
      </c>
      <c r="BG190" s="22">
        <f t="shared" si="168"/>
        <v>3.5340687393033375E-12</v>
      </c>
      <c r="BH190" s="60">
        <f t="shared" si="116"/>
        <v>289.85810977945994</v>
      </c>
      <c r="BI190" s="60">
        <f ca="1">AVERAGE(OFFSET($BH$3,0,0,'Données projet'!$E$11+1,1))-AVERAGE(OFFSET($H$3,0,0,'Données projet'!$E$11+1,1))</f>
        <v>267.90768140488603</v>
      </c>
      <c r="BJ190" s="60">
        <f t="shared" si="146"/>
        <v>280.25465074992258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4.6111381379887463E-14</v>
      </c>
      <c r="CA190" s="14">
        <f t="shared" si="170"/>
        <v>7.5804141040779151E-13</v>
      </c>
      <c r="CB190" s="22">
        <f t="shared" si="171"/>
        <v>1.4005661123635408E-12</v>
      </c>
      <c r="CC190" s="60">
        <f t="shared" si="119"/>
        <v>289.85810977945783</v>
      </c>
      <c r="CD190" s="60">
        <f ca="1">AVERAGE(OFFSET($CC$3,0,0,'Données projet'!$E$12+1,1))-AVERAGE(OFFSET($H$3,0,0,'Données projet'!$E$12+1,1))</f>
        <v>308.6594206517259</v>
      </c>
      <c r="CE190" s="60">
        <f t="shared" si="148"/>
        <v>258.90832875500325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-5.4092197387944907E-14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397.63792993520934</v>
      </c>
      <c r="CZ190" s="60">
        <f t="shared" si="150"/>
        <v>300.63705521148802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7.626113074366004E-14</v>
      </c>
      <c r="DQ190" s="14">
        <f t="shared" si="176"/>
        <v>1.1823749172251317E-12</v>
      </c>
      <c r="DR190" s="22">
        <f t="shared" si="177"/>
        <v>2.1921244502123119E-12</v>
      </c>
      <c r="DS190" s="60">
        <f t="shared" si="125"/>
        <v>289.85810977945863</v>
      </c>
      <c r="DT190" s="60">
        <f ca="1">AVERAGE(OFFSET($DS$3,0,0,'Données projet'!$E$14+1,1))-AVERAGE(OFFSET($H$3,0,0,'Données projet'!$E$14+1,1))</f>
        <v>343.94240546037798</v>
      </c>
      <c r="DU190" s="60">
        <f t="shared" si="152"/>
        <v>277.30931495079346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1.6469479756850577E-2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1.6469479756850577E-2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-2.8421709430404007E-13</v>
      </c>
      <c r="EK190" s="18">
        <f>EJ190*VLOOKUP('Données projet'!$B$15,Paramètres!$A$1:$I$89,3,0)*VLOOKUP('Données projet'!$B$15,Paramètres!$A$1:$I$89,5,0)</f>
        <v>-2.2168933355715128E-13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308.76306523144956</v>
      </c>
      <c r="EP190" s="60">
        <f t="shared" si="154"/>
        <v>283.28099819802776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-9.9316821433603781E-14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296.01124173332352</v>
      </c>
      <c r="FK190" s="60">
        <f t="shared" si="156"/>
        <v>315.50730924873733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391.18744390931187</v>
      </c>
      <c r="GF190" s="60">
        <f t="shared" si="158"/>
        <v>261.46982358454386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1.7555382479588579E-2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1.7555382479588579E-2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-4.1145540308207271E-13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469.15492079216403</v>
      </c>
      <c r="T191" s="60">
        <f t="shared" si="142"/>
        <v>250.47702091764884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-3.8307916838675739E-13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442.49274132121275</v>
      </c>
      <c r="AO191" s="60">
        <f t="shared" si="144"/>
        <v>237.37463556402756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1.3035332813160495E-13</v>
      </c>
      <c r="BF191" s="14">
        <f t="shared" si="167"/>
        <v>1.8987770485018903E-12</v>
      </c>
      <c r="BG191" s="22">
        <f t="shared" si="168"/>
        <v>3.5340687393033375E-12</v>
      </c>
      <c r="BH191" s="60">
        <f t="shared" si="116"/>
        <v>289.91839713868376</v>
      </c>
      <c r="BI191" s="60">
        <f ca="1">AVERAGE(OFFSET($BH$3,0,0,'Données projet'!$E$11+1,1))-AVERAGE(OFFSET($H$3,0,0,'Données projet'!$E$11+1,1))</f>
        <v>267.90768140488603</v>
      </c>
      <c r="BJ191" s="60">
        <f t="shared" si="146"/>
        <v>280.25465074992258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4.6111381379887463E-14</v>
      </c>
      <c r="CA191" s="14">
        <f t="shared" si="170"/>
        <v>7.5804141040779151E-13</v>
      </c>
      <c r="CB191" s="22">
        <f t="shared" si="171"/>
        <v>1.4005661123635408E-12</v>
      </c>
      <c r="CC191" s="60">
        <f t="shared" si="119"/>
        <v>289.91839713868166</v>
      </c>
      <c r="CD191" s="60">
        <f ca="1">AVERAGE(OFFSET($CC$3,0,0,'Données projet'!$E$12+1,1))-AVERAGE(OFFSET($H$3,0,0,'Données projet'!$E$12+1,1))</f>
        <v>308.6594206517259</v>
      </c>
      <c r="CE191" s="60">
        <f t="shared" si="148"/>
        <v>258.90832875500325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-5.4092197387944907E-14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397.63792993520934</v>
      </c>
      <c r="CZ191" s="60">
        <f t="shared" si="150"/>
        <v>300.63705521148802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7.626113074366004E-14</v>
      </c>
      <c r="DQ191" s="14">
        <f t="shared" si="176"/>
        <v>1.1823749172251317E-12</v>
      </c>
      <c r="DR191" s="22">
        <f t="shared" si="177"/>
        <v>2.1921244502123119E-12</v>
      </c>
      <c r="DS191" s="60">
        <f t="shared" si="125"/>
        <v>289.91839713868245</v>
      </c>
      <c r="DT191" s="60">
        <f ca="1">AVERAGE(OFFSET($DS$3,0,0,'Données projet'!$E$14+1,1))-AVERAGE(OFFSET($H$3,0,0,'Données projet'!$E$14+1,1))</f>
        <v>343.94240546037798</v>
      </c>
      <c r="DU191" s="60">
        <f t="shared" si="152"/>
        <v>277.30931495079346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1.6019120966807198E-2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1.6019120966807198E-2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-2.8421709430404007E-13</v>
      </c>
      <c r="EK191" s="18">
        <f>EJ191*VLOOKUP('Données projet'!$B$15,Paramètres!$A$1:$I$89,3,0)*VLOOKUP('Données projet'!$B$15,Paramètres!$A$1:$I$89,5,0)</f>
        <v>-2.2168933355715128E-13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308.76306523144956</v>
      </c>
      <c r="EP191" s="60">
        <f t="shared" si="154"/>
        <v>283.28099819802776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-9.9316821433603781E-14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296.01124173332352</v>
      </c>
      <c r="FK191" s="60">
        <f t="shared" si="156"/>
        <v>315.50730924873733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391.18744390931187</v>
      </c>
      <c r="GF191" s="60">
        <f t="shared" si="158"/>
        <v>261.46982358454386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1.7075329622486788E-2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1.7075329622486788E-2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-4.1145540308207271E-13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469.15492079216403</v>
      </c>
      <c r="T192" s="60">
        <f t="shared" si="142"/>
        <v>250.47702091764884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-3.8307916838675739E-13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442.49274132121275</v>
      </c>
      <c r="AO192" s="60">
        <f t="shared" si="144"/>
        <v>237.37463556402756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1.3035332813160495E-13</v>
      </c>
      <c r="BF192" s="14">
        <f t="shared" si="167"/>
        <v>1.8987770485018903E-12</v>
      </c>
      <c r="BG192" s="22">
        <f t="shared" si="168"/>
        <v>3.5340687393033375E-12</v>
      </c>
      <c r="BH192" s="60">
        <f t="shared" si="116"/>
        <v>289.97763864700738</v>
      </c>
      <c r="BI192" s="60">
        <f ca="1">AVERAGE(OFFSET($BH$3,0,0,'Données projet'!$E$11+1,1))-AVERAGE(OFFSET($H$3,0,0,'Données projet'!$E$11+1,1))</f>
        <v>267.90768140488603</v>
      </c>
      <c r="BJ192" s="60">
        <f t="shared" si="146"/>
        <v>280.25465074992258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4.6111381379887463E-14</v>
      </c>
      <c r="CA192" s="14">
        <f t="shared" si="170"/>
        <v>7.5804141040779151E-13</v>
      </c>
      <c r="CB192" s="22">
        <f t="shared" si="171"/>
        <v>1.4005661123635408E-12</v>
      </c>
      <c r="CC192" s="60">
        <f t="shared" si="119"/>
        <v>289.97763864700528</v>
      </c>
      <c r="CD192" s="60">
        <f ca="1">AVERAGE(OFFSET($CC$3,0,0,'Données projet'!$E$12+1,1))-AVERAGE(OFFSET($H$3,0,0,'Données projet'!$E$12+1,1))</f>
        <v>308.6594206517259</v>
      </c>
      <c r="CE192" s="60">
        <f t="shared" si="148"/>
        <v>258.90832875500325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-5.4092197387944907E-14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397.63792993520934</v>
      </c>
      <c r="CZ192" s="60">
        <f t="shared" si="150"/>
        <v>300.63705521148802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7.626113074366004E-14</v>
      </c>
      <c r="DQ192" s="14">
        <f t="shared" si="176"/>
        <v>1.1823749172251317E-12</v>
      </c>
      <c r="DR192" s="22">
        <f t="shared" si="177"/>
        <v>2.1921244502123119E-12</v>
      </c>
      <c r="DS192" s="60">
        <f t="shared" si="125"/>
        <v>289.97763864700607</v>
      </c>
      <c r="DT192" s="60">
        <f ca="1">AVERAGE(OFFSET($DS$3,0,0,'Données projet'!$E$14+1,1))-AVERAGE(OFFSET($H$3,0,0,'Données projet'!$E$14+1,1))</f>
        <v>343.94240546037798</v>
      </c>
      <c r="DU192" s="60">
        <f t="shared" si="152"/>
        <v>277.30931495079346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1.5581077261560895E-2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1.5581077261560895E-2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-2.8421709430404007E-13</v>
      </c>
      <c r="EK192" s="18">
        <f>EJ192*VLOOKUP('Données projet'!$B$15,Paramètres!$A$1:$I$89,3,0)*VLOOKUP('Données projet'!$B$15,Paramètres!$A$1:$I$89,5,0)</f>
        <v>-2.2168933355715128E-13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308.76306523144956</v>
      </c>
      <c r="EP192" s="60">
        <f t="shared" si="154"/>
        <v>283.28099819802776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-9.9316821433603781E-14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296.01124173332352</v>
      </c>
      <c r="FK192" s="60">
        <f t="shared" si="156"/>
        <v>315.50730924873733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391.18744390931187</v>
      </c>
      <c r="GF192" s="60">
        <f t="shared" si="158"/>
        <v>261.46982358454386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1.6608403836007327E-2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1.6608403836007327E-2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-4.1145540308207271E-13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469.15492079216403</v>
      </c>
      <c r="T193" s="60">
        <f t="shared" si="142"/>
        <v>250.47702091764884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-3.8307916838675739E-13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442.49274132121275</v>
      </c>
      <c r="AO193" s="60">
        <f t="shared" si="144"/>
        <v>237.37463556402756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1.3035332813160495E-13</v>
      </c>
      <c r="BF193" s="14">
        <f t="shared" si="167"/>
        <v>1.8987770485018903E-12</v>
      </c>
      <c r="BG193" s="22">
        <f t="shared" si="168"/>
        <v>3.5340687393033375E-12</v>
      </c>
      <c r="BH193" s="60">
        <f t="shared" si="116"/>
        <v>290.03585244760581</v>
      </c>
      <c r="BI193" s="60">
        <f ca="1">AVERAGE(OFFSET($BH$3,0,0,'Données projet'!$E$11+1,1))-AVERAGE(OFFSET($H$3,0,0,'Données projet'!$E$11+1,1))</f>
        <v>267.90768140488603</v>
      </c>
      <c r="BJ193" s="60">
        <f t="shared" si="146"/>
        <v>280.25465074992258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4.6111381379887463E-14</v>
      </c>
      <c r="CA193" s="14">
        <f t="shared" si="170"/>
        <v>7.5804141040779151E-13</v>
      </c>
      <c r="CB193" s="22">
        <f t="shared" si="171"/>
        <v>1.4005661123635408E-12</v>
      </c>
      <c r="CC193" s="60">
        <f t="shared" si="119"/>
        <v>290.0358524476037</v>
      </c>
      <c r="CD193" s="60">
        <f ca="1">AVERAGE(OFFSET($CC$3,0,0,'Données projet'!$E$12+1,1))-AVERAGE(OFFSET($H$3,0,0,'Données projet'!$E$12+1,1))</f>
        <v>308.6594206517259</v>
      </c>
      <c r="CE193" s="60">
        <f t="shared" si="148"/>
        <v>258.90832875500325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-5.4092197387944907E-14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397.63792993520934</v>
      </c>
      <c r="CZ193" s="60">
        <f t="shared" si="150"/>
        <v>300.63705521148802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7.626113074366004E-14</v>
      </c>
      <c r="DQ193" s="14">
        <f t="shared" si="176"/>
        <v>1.1823749172251317E-12</v>
      </c>
      <c r="DR193" s="22">
        <f t="shared" si="177"/>
        <v>2.1921244502123119E-12</v>
      </c>
      <c r="DS193" s="60">
        <f t="shared" si="125"/>
        <v>290.0358524476045</v>
      </c>
      <c r="DT193" s="60">
        <f ca="1">AVERAGE(OFFSET($DS$3,0,0,'Données projet'!$E$14+1,1))-AVERAGE(OFFSET($H$3,0,0,'Données projet'!$E$14+1,1))</f>
        <v>343.94240546037798</v>
      </c>
      <c r="DU193" s="60">
        <f t="shared" si="152"/>
        <v>277.30931495079346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1.5155011884470271E-2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1.5155011884470271E-2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-2.8421709430404007E-13</v>
      </c>
      <c r="EK193" s="18">
        <f>EJ193*VLOOKUP('Données projet'!$B$15,Paramètres!$A$1:$I$89,3,0)*VLOOKUP('Données projet'!$B$15,Paramètres!$A$1:$I$89,5,0)</f>
        <v>-2.2168933355715128E-13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308.76306523144956</v>
      </c>
      <c r="EP193" s="60">
        <f t="shared" si="154"/>
        <v>283.28099819802776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-9.9316821433603781E-14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296.01124173332352</v>
      </c>
      <c r="FK193" s="60">
        <f t="shared" si="156"/>
        <v>315.50730924873733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391.18744390931187</v>
      </c>
      <c r="GF193" s="60">
        <f t="shared" si="158"/>
        <v>261.46982358454386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1.6154246159713708E-2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1.6154246159713708E-2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-4.1145540308207271E-13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469.15492079216403</v>
      </c>
      <c r="T194" s="60">
        <f t="shared" si="142"/>
        <v>250.47702091764884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-3.8307916838675739E-13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442.49274132121275</v>
      </c>
      <c r="AO194" s="60">
        <f t="shared" si="144"/>
        <v>237.37463556402756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1.3035332813160495E-13</v>
      </c>
      <c r="BF194" s="14">
        <f t="shared" si="167"/>
        <v>1.8987770485018903E-12</v>
      </c>
      <c r="BG194" s="22">
        <f t="shared" si="168"/>
        <v>3.5340687393033375E-12</v>
      </c>
      <c r="BH194" s="60">
        <f t="shared" si="116"/>
        <v>290.09305636891037</v>
      </c>
      <c r="BI194" s="60">
        <f ca="1">AVERAGE(OFFSET($BH$3,0,0,'Données projet'!$E$11+1,1))-AVERAGE(OFFSET($H$3,0,0,'Données projet'!$E$11+1,1))</f>
        <v>267.90768140488603</v>
      </c>
      <c r="BJ194" s="60">
        <f t="shared" si="146"/>
        <v>280.25465074992258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4.6111381379887463E-14</v>
      </c>
      <c r="CA194" s="14">
        <f t="shared" si="170"/>
        <v>7.5804141040779151E-13</v>
      </c>
      <c r="CB194" s="22">
        <f t="shared" si="171"/>
        <v>1.4005661123635408E-12</v>
      </c>
      <c r="CC194" s="60">
        <f t="shared" si="119"/>
        <v>290.09305636890826</v>
      </c>
      <c r="CD194" s="60">
        <f ca="1">AVERAGE(OFFSET($CC$3,0,0,'Données projet'!$E$12+1,1))-AVERAGE(OFFSET($H$3,0,0,'Données projet'!$E$12+1,1))</f>
        <v>308.6594206517259</v>
      </c>
      <c r="CE194" s="60">
        <f t="shared" si="148"/>
        <v>258.90832875500325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-5.4092197387944907E-14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397.63792993520934</v>
      </c>
      <c r="CZ194" s="60">
        <f t="shared" si="150"/>
        <v>300.63705521148802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7.626113074366004E-14</v>
      </c>
      <c r="DQ194" s="14">
        <f t="shared" si="176"/>
        <v>1.1823749172251317E-12</v>
      </c>
      <c r="DR194" s="22">
        <f t="shared" si="177"/>
        <v>2.1921244502123119E-12</v>
      </c>
      <c r="DS194" s="60">
        <f t="shared" si="125"/>
        <v>290.09305636890906</v>
      </c>
      <c r="DT194" s="60">
        <f ca="1">AVERAGE(OFFSET($DS$3,0,0,'Données projet'!$E$14+1,1))-AVERAGE(OFFSET($H$3,0,0,'Données projet'!$E$14+1,1))</f>
        <v>343.94240546037798</v>
      </c>
      <c r="DU194" s="60">
        <f t="shared" si="152"/>
        <v>277.30931495079346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1.4740597287521993E-2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1.4740597287521993E-2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-2.8421709430404007E-13</v>
      </c>
      <c r="EK194" s="18">
        <f>EJ194*VLOOKUP('Données projet'!$B$15,Paramètres!$A$1:$I$89,3,0)*VLOOKUP('Données projet'!$B$15,Paramètres!$A$1:$I$89,5,0)</f>
        <v>-2.2168933355715128E-13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308.76306523144956</v>
      </c>
      <c r="EP194" s="60">
        <f t="shared" si="154"/>
        <v>283.28099819802776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-9.9316821433603781E-14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296.01124173332352</v>
      </c>
      <c r="FK194" s="60">
        <f t="shared" si="156"/>
        <v>315.50730924873733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391.18744390931187</v>
      </c>
      <c r="GF194" s="60">
        <f t="shared" si="158"/>
        <v>261.46982358454386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1.5712507448961452E-2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1.5712507448961452E-2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-4.1145540308207271E-13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469.15492079216403</v>
      </c>
      <c r="T195" s="60">
        <f t="shared" si="142"/>
        <v>250.47702091764884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-3.8307916838675739E-13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442.49274132121275</v>
      </c>
      <c r="AO195" s="60">
        <f t="shared" si="144"/>
        <v>237.37463556402756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1.3035332813160495E-13</v>
      </c>
      <c r="BF195" s="14">
        <f t="shared" si="167"/>
        <v>1.8987770485018903E-12</v>
      </c>
      <c r="BG195" s="22">
        <f t="shared" si="168"/>
        <v>3.5340687393033375E-12</v>
      </c>
      <c r="BH195" s="60">
        <f t="shared" si="116"/>
        <v>290.14926793006919</v>
      </c>
      <c r="BI195" s="60">
        <f ca="1">AVERAGE(OFFSET($BH$3,0,0,'Données projet'!$E$11+1,1))-AVERAGE(OFFSET($H$3,0,0,'Données projet'!$E$11+1,1))</f>
        <v>267.90768140488603</v>
      </c>
      <c r="BJ195" s="60">
        <f t="shared" si="146"/>
        <v>280.25465074992258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4.6111381379887463E-14</v>
      </c>
      <c r="CA195" s="14">
        <f t="shared" si="170"/>
        <v>7.5804141040779151E-13</v>
      </c>
      <c r="CB195" s="22">
        <f t="shared" si="171"/>
        <v>1.4005661123635408E-12</v>
      </c>
      <c r="CC195" s="60">
        <f t="shared" si="119"/>
        <v>290.14926793006708</v>
      </c>
      <c r="CD195" s="60">
        <f ca="1">AVERAGE(OFFSET($CC$3,0,0,'Données projet'!$E$12+1,1))-AVERAGE(OFFSET($H$3,0,0,'Données projet'!$E$12+1,1))</f>
        <v>308.6594206517259</v>
      </c>
      <c r="CE195" s="60">
        <f t="shared" si="148"/>
        <v>258.90832875500325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-5.4092197387944907E-14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397.63792993520934</v>
      </c>
      <c r="CZ195" s="60">
        <f t="shared" si="150"/>
        <v>300.63705521148802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7.626113074366004E-14</v>
      </c>
      <c r="DQ195" s="14">
        <f t="shared" si="176"/>
        <v>1.1823749172251317E-12</v>
      </c>
      <c r="DR195" s="22">
        <f t="shared" si="177"/>
        <v>2.1921244502123119E-12</v>
      </c>
      <c r="DS195" s="60">
        <f t="shared" si="125"/>
        <v>290.14926793006788</v>
      </c>
      <c r="DT195" s="60">
        <f ca="1">AVERAGE(OFFSET($DS$3,0,0,'Données projet'!$E$14+1,1))-AVERAGE(OFFSET($H$3,0,0,'Données projet'!$E$14+1,1))</f>
        <v>343.94240546037798</v>
      </c>
      <c r="DU195" s="60">
        <f t="shared" si="152"/>
        <v>277.30931495079346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1.4337514879520383E-2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1.4337514879520383E-2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-2.8421709430404007E-13</v>
      </c>
      <c r="EK195" s="18">
        <f>EJ195*VLOOKUP('Données projet'!$B$15,Paramètres!$A$1:$I$89,3,0)*VLOOKUP('Données projet'!$B$15,Paramètres!$A$1:$I$89,5,0)</f>
        <v>-2.2168933355715128E-13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308.76306523144956</v>
      </c>
      <c r="EP195" s="60">
        <f t="shared" si="154"/>
        <v>283.28099819802776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-9.9316821433603781E-14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296.01124173332352</v>
      </c>
      <c r="FK195" s="60">
        <f t="shared" si="156"/>
        <v>315.50730924873733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391.18744390931187</v>
      </c>
      <c r="GF195" s="60">
        <f t="shared" si="158"/>
        <v>261.46982358454386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1.5282848106484746E-2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1.5282848106484746E-2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-4.1145540308207271E-13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469.15492079216403</v>
      </c>
      <c r="T196" s="60">
        <f t="shared" si="142"/>
        <v>250.47702091764884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-3.8307916838675739E-13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442.49274132121275</v>
      </c>
      <c r="AO196" s="60">
        <f t="shared" si="144"/>
        <v>237.37463556402756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1.3035332813160495E-13</v>
      </c>
      <c r="BF196" s="14">
        <f t="shared" si="167"/>
        <v>1.8987770485018903E-12</v>
      </c>
      <c r="BG196" s="22">
        <f t="shared" si="168"/>
        <v>3.5340687393033375E-12</v>
      </c>
      <c r="BH196" s="60">
        <f t="shared" ref="BH196:BH203" si="194">BG196+(AY196+AZ196)*44/12</f>
        <v>290.20450434631204</v>
      </c>
      <c r="BI196" s="60">
        <f ca="1">AVERAGE(OFFSET($BH$3,0,0,'Données projet'!$E$11+1,1))-AVERAGE(OFFSET($H$3,0,0,'Données projet'!$E$11+1,1))</f>
        <v>267.90768140488603</v>
      </c>
      <c r="BJ196" s="60">
        <f t="shared" si="146"/>
        <v>280.25465074992258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4.6111381379887463E-14</v>
      </c>
      <c r="CA196" s="14">
        <f t="shared" si="170"/>
        <v>7.5804141040779151E-13</v>
      </c>
      <c r="CB196" s="22">
        <f t="shared" si="171"/>
        <v>1.4005661123635408E-12</v>
      </c>
      <c r="CC196" s="60">
        <f t="shared" ref="CC196:CC203" si="195">CB196+(BT196+BU196)*44/12</f>
        <v>290.20450434630993</v>
      </c>
      <c r="CD196" s="60">
        <f ca="1">AVERAGE(OFFSET($CC$3,0,0,'Données projet'!$E$12+1,1))-AVERAGE(OFFSET($H$3,0,0,'Données projet'!$E$12+1,1))</f>
        <v>308.6594206517259</v>
      </c>
      <c r="CE196" s="60">
        <f t="shared" si="148"/>
        <v>258.90832875500325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-5.4092197387944907E-14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397.63792993520934</v>
      </c>
      <c r="CZ196" s="60">
        <f t="shared" si="150"/>
        <v>300.63705521148802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7.626113074366004E-14</v>
      </c>
      <c r="DQ196" s="14">
        <f t="shared" si="176"/>
        <v>1.1823749172251317E-12</v>
      </c>
      <c r="DR196" s="22">
        <f t="shared" si="177"/>
        <v>2.1921244502123119E-12</v>
      </c>
      <c r="DS196" s="60">
        <f t="shared" ref="DS196:DS203" si="197">DR196+(DJ196+DK196)*44/12</f>
        <v>290.20450434631073</v>
      </c>
      <c r="DT196" s="60">
        <f ca="1">AVERAGE(OFFSET($DS$3,0,0,'Données projet'!$E$14+1,1))-AVERAGE(OFFSET($H$3,0,0,'Données projet'!$E$14+1,1))</f>
        <v>343.94240546037798</v>
      </c>
      <c r="DU196" s="60">
        <f t="shared" si="152"/>
        <v>277.30931495079346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1.3945454781162759E-2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1.3945454781162759E-2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-2.8421709430404007E-13</v>
      </c>
      <c r="EK196" s="18">
        <f>EJ196*VLOOKUP('Données projet'!$B$15,Paramètres!$A$1:$I$89,3,0)*VLOOKUP('Données projet'!$B$15,Paramètres!$A$1:$I$89,5,0)</f>
        <v>-2.2168933355715128E-13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308.76306523144956</v>
      </c>
      <c r="EP196" s="60">
        <f t="shared" si="154"/>
        <v>283.28099819802776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-9.9316821433603781E-14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296.01124173332352</v>
      </c>
      <c r="FK196" s="60">
        <f t="shared" si="156"/>
        <v>315.50730924873733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391.18744390931187</v>
      </c>
      <c r="GF196" s="60">
        <f t="shared" si="158"/>
        <v>261.46982358454386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1.4864937821322869E-2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1.4864937821322869E-2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-4.1145540308207271E-13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469.15492079216403</v>
      </c>
      <c r="T197" s="60">
        <f t="shared" ref="T197:T203" si="204">$T$3</f>
        <v>250.47702091764884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-3.8307916838675739E-13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442.49274132121275</v>
      </c>
      <c r="AO197" s="60">
        <f t="shared" ref="AO197:AO203" si="205">$AO$3</f>
        <v>237.37463556402756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1.3035332813160495E-13</v>
      </c>
      <c r="BF197" s="14">
        <f t="shared" si="167"/>
        <v>1.8987770485018903E-12</v>
      </c>
      <c r="BG197" s="22">
        <f t="shared" si="168"/>
        <v>3.5340687393033375E-12</v>
      </c>
      <c r="BH197" s="60">
        <f t="shared" si="194"/>
        <v>290.25878253422326</v>
      </c>
      <c r="BI197" s="60">
        <f ca="1">AVERAGE(OFFSET($BH$3,0,0,'Données projet'!$E$11+1,1))-AVERAGE(OFFSET($H$3,0,0,'Données projet'!$E$11+1,1))</f>
        <v>267.90768140488603</v>
      </c>
      <c r="BJ197" s="60">
        <f t="shared" ref="BJ197:BJ203" si="206">$BJ$3</f>
        <v>280.25465074992258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4.6111381379887463E-14</v>
      </c>
      <c r="CA197" s="14">
        <f t="shared" si="170"/>
        <v>7.5804141040779151E-13</v>
      </c>
      <c r="CB197" s="22">
        <f t="shared" si="171"/>
        <v>1.4005661123635408E-12</v>
      </c>
      <c r="CC197" s="60">
        <f t="shared" si="195"/>
        <v>290.25878253422115</v>
      </c>
      <c r="CD197" s="60">
        <f ca="1">AVERAGE(OFFSET($CC$3,0,0,'Données projet'!$E$12+1,1))-AVERAGE(OFFSET($H$3,0,0,'Données projet'!$E$12+1,1))</f>
        <v>308.6594206517259</v>
      </c>
      <c r="CE197" s="60">
        <f t="shared" ref="CE197:CE203" si="207">$CE$3</f>
        <v>258.90832875500325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-5.4092197387944907E-14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397.63792993520934</v>
      </c>
      <c r="CZ197" s="60">
        <f t="shared" ref="CZ197:CZ203" si="208">$CZ$3</f>
        <v>300.63705521148802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7.626113074366004E-14</v>
      </c>
      <c r="DQ197" s="14">
        <f t="shared" si="176"/>
        <v>1.1823749172251317E-12</v>
      </c>
      <c r="DR197" s="22">
        <f t="shared" si="177"/>
        <v>2.1921244502123119E-12</v>
      </c>
      <c r="DS197" s="60">
        <f t="shared" si="197"/>
        <v>290.25878253422195</v>
      </c>
      <c r="DT197" s="60">
        <f ca="1">AVERAGE(OFFSET($DS$3,0,0,'Données projet'!$E$14+1,1))-AVERAGE(OFFSET($H$3,0,0,'Données projet'!$E$14+1,1))</f>
        <v>343.94240546037798</v>
      </c>
      <c r="DU197" s="60">
        <f t="shared" ref="DU197:DU203" si="209">$DU$3</f>
        <v>277.30931495079346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1.3564115586812269E-2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1.3564115586812269E-2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-2.8421709430404007E-13</v>
      </c>
      <c r="EK197" s="18">
        <f>EJ197*VLOOKUP('Données projet'!$B$15,Paramètres!$A$1:$I$89,3,0)*VLOOKUP('Données projet'!$B$15,Paramètres!$A$1:$I$89,5,0)</f>
        <v>-2.2168933355715128E-13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308.76306523144956</v>
      </c>
      <c r="EP197" s="60">
        <f t="shared" ref="EP197:EP203" si="210">$EP$3</f>
        <v>283.28099819802776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-9.9316821433603781E-14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296.01124173332352</v>
      </c>
      <c r="FK197" s="60">
        <f t="shared" ref="FK197:FK203" si="211">$FK$3</f>
        <v>315.50730924873733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391.18744390931187</v>
      </c>
      <c r="GF197" s="60">
        <f t="shared" ref="GF197:GF203" si="212">$GF$3</f>
        <v>261.46982358454386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1.4458455314885689E-2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1.4458455314885689E-2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-4.1145540308207271E-13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469.15492079216403</v>
      </c>
      <c r="T198" s="60">
        <f t="shared" si="204"/>
        <v>250.47702091764884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-3.8307916838675739E-13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442.49274132121275</v>
      </c>
      <c r="AO198" s="60">
        <f t="shared" si="205"/>
        <v>237.37463556402756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1.3035332813160495E-13</v>
      </c>
      <c r="BF198" s="14">
        <f t="shared" si="167"/>
        <v>1.8987770485018903E-12</v>
      </c>
      <c r="BG198" s="22">
        <f t="shared" si="168"/>
        <v>3.5340687393033375E-12</v>
      </c>
      <c r="BH198" s="60">
        <f t="shared" si="194"/>
        <v>290.31211911692202</v>
      </c>
      <c r="BI198" s="60">
        <f ca="1">AVERAGE(OFFSET($BH$3,0,0,'Données projet'!$E$11+1,1))-AVERAGE(OFFSET($H$3,0,0,'Données projet'!$E$11+1,1))</f>
        <v>267.90768140488603</v>
      </c>
      <c r="BJ198" s="60">
        <f t="shared" si="206"/>
        <v>280.25465074992258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4.6111381379887463E-14</v>
      </c>
      <c r="CA198" s="14">
        <f t="shared" si="170"/>
        <v>7.5804141040779151E-13</v>
      </c>
      <c r="CB198" s="22">
        <f t="shared" si="171"/>
        <v>1.4005661123635408E-12</v>
      </c>
      <c r="CC198" s="60">
        <f t="shared" si="195"/>
        <v>290.31211911691992</v>
      </c>
      <c r="CD198" s="60">
        <f ca="1">AVERAGE(OFFSET($CC$3,0,0,'Données projet'!$E$12+1,1))-AVERAGE(OFFSET($H$3,0,0,'Données projet'!$E$12+1,1))</f>
        <v>308.6594206517259</v>
      </c>
      <c r="CE198" s="60">
        <f t="shared" si="207"/>
        <v>258.90832875500325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-5.4092197387944907E-14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397.63792993520934</v>
      </c>
      <c r="CZ198" s="60">
        <f t="shared" si="208"/>
        <v>300.63705521148802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7.626113074366004E-14</v>
      </c>
      <c r="DQ198" s="14">
        <f t="shared" si="176"/>
        <v>1.1823749172251317E-12</v>
      </c>
      <c r="DR198" s="22">
        <f t="shared" si="177"/>
        <v>2.1921244502123119E-12</v>
      </c>
      <c r="DS198" s="60">
        <f t="shared" si="197"/>
        <v>290.31211911692071</v>
      </c>
      <c r="DT198" s="60">
        <f ca="1">AVERAGE(OFFSET($DS$3,0,0,'Données projet'!$E$14+1,1))-AVERAGE(OFFSET($H$3,0,0,'Données projet'!$E$14+1,1))</f>
        <v>343.94240546037798</v>
      </c>
      <c r="DU198" s="60">
        <f t="shared" si="209"/>
        <v>277.30931495079346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1.319320413278505E-2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1.319320413278505E-2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-2.8421709430404007E-13</v>
      </c>
      <c r="EK198" s="18">
        <f>EJ198*VLOOKUP('Données projet'!$B$15,Paramètres!$A$1:$I$89,3,0)*VLOOKUP('Données projet'!$B$15,Paramètres!$A$1:$I$89,5,0)</f>
        <v>-2.2168933355715128E-13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308.76306523144956</v>
      </c>
      <c r="EP198" s="60">
        <f t="shared" si="210"/>
        <v>283.28099819802776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-9.9316821433603781E-14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296.01124173332352</v>
      </c>
      <c r="FK198" s="60">
        <f t="shared" si="211"/>
        <v>315.50730924873733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391.18744390931187</v>
      </c>
      <c r="GF198" s="60">
        <f t="shared" si="212"/>
        <v>261.46982358454386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1.4063088093963019E-2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1.4063088093963019E-2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-4.1145540308207271E-13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469.15492079216403</v>
      </c>
      <c r="T199" s="60">
        <f t="shared" si="204"/>
        <v>250.47702091764884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-3.8307916838675739E-13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442.49274132121275</v>
      </c>
      <c r="AO199" s="60">
        <f t="shared" si="205"/>
        <v>237.37463556402756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1.3035332813160495E-13</v>
      </c>
      <c r="BF199" s="14">
        <f t="shared" si="167"/>
        <v>1.8987770485018903E-12</v>
      </c>
      <c r="BG199" s="22">
        <f t="shared" si="168"/>
        <v>3.5340687393033375E-12</v>
      </c>
      <c r="BH199" s="60">
        <f t="shared" si="194"/>
        <v>290.36453042915372</v>
      </c>
      <c r="BI199" s="60">
        <f ca="1">AVERAGE(OFFSET($BH$3,0,0,'Données projet'!$E$11+1,1))-AVERAGE(OFFSET($H$3,0,0,'Données projet'!$E$11+1,1))</f>
        <v>267.90768140488603</v>
      </c>
      <c r="BJ199" s="60">
        <f t="shared" si="206"/>
        <v>280.25465074992258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4.6111381379887463E-14</v>
      </c>
      <c r="CA199" s="14">
        <f t="shared" si="170"/>
        <v>7.5804141040779151E-13</v>
      </c>
      <c r="CB199" s="22">
        <f t="shared" si="171"/>
        <v>1.4005661123635408E-12</v>
      </c>
      <c r="CC199" s="60">
        <f t="shared" si="195"/>
        <v>290.36453042915161</v>
      </c>
      <c r="CD199" s="60">
        <f ca="1">AVERAGE(OFFSET($CC$3,0,0,'Données projet'!$E$12+1,1))-AVERAGE(OFFSET($H$3,0,0,'Données projet'!$E$12+1,1))</f>
        <v>308.6594206517259</v>
      </c>
      <c r="CE199" s="60">
        <f t="shared" si="207"/>
        <v>258.90832875500325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-5.4092197387944907E-14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397.63792993520934</v>
      </c>
      <c r="CZ199" s="60">
        <f t="shared" si="208"/>
        <v>300.63705521148802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7.626113074366004E-14</v>
      </c>
      <c r="DQ199" s="14">
        <f t="shared" si="176"/>
        <v>1.1823749172251317E-12</v>
      </c>
      <c r="DR199" s="22">
        <f t="shared" si="177"/>
        <v>2.1921244502123119E-12</v>
      </c>
      <c r="DS199" s="60">
        <f t="shared" si="197"/>
        <v>290.36453042915241</v>
      </c>
      <c r="DT199" s="60">
        <f ca="1">AVERAGE(OFFSET($DS$3,0,0,'Données projet'!$E$14+1,1))-AVERAGE(OFFSET($H$3,0,0,'Données projet'!$E$14+1,1))</f>
        <v>343.94240546037798</v>
      </c>
      <c r="DU199" s="60">
        <f t="shared" si="209"/>
        <v>277.30931495079346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1.2832435271973591E-2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1.2832435271973591E-2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-2.8421709430404007E-13</v>
      </c>
      <c r="EK199" s="18">
        <f>EJ199*VLOOKUP('Données projet'!$B$15,Paramètres!$A$1:$I$89,3,0)*VLOOKUP('Données projet'!$B$15,Paramètres!$A$1:$I$89,5,0)</f>
        <v>-2.2168933355715128E-13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308.76306523144956</v>
      </c>
      <c r="EP199" s="60">
        <f t="shared" si="210"/>
        <v>283.28099819802776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-9.9316821433603781E-14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296.01124173332352</v>
      </c>
      <c r="FK199" s="60">
        <f t="shared" si="211"/>
        <v>315.50730924873733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391.18744390931187</v>
      </c>
      <c r="GF199" s="60">
        <f t="shared" si="212"/>
        <v>261.46982358454386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1.367853221048794E-2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1.367853221048794E-2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-4.1145540308207271E-13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469.15492079216403</v>
      </c>
      <c r="T200" s="60">
        <f t="shared" si="204"/>
        <v>250.47702091764884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-3.8307916838675739E-13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442.49274132121275</v>
      </c>
      <c r="AO200" s="60">
        <f t="shared" si="205"/>
        <v>237.37463556402756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1.3035332813160495E-13</v>
      </c>
      <c r="BF200" s="14">
        <f t="shared" si="167"/>
        <v>1.8987770485018903E-12</v>
      </c>
      <c r="BG200" s="22">
        <f t="shared" si="168"/>
        <v>3.5340687393033375E-12</v>
      </c>
      <c r="BH200" s="60">
        <f t="shared" si="194"/>
        <v>290.41603252229231</v>
      </c>
      <c r="BI200" s="60">
        <f ca="1">AVERAGE(OFFSET($BH$3,0,0,'Données projet'!$E$11+1,1))-AVERAGE(OFFSET($H$3,0,0,'Données projet'!$E$11+1,1))</f>
        <v>267.90768140488603</v>
      </c>
      <c r="BJ200" s="60">
        <f t="shared" si="206"/>
        <v>280.25465074992258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4.6111381379887463E-14</v>
      </c>
      <c r="CA200" s="14">
        <f t="shared" si="170"/>
        <v>7.5804141040779151E-13</v>
      </c>
      <c r="CB200" s="22">
        <f t="shared" si="171"/>
        <v>1.4005661123635408E-12</v>
      </c>
      <c r="CC200" s="60">
        <f t="shared" si="195"/>
        <v>290.41603252229021</v>
      </c>
      <c r="CD200" s="60">
        <f ca="1">AVERAGE(OFFSET($CC$3,0,0,'Données projet'!$E$12+1,1))-AVERAGE(OFFSET($H$3,0,0,'Données projet'!$E$12+1,1))</f>
        <v>308.6594206517259</v>
      </c>
      <c r="CE200" s="60">
        <f t="shared" si="207"/>
        <v>258.90832875500325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-5.4092197387944907E-14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397.63792993520934</v>
      </c>
      <c r="CZ200" s="60">
        <f t="shared" si="208"/>
        <v>300.63705521148802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7.626113074366004E-14</v>
      </c>
      <c r="DQ200" s="14">
        <f t="shared" si="176"/>
        <v>1.1823749172251317E-12</v>
      </c>
      <c r="DR200" s="22">
        <f t="shared" si="177"/>
        <v>2.1921244502123119E-12</v>
      </c>
      <c r="DS200" s="60">
        <f t="shared" si="197"/>
        <v>290.416032522291</v>
      </c>
      <c r="DT200" s="60">
        <f ca="1">AVERAGE(OFFSET($DS$3,0,0,'Données projet'!$E$14+1,1))-AVERAGE(OFFSET($H$3,0,0,'Données projet'!$E$14+1,1))</f>
        <v>343.94240546037798</v>
      </c>
      <c r="DU200" s="60">
        <f t="shared" si="209"/>
        <v>277.30931495079346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1.2481531654633031E-2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1.2481531654633031E-2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-2.8421709430404007E-13</v>
      </c>
      <c r="EK200" s="18">
        <f>EJ200*VLOOKUP('Données projet'!$B$15,Paramètres!$A$1:$I$89,3,0)*VLOOKUP('Données projet'!$B$15,Paramètres!$A$1:$I$89,5,0)</f>
        <v>-2.2168933355715128E-13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308.76306523144956</v>
      </c>
      <c r="EP200" s="60">
        <f t="shared" si="210"/>
        <v>283.28099819802776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-9.9316821433603781E-14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296.01124173332352</v>
      </c>
      <c r="FK200" s="60">
        <f t="shared" si="211"/>
        <v>315.50730924873733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391.18744390931187</v>
      </c>
      <c r="GF200" s="60">
        <f t="shared" si="212"/>
        <v>261.46982358454386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1.3304492027869401E-2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1.3304492027869401E-2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-4.1145540308207271E-13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469.15492079216403</v>
      </c>
      <c r="T201" s="60">
        <f t="shared" si="204"/>
        <v>250.47702091764884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-3.8307916838675739E-13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442.49274132121275</v>
      </c>
      <c r="AO201" s="60">
        <f t="shared" si="205"/>
        <v>237.37463556402756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1.3035332813160495E-13</v>
      </c>
      <c r="BF201" s="14">
        <f t="shared" si="167"/>
        <v>1.8987770485018903E-12</v>
      </c>
      <c r="BG201" s="22">
        <f t="shared" si="168"/>
        <v>3.5340687393033375E-12</v>
      </c>
      <c r="BH201" s="60">
        <f t="shared" si="194"/>
        <v>290.46664116925643</v>
      </c>
      <c r="BI201" s="60">
        <f ca="1">AVERAGE(OFFSET($BH$3,0,0,'Données projet'!$E$11+1,1))-AVERAGE(OFFSET($H$3,0,0,'Données projet'!$E$11+1,1))</f>
        <v>267.90768140488603</v>
      </c>
      <c r="BJ201" s="60">
        <f t="shared" si="206"/>
        <v>280.25465074992258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4.6111381379887463E-14</v>
      </c>
      <c r="CA201" s="14">
        <f t="shared" si="170"/>
        <v>7.5804141040779151E-13</v>
      </c>
      <c r="CB201" s="22">
        <f t="shared" si="171"/>
        <v>1.4005661123635408E-12</v>
      </c>
      <c r="CC201" s="60">
        <f t="shared" si="195"/>
        <v>290.46664116925433</v>
      </c>
      <c r="CD201" s="60">
        <f ca="1">AVERAGE(OFFSET($CC$3,0,0,'Données projet'!$E$12+1,1))-AVERAGE(OFFSET($H$3,0,0,'Données projet'!$E$12+1,1))</f>
        <v>308.6594206517259</v>
      </c>
      <c r="CE201" s="60">
        <f t="shared" si="207"/>
        <v>258.90832875500325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-5.4092197387944907E-14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397.63792993520934</v>
      </c>
      <c r="CZ201" s="60">
        <f t="shared" si="208"/>
        <v>300.63705521148802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7.626113074366004E-14</v>
      </c>
      <c r="DQ201" s="14">
        <f t="shared" si="176"/>
        <v>1.1823749172251317E-12</v>
      </c>
      <c r="DR201" s="22">
        <f t="shared" si="177"/>
        <v>2.1921244502123119E-12</v>
      </c>
      <c r="DS201" s="60">
        <f t="shared" si="197"/>
        <v>290.46664116925513</v>
      </c>
      <c r="DT201" s="60">
        <f ca="1">AVERAGE(OFFSET($DS$3,0,0,'Données projet'!$E$14+1,1))-AVERAGE(OFFSET($H$3,0,0,'Données projet'!$E$14+1,1))</f>
        <v>343.94240546037798</v>
      </c>
      <c r="DU201" s="60">
        <f t="shared" si="209"/>
        <v>277.30931495079346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1.2140223515161868E-2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1.2140223515161868E-2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-2.8421709430404007E-13</v>
      </c>
      <c r="EK201" s="18">
        <f>EJ201*VLOOKUP('Données projet'!$B$15,Paramètres!$A$1:$I$89,3,0)*VLOOKUP('Données projet'!$B$15,Paramètres!$A$1:$I$89,5,0)</f>
        <v>-2.2168933355715128E-13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308.76306523144956</v>
      </c>
      <c r="EP201" s="60">
        <f t="shared" si="210"/>
        <v>283.28099819802776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-9.9316821433603781E-14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296.01124173332352</v>
      </c>
      <c r="FK201" s="60">
        <f t="shared" si="211"/>
        <v>315.50730924873733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391.18744390931187</v>
      </c>
      <c r="GF201" s="60">
        <f t="shared" si="212"/>
        <v>261.46982358454386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1.2940679993714484E-2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1.2940679993714484E-2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-4.1145540308207271E-13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469.15492079216403</v>
      </c>
      <c r="T202" s="60">
        <f t="shared" si="204"/>
        <v>250.47702091764884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-3.8307916838675739E-13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442.49274132121275</v>
      </c>
      <c r="AO202" s="60">
        <f t="shared" si="205"/>
        <v>237.37463556402756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1.3035332813160495E-13</v>
      </c>
      <c r="BF202" s="14">
        <f t="shared" si="167"/>
        <v>1.8987770485018903E-12</v>
      </c>
      <c r="BG202" s="22">
        <f t="shared" si="168"/>
        <v>3.5340687393033375E-12</v>
      </c>
      <c r="BH202" s="60">
        <f t="shared" si="194"/>
        <v>290.51637186933965</v>
      </c>
      <c r="BI202" s="60">
        <f ca="1">AVERAGE(OFFSET($BH$3,0,0,'Données projet'!$E$11+1,1))-AVERAGE(OFFSET($H$3,0,0,'Données projet'!$E$11+1,1))</f>
        <v>267.90768140488603</v>
      </c>
      <c r="BJ202" s="60">
        <f t="shared" si="206"/>
        <v>280.25465074992258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4.6111381379887463E-14</v>
      </c>
      <c r="CA202" s="14">
        <f t="shared" si="170"/>
        <v>7.5804141040779151E-13</v>
      </c>
      <c r="CB202" s="22">
        <f t="shared" si="171"/>
        <v>1.4005661123635408E-12</v>
      </c>
      <c r="CC202" s="60">
        <f t="shared" si="195"/>
        <v>290.51637186933755</v>
      </c>
      <c r="CD202" s="60">
        <f ca="1">AVERAGE(OFFSET($CC$3,0,0,'Données projet'!$E$12+1,1))-AVERAGE(OFFSET($H$3,0,0,'Données projet'!$E$12+1,1))</f>
        <v>308.6594206517259</v>
      </c>
      <c r="CE202" s="60">
        <f t="shared" si="207"/>
        <v>258.90832875500325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-5.4092197387944907E-14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397.63792993520934</v>
      </c>
      <c r="CZ202" s="60">
        <f t="shared" si="208"/>
        <v>300.63705521148802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7.626113074366004E-14</v>
      </c>
      <c r="DQ202" s="14">
        <f t="shared" si="176"/>
        <v>1.1823749172251317E-12</v>
      </c>
      <c r="DR202" s="22">
        <f t="shared" si="177"/>
        <v>2.1921244502123119E-12</v>
      </c>
      <c r="DS202" s="60">
        <f t="shared" si="197"/>
        <v>290.51637186933834</v>
      </c>
      <c r="DT202" s="60">
        <f ca="1">AVERAGE(OFFSET($DS$3,0,0,'Données projet'!$E$14+1,1))-AVERAGE(OFFSET($H$3,0,0,'Données projet'!$E$14+1,1))</f>
        <v>343.94240546037798</v>
      </c>
      <c r="DU202" s="60">
        <f t="shared" si="209"/>
        <v>277.30931495079346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1.1808248464713159E-2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1.1808248464713159E-2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-2.8421709430404007E-13</v>
      </c>
      <c r="EK202" s="18">
        <f>EJ202*VLOOKUP('Données projet'!$B$15,Paramètres!$A$1:$I$89,3,0)*VLOOKUP('Données projet'!$B$15,Paramètres!$A$1:$I$89,5,0)</f>
        <v>-2.2168933355715128E-13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308.76306523144956</v>
      </c>
      <c r="EP202" s="60">
        <f t="shared" si="210"/>
        <v>283.28099819802776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-9.9316821433603781E-14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296.01124173332352</v>
      </c>
      <c r="FK202" s="60">
        <f t="shared" si="211"/>
        <v>315.50730924873733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391.18744390931187</v>
      </c>
      <c r="GF202" s="60">
        <f t="shared" si="212"/>
        <v>261.46982358454386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1.2586816418765577E-2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1.2586816418765577E-2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-4.1145540308207271E-13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469.15492079216403</v>
      </c>
      <c r="T203" s="60">
        <f t="shared" si="204"/>
        <v>250.47702091764884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-3.8307916838675739E-13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442.49274132121275</v>
      </c>
      <c r="AO203" s="60">
        <f t="shared" si="205"/>
        <v>237.37463556402756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1.3035332813160495E-13</v>
      </c>
      <c r="BF203" s="14">
        <f t="shared" si="167"/>
        <v>1.8987770485018903E-12</v>
      </c>
      <c r="BG203" s="22">
        <f t="shared" si="168"/>
        <v>3.5340687393033375E-12</v>
      </c>
      <c r="BH203" s="60">
        <f t="shared" si="194"/>
        <v>290.56523985295763</v>
      </c>
      <c r="BI203" s="60">
        <f ca="1">AVERAGE(OFFSET($BH$3,0,0,'Données projet'!$E$11+1,1))-AVERAGE(OFFSET($H$3,0,0,'Données projet'!$E$11+1,1))</f>
        <v>267.90768140488603</v>
      </c>
      <c r="BJ203" s="60">
        <f t="shared" si="206"/>
        <v>280.25465074992258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4.6111381379887463E-14</v>
      </c>
      <c r="CA203" s="14">
        <f t="shared" si="170"/>
        <v>7.5804141040779151E-13</v>
      </c>
      <c r="CB203" s="22">
        <f t="shared" si="171"/>
        <v>1.4005661123635408E-12</v>
      </c>
      <c r="CC203" s="60">
        <f t="shared" si="195"/>
        <v>290.56523985295553</v>
      </c>
      <c r="CD203" s="60">
        <f ca="1">AVERAGE(OFFSET($CC$3,0,0,'Données projet'!$E$12+1,1))-AVERAGE(OFFSET($H$3,0,0,'Données projet'!$E$12+1,1))</f>
        <v>308.6594206517259</v>
      </c>
      <c r="CE203" s="60">
        <f t="shared" si="207"/>
        <v>258.90832875500325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-5.4092197387944907E-14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397.63792993520934</v>
      </c>
      <c r="CZ203" s="60">
        <f t="shared" si="208"/>
        <v>300.63705521148802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7.626113074366004E-14</v>
      </c>
      <c r="DQ203" s="14">
        <f t="shared" si="176"/>
        <v>1.1823749172251317E-12</v>
      </c>
      <c r="DR203" s="22">
        <f t="shared" si="177"/>
        <v>2.1921244502123119E-12</v>
      </c>
      <c r="DS203" s="60">
        <f t="shared" si="197"/>
        <v>290.56523985295632</v>
      </c>
      <c r="DT203" s="60">
        <f ca="1">AVERAGE(OFFSET($DS$3,0,0,'Données projet'!$E$14+1,1))-AVERAGE(OFFSET($H$3,0,0,'Données projet'!$E$14+1,1))</f>
        <v>343.94240546037798</v>
      </c>
      <c r="DU203" s="60">
        <f t="shared" si="209"/>
        <v>277.30931495079346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1.1485351289476779E-2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1.1485351289476779E-2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-2.8421709430404007E-13</v>
      </c>
      <c r="EK203" s="18">
        <f>EJ203*VLOOKUP('Données projet'!$B$15,Paramètres!$A$1:$I$89,3,0)*VLOOKUP('Données projet'!$B$15,Paramètres!$A$1:$I$89,5,0)</f>
        <v>-2.2168933355715128E-13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308.76306523144956</v>
      </c>
      <c r="EP203" s="60">
        <f t="shared" si="210"/>
        <v>283.28099819802776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-9.9316821433603781E-14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296.01124173332352</v>
      </c>
      <c r="FK203" s="60">
        <f t="shared" si="211"/>
        <v>315.50730924873733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391.18744390931187</v>
      </c>
      <c r="GF203" s="60">
        <f t="shared" si="212"/>
        <v>261.46982358454386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1.2242629261882524E-2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1.2242629261882524E-2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4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1.2457309396155174</v>
      </c>
      <c r="BV205" s="86">
        <f>EXP(LN('Données projet'!B114)/'Données projet'!A114)</f>
        <v>1.282970348825361</v>
      </c>
      <c r="CQ205" s="86">
        <f>EXP(LN('Données projet'!B140)/'Données projet'!A140)</f>
        <v>1.2711106295585217</v>
      </c>
      <c r="DL205" s="86">
        <f>EXP(LN('Données projet'!B166)/'Données projet'!A166)</f>
        <v>1.2979700365523266</v>
      </c>
      <c r="EG205" s="86">
        <f>EXP(LN('Données projet'!B192)/'Données projet'!A192)</f>
        <v>1.1966732973638288</v>
      </c>
      <c r="FB205" s="86">
        <f>EXP(LN('Données projet'!B218)/'Données projet'!A218)</f>
        <v>1.1577536725165907</v>
      </c>
      <c r="FW205" s="86">
        <f>EXP(LN('Données projet'!B244)/'Données projet'!A244)</f>
        <v>1.2288386014896442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6328125" style="5" bestFit="1" customWidth="1"/>
    <col min="3" max="3" width="11.90625" style="5" bestFit="1" customWidth="1"/>
    <col min="4" max="4" width="40" style="5" bestFit="1" customWidth="1"/>
    <col min="5" max="5" width="11.90625" style="5" bestFit="1" customWidth="1"/>
    <col min="6" max="6" width="13.6328125" style="5" bestFit="1" customWidth="1"/>
    <col min="7" max="7" width="11.453125" style="5" bestFit="1" customWidth="1"/>
    <col min="8" max="8" width="39" style="5" bestFit="1" customWidth="1"/>
    <col min="9" max="9" width="16.63281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6" t="s">
        <v>238</v>
      </c>
      <c r="P2" s="127">
        <v>0</v>
      </c>
    </row>
    <row r="3" spans="1:16" ht="15" thickBot="1" x14ac:dyDescent="0.4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7"/>
      <c r="P3" s="134">
        <v>0.2</v>
      </c>
    </row>
    <row r="4" spans="1:16" ht="15" thickBot="1" x14ac:dyDescent="0.4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6" t="s">
        <v>237</v>
      </c>
      <c r="P5" s="127">
        <v>0</v>
      </c>
    </row>
    <row r="6" spans="1:16" x14ac:dyDescent="0.3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8"/>
      <c r="P6" s="135">
        <v>0.05</v>
      </c>
    </row>
    <row r="7" spans="1:16" x14ac:dyDescent="0.3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8"/>
      <c r="P7" s="135">
        <v>0.1</v>
      </c>
    </row>
    <row r="8" spans="1:16" ht="15" thickBot="1" x14ac:dyDescent="0.4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7"/>
      <c r="P8" s="134">
        <v>0.15</v>
      </c>
    </row>
    <row r="9" spans="1:16" ht="15" thickBot="1" x14ac:dyDescent="0.4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6" t="s">
        <v>236</v>
      </c>
      <c r="P10" s="127">
        <v>0</v>
      </c>
    </row>
    <row r="11" spans="1:16" ht="15" thickBot="1" x14ac:dyDescent="0.4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7"/>
      <c r="P11" s="134">
        <v>0.1</v>
      </c>
    </row>
    <row r="12" spans="1:16" x14ac:dyDescent="0.3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7"/>
      <c r="K87" s="97"/>
      <c r="L87" s="97"/>
      <c r="M87" s="97"/>
      <c r="N87" s="97"/>
    </row>
    <row r="88" spans="1:14" x14ac:dyDescent="0.35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4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5">
      <c r="A93" s="128" t="s">
        <v>208</v>
      </c>
    </row>
    <row r="94" spans="1:14" x14ac:dyDescent="0.35">
      <c r="A94" s="128" t="s">
        <v>209</v>
      </c>
    </row>
    <row r="95" spans="1:14" x14ac:dyDescent="0.35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4" zoomScale="130" zoomScaleNormal="130" workbookViewId="0">
      <selection activeCell="L16" activeCellId="3" sqref="G16 I16 K16 L16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3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1" t="str">
        <f>IF('Données projet'!$B$9="","",'Données projet'!$B$9)</f>
        <v>Chêne sessile</v>
      </c>
      <c r="B6" s="152">
        <f>'Données projet'!D9</f>
        <v>1.0592763433356596</v>
      </c>
      <c r="C6" s="153">
        <f ca="1">IF(OR('Données projet'!B9="",'Données projet'!C9="",'Données projet'!C9=0%),0,Calculateur!S3)</f>
        <v>469.15492079216403</v>
      </c>
      <c r="D6" s="153">
        <f>IF(OR('Données projet'!B9="",'Données projet'!C9="",'Données projet'!C9=0%),0,Calculateur!T3)</f>
        <v>250.47702091764884</v>
      </c>
      <c r="E6" s="153">
        <f ca="1">MIN(C6,D6)</f>
        <v>250.47702091764884</v>
      </c>
      <c r="F6" s="153">
        <f ca="1">E6*B6</f>
        <v>265.3243828072566</v>
      </c>
      <c r="G6" s="153">
        <f ca="1">F6*(100%-'Données projet'!$C$24)*(100%-'Données projet'!$C$25)*(100%-'Données projet'!$C$26)*(100%-'Données projet'!$C$27)</f>
        <v>238.79194452653095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2.1185526866713191</v>
      </c>
      <c r="K6" s="157">
        <f>J6*(100%-'Données projet'!$C$24)*(100%-'Données projet'!$C$25)*(100%-'Données projet'!$C$26)*(100%-'Données projet'!$C$27)</f>
        <v>1.9066974180041873</v>
      </c>
      <c r="L6" s="158">
        <f ca="1">G6+I6+K6</f>
        <v>240.69864194453515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59" t="str">
        <f>IF('Données projet'!$B$10="","",'Données projet'!$B$10)</f>
        <v>Chêne pédonculé</v>
      </c>
      <c r="B7" s="160">
        <f>'Données projet'!D10</f>
        <v>0.80762561060711791</v>
      </c>
      <c r="C7" s="153">
        <f ca="1">IF(OR('Données projet'!B10="",'Données projet'!C10="",'Données projet'!C10=0%),0,Calculateur!AN3)</f>
        <v>442.49274132121275</v>
      </c>
      <c r="D7" s="153">
        <f>IF(OR('Données projet'!B10="",'Données projet'!C10="",'Données projet'!C10=0%),0,Calculateur!AO3)</f>
        <v>237.37463556402756</v>
      </c>
      <c r="E7" s="153">
        <f t="shared" ref="E7:E15" ca="1" si="0">MIN(C7,D7)</f>
        <v>237.37463556402756</v>
      </c>
      <c r="F7" s="153">
        <f t="shared" ref="F7:F15" ca="1" si="1">E7*B7</f>
        <v>191.70983499003984</v>
      </c>
      <c r="G7" s="153">
        <f ca="1">F7*(100%-'Données projet'!$C$24)*(100%-'Données projet'!$C$25)*(100%-'Données projet'!$C$26)*(100%-'Données projet'!$C$27)</f>
        <v>172.53885149103587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1.6152512212142358</v>
      </c>
      <c r="K7" s="157">
        <f>J7*(100%-'Données projet'!$C$24)*(100%-'Données projet'!$C$25)*(100%-'Données projet'!$C$26)*(100%-'Données projet'!$C$27)</f>
        <v>1.4537260990928123</v>
      </c>
      <c r="L7" s="158">
        <f t="shared" ref="L7:L15" ca="1" si="2">G7+I7+K7</f>
        <v>173.99257759012869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59" t="str">
        <f>IF('Données projet'!$B$11="","",'Données projet'!$B$11)</f>
        <v>Aulne glutineux</v>
      </c>
      <c r="B8" s="160">
        <f>'Données projet'!D11</f>
        <v>0.49689253314724352</v>
      </c>
      <c r="C8" s="153">
        <f ca="1">IF(OR('Données projet'!B11="",'Données projet'!C11="",'Données projet'!C11=0%),0,Calculateur!BI3)</f>
        <v>267.90768140488603</v>
      </c>
      <c r="D8" s="153">
        <f>IF(OR('Données projet'!B11="",'Données projet'!C11="",'Données projet'!C11=0%),0,Calculateur!BJ3)</f>
        <v>280.25465074992258</v>
      </c>
      <c r="E8" s="153">
        <f t="shared" ca="1" si="0"/>
        <v>267.90768140488603</v>
      </c>
      <c r="F8" s="153">
        <f t="shared" ca="1" si="1"/>
        <v>133.1213264628785</v>
      </c>
      <c r="G8" s="153">
        <f ca="1">F8*(100%-'Données projet'!$C$24)*(100%-'Données projet'!$C$25)*(100%-'Données projet'!$C$26)*(100%-'Données projet'!$C$27)</f>
        <v>119.80919381659065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6.2111566643405443</v>
      </c>
      <c r="K8" s="157">
        <f>J8*(100%-'Données projet'!$C$24)*(100%-'Données projet'!$C$25)*(100%-'Données projet'!$C$26)*(100%-'Données projet'!$C$27)</f>
        <v>5.59004099790649</v>
      </c>
      <c r="L8" s="158">
        <f t="shared" ca="1" si="2"/>
        <v>125.39923481449713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59" t="str">
        <f>IF('Données projet'!$B$12="","",'Données projet'!$B$12)</f>
        <v>Bouleau verruqueux</v>
      </c>
      <c r="B9" s="160">
        <f>'Données projet'!D12</f>
        <v>0.21374790648988137</v>
      </c>
      <c r="C9" s="153">
        <f ca="1">IF(OR('Données projet'!B12="",'Données projet'!C12="",'Données projet'!C12=0%),0,Calculateur!CD3)</f>
        <v>308.6594206517259</v>
      </c>
      <c r="D9" s="153">
        <f>IF(OR('Données projet'!B12="",'Données projet'!C12="",'Données projet'!C12=0%),0,Calculateur!CE3)</f>
        <v>258.90832875500325</v>
      </c>
      <c r="E9" s="153">
        <f t="shared" ca="1" si="0"/>
        <v>258.90832875500325</v>
      </c>
      <c r="F9" s="153">
        <f t="shared" ca="1" si="1"/>
        <v>55.341113244175901</v>
      </c>
      <c r="G9" s="153">
        <f ca="1">F9*(100%-'Données projet'!$C$24)*(100%-'Données projet'!$C$25)*(100%-'Données projet'!$C$26)*(100%-'Données projet'!$C$27)</f>
        <v>49.807001919758314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1.9237311584089323</v>
      </c>
      <c r="K9" s="157">
        <f>J9*(100%-'Données projet'!$C$24)*(100%-'Données projet'!$C$25)*(100%-'Données projet'!$C$26)*(100%-'Données projet'!$C$27)</f>
        <v>1.731358042568039</v>
      </c>
      <c r="L9" s="158">
        <f t="shared" ca="1" si="2"/>
        <v>51.538359962326354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59" t="str">
        <f>IF('Données projet'!$B$13="","",'Données projet'!$B$13)</f>
        <v>Charme</v>
      </c>
      <c r="B10" s="160">
        <f>'Données projet'!D13</f>
        <v>9.6935101186322412E-2</v>
      </c>
      <c r="C10" s="153">
        <f ca="1">IF(OR('Données projet'!B13="",'Données projet'!C13="",'Données projet'!C13=0%),0,Calculateur!CY3)</f>
        <v>397.63792993520934</v>
      </c>
      <c r="D10" s="153">
        <f>IF(OR('Données projet'!B13="",'Données projet'!C13="",'Données projet'!C13=0%),0,Calculateur!CZ3)</f>
        <v>300.63705521148802</v>
      </c>
      <c r="E10" s="153">
        <f t="shared" ca="1" si="0"/>
        <v>300.63705521148802</v>
      </c>
      <c r="F10" s="153">
        <f t="shared" ca="1" si="1"/>
        <v>29.142283367283589</v>
      </c>
      <c r="G10" s="153">
        <f ca="1">F10*(100%-'Données projet'!$C$24)*(100%-'Données projet'!$C$25)*(100%-'Données projet'!$C$26)*(100%-'Données projet'!$C$27)</f>
        <v>26.228055030555232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1.0252751087014871</v>
      </c>
      <c r="K10" s="157">
        <f>J10*(100%-'Données projet'!$C$24)*(100%-'Données projet'!$C$25)*(100%-'Données projet'!$C$26)*(100%-'Données projet'!$C$27)</f>
        <v>0.92274759783133842</v>
      </c>
      <c r="L10" s="158">
        <f t="shared" ca="1" si="2"/>
        <v>27.150802628386572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59" t="str">
        <f>IF('Données projet'!$B$14="","",'Données projet'!$B$14)</f>
        <v>Tilleul</v>
      </c>
      <c r="B11" s="160">
        <f>'Données projet'!D14</f>
        <v>5.3424459176552683E-2</v>
      </c>
      <c r="C11" s="153">
        <f ca="1">IF(OR('Données projet'!B14="",'Données projet'!C14="",'Données projet'!C14=0%),0,Calculateur!DT3)</f>
        <v>343.94240546037798</v>
      </c>
      <c r="D11" s="153">
        <f>IF(OR('Données projet'!B14="",'Données projet'!C14="",'Données projet'!C14=0%),0,Calculateur!DU3)</f>
        <v>277.30931495079346</v>
      </c>
      <c r="E11" s="153">
        <f t="shared" ca="1" si="0"/>
        <v>277.30931495079346</v>
      </c>
      <c r="F11" s="153">
        <f t="shared" ca="1" si="1"/>
        <v>14.815100175866457</v>
      </c>
      <c r="G11" s="153">
        <f ca="1">F11*(100%-'Données projet'!$C$24)*(100%-'Données projet'!$C$25)*(100%-'Données projet'!$C$26)*(100%-'Données projet'!$C$27)</f>
        <v>13.333590158279812</v>
      </c>
      <c r="H11" s="161">
        <f>IF(OR('Données projet'!B14="",'Données projet'!C14="",'Données projet'!C14=0%),0,AVERAGE(Calculateur!$ED$3:$ED$33)*B11)</f>
        <v>2.2055997004935702E-3</v>
      </c>
      <c r="I11" s="155">
        <f>H11*(100%-'Données projet'!$C$24)*(100%-'Données projet'!$C$25)*(100%-'Données projet'!$C$26)*(100%-'Données projet'!$C$27)</f>
        <v>1.9850397304442134E-3</v>
      </c>
      <c r="J11" s="156">
        <f>IF(OR('Données projet'!B14="",'Données projet'!C14="",'Données projet'!C14=0%),0,SUM(Calculateur!$DW$3:$DW$33)*VLOOKUP('Données projet'!$B$14,Paramètres!$A$1:$I$89,9,0)*B11)</f>
        <v>0.76198347222967766</v>
      </c>
      <c r="K11" s="157">
        <f>J11*(100%-'Données projet'!$C$24)*(100%-'Données projet'!$C$25)*(100%-'Données projet'!$C$26)*(100%-'Données projet'!$C$27)</f>
        <v>0.68578512500670996</v>
      </c>
      <c r="L11" s="158">
        <f t="shared" ca="1" si="2"/>
        <v>14.021360323016966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59" t="str">
        <f>IF('Données projet'!$B$15="","",'Données projet'!$B$15)</f>
        <v>Merisier</v>
      </c>
      <c r="B12" s="160">
        <f>'Données projet'!D15</f>
        <v>4.7366015352407545E-2</v>
      </c>
      <c r="C12" s="153">
        <f ca="1">IF(OR('Données projet'!B15="",'Données projet'!C15="",'Données projet'!C15=0%),0,Calculateur!EO3)</f>
        <v>308.76306523144956</v>
      </c>
      <c r="D12" s="153">
        <f>IF(OR('Données projet'!B15="",'Données projet'!C15="",'Données projet'!C15=0%),0,Calculateur!EP3)</f>
        <v>283.28099819802776</v>
      </c>
      <c r="E12" s="153">
        <f t="shared" ca="1" si="0"/>
        <v>283.28099819802776</v>
      </c>
      <c r="F12" s="153">
        <f t="shared" ca="1" si="1"/>
        <v>13.417892109693117</v>
      </c>
      <c r="G12" s="153">
        <f ca="1">F12*(100%-'Données projet'!$C$24)*(100%-'Données projet'!$C$25)*(100%-'Données projet'!$C$26)*(100%-'Données projet'!$C$27)</f>
        <v>12.076102898723805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0.61575819958129807</v>
      </c>
      <c r="K12" s="157">
        <f>J12*(100%-'Données projet'!$C$24)*(100%-'Données projet'!$C$25)*(100%-'Données projet'!$C$26)*(100%-'Données projet'!$C$27)</f>
        <v>0.5541823796231683</v>
      </c>
      <c r="L12" s="158">
        <f t="shared" ca="1" si="2"/>
        <v>12.630285278346973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59" t="str">
        <f>IF('Données projet'!$B$16="","",'Données projet'!$B$16)</f>
        <v>Erable champêtre</v>
      </c>
      <c r="B13" s="160">
        <f>'Données projet'!D16</f>
        <v>4.7366015352407545E-2</v>
      </c>
      <c r="C13" s="153">
        <f ca="1">IF(OR('Données projet'!B16="",'Données projet'!C16="",'Données projet'!C16=0%),0,Calculateur!FJ3)</f>
        <v>296.01124173332352</v>
      </c>
      <c r="D13" s="153">
        <f>IF(OR('Données projet'!B16="",'Données projet'!C16="",'Données projet'!C16=0%),0,Calculateur!FK3)</f>
        <v>315.50730924873733</v>
      </c>
      <c r="E13" s="153">
        <f t="shared" ca="1" si="0"/>
        <v>296.01124173332352</v>
      </c>
      <c r="F13" s="153">
        <f t="shared" ca="1" si="1"/>
        <v>14.020873020425823</v>
      </c>
      <c r="G13" s="153">
        <f ca="1">F13*(100%-'Données projet'!$C$24)*(100%-'Données projet'!$C$25)*(100%-'Données projet'!$C$26)*(100%-'Données projet'!$C$27)</f>
        <v>12.61878571838324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0.74601474180041882</v>
      </c>
      <c r="K13" s="157">
        <f>J13*(100%-'Données projet'!$C$24)*(100%-'Données projet'!$C$25)*(100%-'Données projet'!$C$26)*(100%-'Données projet'!$C$27)</f>
        <v>0.67141326762037701</v>
      </c>
      <c r="L13" s="158">
        <f t="shared" ca="1" si="2"/>
        <v>13.290198986003617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59" t="str">
        <f>IF('Données projet'!$B$17="","",'Données projet'!$B$17)</f>
        <v>Alisier torminal</v>
      </c>
      <c r="B14" s="160">
        <f>'Données projet'!D17</f>
        <v>3.3156210746685275E-2</v>
      </c>
      <c r="C14" s="153">
        <f ca="1">IF(OR('Données projet'!B17="",'Données projet'!C17="",'Données projet'!C17=0%),0,Calculateur!GE3)</f>
        <v>391.18744390931187</v>
      </c>
      <c r="D14" s="153">
        <f>IF(OR('Données projet'!B17="",'Données projet'!C17="",'Données projet'!C17=0%),0,Calculateur!GF3)</f>
        <v>261.46982358454386</v>
      </c>
      <c r="E14" s="153">
        <f t="shared" ca="1" si="0"/>
        <v>261.46982358454386</v>
      </c>
      <c r="F14" s="153">
        <f t="shared" ca="1" si="1"/>
        <v>8.6693485746677563</v>
      </c>
      <c r="G14" s="153">
        <f ca="1">F14*(100%-'Données projet'!$C$24)*(100%-'Données projet'!$C$25)*(100%-'Données projet'!$C$26)*(100%-'Données projet'!$C$27)</f>
        <v>7.8024137172009809</v>
      </c>
      <c r="H14" s="161">
        <f>IF(OR('Données projet'!B17="",'Données projet'!C17="",'Données projet'!C17=0%),0,AVERAGE(Calculateur!$GO$3:$GO$33)*B14)</f>
        <v>3.6277047501932624E-3</v>
      </c>
      <c r="I14" s="155">
        <f>H14*(100%-'Données projet'!$C$24)*(100%-'Données projet'!$C$25)*(100%-'Données projet'!$C$26)*(100%-'Données projet'!$C$27)</f>
        <v>3.2649342751739363E-3</v>
      </c>
      <c r="J14" s="156">
        <f>IF(OR('Données projet'!B17="",'Données projet'!C17="",'Données projet'!C17=0%),0,SUM(Calculateur!$GH$3:$GH$33)*VLOOKUP('Données projet'!$B$17,Paramètres!$A$1:$I$89,9,0)*B14)</f>
        <v>0.2569606332868109</v>
      </c>
      <c r="K14" s="157">
        <f>J14*(100%-'Données projet'!$C$24)*(100%-'Données projet'!$C$25)*(100%-'Données projet'!$C$26)*(100%-'Données projet'!$C$27)</f>
        <v>0.23126456995812983</v>
      </c>
      <c r="L14" s="158">
        <f t="shared" ca="1" si="2"/>
        <v>8.0369432214342851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2"/>
      <c r="B16" s="229"/>
      <c r="C16" s="230"/>
      <c r="D16" s="25"/>
      <c r="E16" s="25"/>
      <c r="F16" s="171">
        <f t="shared" ref="F16:L16" ca="1" si="3">SUM(F6:F15)</f>
        <v>725.56215475228737</v>
      </c>
      <c r="G16" s="172">
        <f t="shared" ca="1" si="3"/>
        <v>653.00593927705893</v>
      </c>
      <c r="H16" s="173">
        <f t="shared" si="3"/>
        <v>5.8333044506868326E-3</v>
      </c>
      <c r="I16" s="173">
        <f t="shared" si="3"/>
        <v>5.2499740056181493E-3</v>
      </c>
      <c r="J16" s="174">
        <f t="shared" si="3"/>
        <v>15.274683886234726</v>
      </c>
      <c r="K16" s="174">
        <f t="shared" si="3"/>
        <v>13.747215497611252</v>
      </c>
      <c r="L16" s="175">
        <f t="shared" ca="1" si="3"/>
        <v>666.75840474867573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2"/>
      <c r="B17" s="229"/>
      <c r="C17" s="230"/>
      <c r="D17" s="227"/>
      <c r="E17" s="227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2"/>
      <c r="B18" s="229"/>
      <c r="C18" s="230"/>
      <c r="D18" s="227"/>
      <c r="E18" s="227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6" t="str">
        <f>A6</f>
        <v>Chêne sessile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6" t="str">
        <f>A7</f>
        <v>Chêne pédonculé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6" t="str">
        <f>A8</f>
        <v>Aulne glutineux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6" t="str">
        <f>A9</f>
        <v>Bouleau verruqueux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6" t="str">
        <f>A10</f>
        <v>Charme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6" t="str">
        <f>A11</f>
        <v>Tilleul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6" t="str">
        <f>A12</f>
        <v>Merisier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6" t="str">
        <f>A13</f>
        <v>Erable champêtre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6" t="str">
        <f>A14</f>
        <v>Alisier torminal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Normal="10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3" customWidth="1"/>
    <col min="7" max="7" width="17.54296875" style="3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5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5">
      <c r="A4" s="96"/>
      <c r="B4" s="96"/>
      <c r="C4" s="96"/>
      <c r="D4" s="96"/>
      <c r="E4" s="96"/>
      <c r="G4" s="177"/>
      <c r="H4" s="339" t="s">
        <v>315</v>
      </c>
      <c r="I4" s="339"/>
      <c r="K4" s="336" t="s">
        <v>253</v>
      </c>
      <c r="L4" s="337"/>
      <c r="M4" s="264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5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4">
      <c r="A6" s="96"/>
      <c r="B6" s="96"/>
      <c r="C6" s="96"/>
      <c r="D6" s="96"/>
      <c r="E6" s="96"/>
      <c r="F6" s="225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6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8" t="s">
        <v>310</v>
      </c>
      <c r="S7" s="329"/>
      <c r="T7" s="329"/>
      <c r="U7" s="329"/>
      <c r="V7" s="330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705.8126891114207</v>
      </c>
      <c r="U10" s="187">
        <f>'Données projet'!D9</f>
        <v>1.0592763433356596</v>
      </c>
      <c r="V10" s="186">
        <f>U10*T10</f>
        <v>747.65068440185439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2" t="str">
        <f>B45</f>
        <v>Chêne pédonculé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679.19424137718624</v>
      </c>
      <c r="U11" s="187">
        <f>'Données projet'!D10</f>
        <v>0.80762561060711791</v>
      </c>
      <c r="V11" s="186">
        <f t="shared" ref="V11" si="0">U11*T11</f>
        <v>548.53466391308825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2" t="str">
        <f>B76</f>
        <v>Aulne glutineux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741.19807365725251</v>
      </c>
      <c r="U12" s="187">
        <f>'Données projet'!D11</f>
        <v>0.49689253314724352</v>
      </c>
      <c r="V12" s="186">
        <f t="shared" ref="V12:V19" si="1">U12*T12</f>
        <v>368.29578838340939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57"/>
      <c r="J13" s="25"/>
      <c r="K13" s="221"/>
      <c r="L13" s="181" t="s">
        <v>257</v>
      </c>
      <c r="M13" s="25"/>
      <c r="N13" s="25"/>
      <c r="O13" s="25"/>
      <c r="P13" s="25"/>
      <c r="Q13" s="261"/>
      <c r="R13" s="25"/>
      <c r="S13" s="182" t="str">
        <f>B107</f>
        <v>Bouleau verruqueux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639.75984284390222</v>
      </c>
      <c r="U13" s="187">
        <f>'Données projet'!D12</f>
        <v>0.21374790648988137</v>
      </c>
      <c r="V13" s="186">
        <f t="shared" si="1"/>
        <v>136.74732706417961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3" t="str">
        <f>IF('Données projet'!$B$9="","",'Données projet'!$B$9)</f>
        <v>Chêne sessile</v>
      </c>
      <c r="C14" s="5"/>
      <c r="D14" s="5"/>
      <c r="E14" s="5"/>
      <c r="F14" s="257"/>
      <c r="G14" s="217"/>
      <c r="H14" s="182" t="s">
        <v>178</v>
      </c>
      <c r="I14" s="182" t="s">
        <v>290</v>
      </c>
      <c r="J14" s="211"/>
      <c r="K14" s="180"/>
      <c r="L14" s="213"/>
      <c r="M14" s="25"/>
      <c r="N14" s="25"/>
      <c r="O14" s="5"/>
      <c r="P14" s="5"/>
      <c r="Q14" s="262"/>
      <c r="R14" s="5"/>
      <c r="S14" s="182" t="str">
        <f>B138</f>
        <v>Charme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400.77074580800786</v>
      </c>
      <c r="U14" s="187">
        <f>'Données projet'!D13</f>
        <v>9.6935101186322412E-2</v>
      </c>
      <c r="V14" s="186">
        <f t="shared" si="1"/>
        <v>38.848752797417141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57"/>
      <c r="G15" s="340" t="s">
        <v>318</v>
      </c>
      <c r="H15" s="200">
        <v>0</v>
      </c>
      <c r="I15" s="201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2" t="str">
        <f>B169</f>
        <v>Tilleul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796.58104137523287</v>
      </c>
      <c r="U15" s="187">
        <f>'Données projet'!D14</f>
        <v>5.3424459176552683E-2</v>
      </c>
      <c r="V15" s="186">
        <f t="shared" si="1"/>
        <v>42.556911325766954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40"/>
      <c r="H16" s="200"/>
      <c r="I16" s="201"/>
      <c r="J16" s="212"/>
      <c r="K16" s="221"/>
      <c r="L16" s="336" t="s">
        <v>254</v>
      </c>
      <c r="M16" s="337"/>
      <c r="N16" s="2"/>
      <c r="O16" s="25"/>
      <c r="P16" s="25"/>
      <c r="Q16" s="261"/>
      <c r="R16" s="25"/>
      <c r="S16" s="182" t="str">
        <f>B200</f>
        <v>Merisier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1968.221278948618</v>
      </c>
      <c r="U16" s="187">
        <f>'Données projet'!D15</f>
        <v>4.7366015352407545E-2</v>
      </c>
      <c r="V16" s="186">
        <f t="shared" si="1"/>
        <v>93.226799315615452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06">
        <v>0</v>
      </c>
      <c r="B17" s="209" t="s">
        <v>132</v>
      </c>
      <c r="C17" s="208" t="s">
        <v>132</v>
      </c>
      <c r="D17" s="207" t="s">
        <v>132</v>
      </c>
      <c r="E17" s="203"/>
      <c r="F17" s="257"/>
      <c r="G17" s="340"/>
      <c r="J17" s="212"/>
      <c r="K17" s="221"/>
      <c r="L17" s="294" t="s">
        <v>289</v>
      </c>
      <c r="M17" s="296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2" t="str">
        <f>B231</f>
        <v>Erable champêtre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958.48420622965364</v>
      </c>
      <c r="U17" s="187">
        <f>'Données projet'!D16</f>
        <v>4.7366015352407545E-2</v>
      </c>
      <c r="V17" s="186">
        <f t="shared" si="1"/>
        <v>45.399577627313931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06">
        <v>1</v>
      </c>
      <c r="B18" s="209" t="s">
        <v>132</v>
      </c>
      <c r="C18" s="208" t="s">
        <v>132</v>
      </c>
      <c r="D18" s="207" t="s">
        <v>132</v>
      </c>
      <c r="E18" s="203"/>
      <c r="F18" s="257"/>
      <c r="G18" s="340"/>
      <c r="J18" s="212"/>
      <c r="K18" s="221"/>
      <c r="L18" s="294" t="s">
        <v>255</v>
      </c>
      <c r="M18" s="296"/>
      <c r="N18" s="202"/>
      <c r="O18" s="25"/>
      <c r="P18" s="25"/>
      <c r="Q18" s="261"/>
      <c r="R18" s="25"/>
      <c r="S18" s="182" t="str">
        <f>B262</f>
        <v>Alisier torminal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851.68703388699157</v>
      </c>
      <c r="U18" s="187">
        <f>'Données projet'!D17</f>
        <v>3.3156210746685275E-2</v>
      </c>
      <c r="V18" s="186">
        <f t="shared" si="1"/>
        <v>28.238714785776377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06">
        <v>2</v>
      </c>
      <c r="B19" s="209" t="s">
        <v>132</v>
      </c>
      <c r="C19" s="208" t="s">
        <v>132</v>
      </c>
      <c r="D19" s="207" t="s">
        <v>132</v>
      </c>
      <c r="E19" s="203"/>
      <c r="F19" s="257"/>
      <c r="G19" s="340"/>
      <c r="H19" s="228" t="s">
        <v>178</v>
      </c>
      <c r="I19" s="228" t="s">
        <v>287</v>
      </c>
      <c r="J19" s="256"/>
      <c r="K19" s="180"/>
      <c r="L19" s="336" t="s">
        <v>288</v>
      </c>
      <c r="M19" s="337"/>
      <c r="N19" s="188">
        <f>N17*N18</f>
        <v>0</v>
      </c>
      <c r="O19" s="25"/>
      <c r="P19" s="5"/>
      <c r="Q19" s="262"/>
      <c r="R19" s="5"/>
      <c r="S19" s="182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06">
        <v>3</v>
      </c>
      <c r="B20" s="209" t="s">
        <v>132</v>
      </c>
      <c r="C20" s="208" t="s">
        <v>132</v>
      </c>
      <c r="D20" s="207" t="s">
        <v>132</v>
      </c>
      <c r="E20" s="203"/>
      <c r="F20" s="257"/>
      <c r="G20" s="340"/>
      <c r="H20" s="200">
        <v>0</v>
      </c>
      <c r="I20" s="201">
        <v>8500</v>
      </c>
      <c r="J20" s="5"/>
      <c r="K20" s="180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06">
        <v>4</v>
      </c>
      <c r="B21" s="209" t="s">
        <v>132</v>
      </c>
      <c r="C21" s="208" t="s">
        <v>132</v>
      </c>
      <c r="D21" s="207" t="s">
        <v>132</v>
      </c>
      <c r="E21" s="203"/>
      <c r="F21" s="257"/>
      <c r="H21" s="200"/>
      <c r="I21" s="201"/>
      <c r="K21" s="180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06">
        <v>5</v>
      </c>
      <c r="B22" s="209" t="s">
        <v>132</v>
      </c>
      <c r="C22" s="208" t="s">
        <v>132</v>
      </c>
      <c r="D22" s="207" t="s">
        <v>132</v>
      </c>
      <c r="E22" s="203"/>
      <c r="F22" s="257"/>
      <c r="H22" s="200"/>
      <c r="I22" s="201"/>
      <c r="K22" s="180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89">
        <f>'Données projet'!A36</f>
        <v>20</v>
      </c>
      <c r="B23" s="190">
        <f>'Données projet'!D36</f>
        <v>0</v>
      </c>
      <c r="C23" s="201"/>
      <c r="D23" s="191">
        <f>B23*C23</f>
        <v>0</v>
      </c>
      <c r="E23" s="203"/>
      <c r="F23" s="257"/>
      <c r="H23" s="200"/>
      <c r="I23" s="201"/>
      <c r="K23" s="221"/>
      <c r="L23" s="338" t="s">
        <v>260</v>
      </c>
      <c r="M23" s="338"/>
      <c r="N23" s="338"/>
      <c r="O23" s="25"/>
      <c r="P23" s="25"/>
      <c r="Q23" s="261"/>
      <c r="R23" s="25"/>
      <c r="S23" s="182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-22345.500780385577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89">
        <f>'Données projet'!A37</f>
        <v>25</v>
      </c>
      <c r="B24" s="190">
        <f>'Données projet'!D37</f>
        <v>8</v>
      </c>
      <c r="C24" s="203">
        <v>10</v>
      </c>
      <c r="D24" s="191">
        <f t="shared" ref="D24:D42" si="2">B24*C24</f>
        <v>80</v>
      </c>
      <c r="E24" s="203"/>
      <c r="F24" s="260"/>
      <c r="H24" s="200"/>
      <c r="I24" s="201"/>
      <c r="K24" s="221"/>
      <c r="O24" s="25"/>
      <c r="P24" s="25"/>
      <c r="Q24" s="261"/>
      <c r="R24" s="25"/>
      <c r="S24" s="182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9773.3611227199563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89">
        <f>'Données projet'!A38</f>
        <v>30</v>
      </c>
      <c r="B25" s="190">
        <f>'Données projet'!D38</f>
        <v>0</v>
      </c>
      <c r="C25" s="203"/>
      <c r="D25" s="191">
        <f t="shared" si="2"/>
        <v>0</v>
      </c>
      <c r="E25" s="203"/>
      <c r="F25" s="260"/>
      <c r="G25" s="1"/>
      <c r="H25" s="200"/>
      <c r="I25" s="201"/>
      <c r="K25" s="221"/>
      <c r="L25" s="267" t="s">
        <v>285</v>
      </c>
      <c r="M25" s="267"/>
      <c r="N25" s="267"/>
      <c r="O25" s="267"/>
      <c r="P25" s="202">
        <v>152</v>
      </c>
      <c r="Q25" s="261"/>
      <c r="R25" s="25"/>
      <c r="S25" s="195" t="s">
        <v>266</v>
      </c>
      <c r="T25" s="335">
        <f ca="1">T23-T24</f>
        <v>-32118.861903105535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89">
        <f>'Données projet'!A39</f>
        <v>35</v>
      </c>
      <c r="B26" s="190">
        <f>'Données projet'!D39</f>
        <v>42</v>
      </c>
      <c r="C26" s="203">
        <v>10</v>
      </c>
      <c r="D26" s="191">
        <f t="shared" si="2"/>
        <v>420</v>
      </c>
      <c r="E26" s="203"/>
      <c r="F26" s="260"/>
      <c r="G26" s="255"/>
      <c r="H26" s="200"/>
      <c r="I26" s="201"/>
      <c r="K26" s="221"/>
      <c r="L26" s="322" t="s">
        <v>258</v>
      </c>
      <c r="M26" s="323"/>
      <c r="N26" s="323"/>
      <c r="O26" s="323"/>
      <c r="P26" s="324"/>
      <c r="Q26" s="261"/>
      <c r="R26" s="25"/>
      <c r="S26" s="195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89">
        <f>'Données projet'!A40</f>
        <v>40</v>
      </c>
      <c r="B27" s="190">
        <f>'Données projet'!D40</f>
        <v>0</v>
      </c>
      <c r="C27" s="203"/>
      <c r="D27" s="191">
        <f t="shared" si="2"/>
        <v>0</v>
      </c>
      <c r="E27" s="203"/>
      <c r="F27" s="260"/>
      <c r="G27" s="255"/>
      <c r="H27" s="200"/>
      <c r="I27" s="201"/>
      <c r="K27" s="221"/>
      <c r="L27" s="325"/>
      <c r="M27" s="326"/>
      <c r="N27" s="326"/>
      <c r="O27" s="326"/>
      <c r="P27" s="327"/>
      <c r="Q27" s="261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89">
        <f>'Données projet'!A41</f>
        <v>45</v>
      </c>
      <c r="B28" s="190">
        <f>'Données projet'!D41</f>
        <v>42</v>
      </c>
      <c r="C28" s="203">
        <v>20</v>
      </c>
      <c r="D28" s="191">
        <f t="shared" si="2"/>
        <v>840</v>
      </c>
      <c r="E28" s="203"/>
      <c r="F28" s="260"/>
      <c r="G28" s="218"/>
      <c r="H28" s="200"/>
      <c r="I28" s="201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89">
        <f>'Données projet'!A42</f>
        <v>50</v>
      </c>
      <c r="B29" s="190">
        <f>'Données projet'!D42</f>
        <v>0</v>
      </c>
      <c r="C29" s="203"/>
      <c r="D29" s="191">
        <f t="shared" si="2"/>
        <v>0</v>
      </c>
      <c r="E29" s="203"/>
      <c r="F29" s="260"/>
      <c r="G29" s="214"/>
      <c r="H29" s="200"/>
      <c r="I29" s="201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89">
        <f>'Données projet'!A43</f>
        <v>55</v>
      </c>
      <c r="B30" s="190">
        <f>'Données projet'!D43</f>
        <v>42</v>
      </c>
      <c r="C30" s="203">
        <v>30</v>
      </c>
      <c r="D30" s="191">
        <f t="shared" si="2"/>
        <v>1260</v>
      </c>
      <c r="E30" s="203"/>
      <c r="F30" s="260"/>
      <c r="G30" s="214"/>
      <c r="H30" s="200"/>
      <c r="I30" s="201"/>
      <c r="K30" s="192"/>
      <c r="L30" s="182" t="s">
        <v>259</v>
      </c>
      <c r="M30" s="193">
        <f ca="1">SUM(OFFSET($P$33,0,0,MIN('Données projet'!$E$9:$E$18)+1,1))</f>
        <v>3405.3523075679286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89">
        <f>'Données projet'!A44</f>
        <v>65</v>
      </c>
      <c r="B31" s="190">
        <f>'Données projet'!D44</f>
        <v>42</v>
      </c>
      <c r="C31" s="203">
        <v>35</v>
      </c>
      <c r="D31" s="191">
        <f t="shared" si="2"/>
        <v>1470</v>
      </c>
      <c r="E31" s="203"/>
      <c r="F31" s="260"/>
      <c r="G31" s="214"/>
      <c r="H31" s="200"/>
      <c r="I31" s="201"/>
      <c r="K31" s="180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89">
        <f>'Données projet'!A45</f>
        <v>75</v>
      </c>
      <c r="B32" s="190">
        <f>'Données projet'!D45</f>
        <v>42</v>
      </c>
      <c r="C32" s="203">
        <v>40</v>
      </c>
      <c r="D32" s="191">
        <f t="shared" si="2"/>
        <v>1680</v>
      </c>
      <c r="E32" s="203"/>
      <c r="F32" s="260"/>
      <c r="G32" s="214"/>
      <c r="H32" s="200"/>
      <c r="I32" s="201"/>
      <c r="K32" s="180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89">
        <f>'Données projet'!A46</f>
        <v>85</v>
      </c>
      <c r="B33" s="190">
        <f>'Données projet'!D46</f>
        <v>42</v>
      </c>
      <c r="C33" s="203">
        <v>45</v>
      </c>
      <c r="D33" s="191">
        <f t="shared" si="2"/>
        <v>1890</v>
      </c>
      <c r="E33" s="203"/>
      <c r="F33" s="260"/>
      <c r="G33" s="214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152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89">
        <f>'Données projet'!A47</f>
        <v>95</v>
      </c>
      <c r="B34" s="190">
        <f>'Données projet'!D47</f>
        <v>42</v>
      </c>
      <c r="C34" s="203">
        <v>50</v>
      </c>
      <c r="D34" s="191">
        <f t="shared" si="2"/>
        <v>2100</v>
      </c>
      <c r="E34" s="203"/>
      <c r="F34" s="260"/>
      <c r="G34" s="214"/>
      <c r="H34" s="200"/>
      <c r="I34" s="201"/>
      <c r="K34" s="180"/>
      <c r="L34" s="280"/>
      <c r="M34" s="280"/>
      <c r="N34" s="281"/>
      <c r="O34" s="204">
        <f>IF(O33+1&lt;=MIN('Données projet'!$E$9:$E$18),O33+1,"STOP")</f>
        <v>1</v>
      </c>
      <c r="P34" s="194">
        <f t="shared" si="3"/>
        <v>145.45454545454547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89">
        <f>'Données projet'!A48</f>
        <v>105</v>
      </c>
      <c r="B35" s="190">
        <f>'Données projet'!D48</f>
        <v>41</v>
      </c>
      <c r="C35" s="203">
        <v>60</v>
      </c>
      <c r="D35" s="191">
        <f t="shared" si="2"/>
        <v>2460</v>
      </c>
      <c r="E35" s="203"/>
      <c r="F35" s="260"/>
      <c r="G35" s="214"/>
      <c r="H35" s="200"/>
      <c r="I35" s="201"/>
      <c r="K35" s="180"/>
      <c r="L35" s="280"/>
      <c r="M35" s="280"/>
      <c r="N35" s="281"/>
      <c r="O35" s="204">
        <f>IF(O34+1&lt;=MIN('Données projet'!$E$9:$E$18),O34+1,"STOP")</f>
        <v>2</v>
      </c>
      <c r="P35" s="194">
        <f t="shared" si="3"/>
        <v>139.19095258808181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89">
        <f>'Données projet'!A49</f>
        <v>115</v>
      </c>
      <c r="B36" s="190">
        <f>'Données projet'!D49</f>
        <v>37</v>
      </c>
      <c r="C36" s="203">
        <v>70</v>
      </c>
      <c r="D36" s="191">
        <f t="shared" si="2"/>
        <v>2590</v>
      </c>
      <c r="E36" s="203"/>
      <c r="F36" s="260"/>
      <c r="G36" s="214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133.19708381634621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89">
        <f>'Données projet'!A50</f>
        <v>125</v>
      </c>
      <c r="B37" s="190">
        <f>'Données projet'!D50</f>
        <v>33</v>
      </c>
      <c r="C37" s="203">
        <v>80</v>
      </c>
      <c r="D37" s="191">
        <f t="shared" si="2"/>
        <v>2640</v>
      </c>
      <c r="E37" s="203"/>
      <c r="F37" s="260"/>
      <c r="G37" s="214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127.46132422616867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89">
        <f>'Données projet'!A51</f>
        <v>135</v>
      </c>
      <c r="B38" s="190">
        <f>'Données projet'!D51</f>
        <v>29</v>
      </c>
      <c r="C38" s="203">
        <v>100</v>
      </c>
      <c r="D38" s="191">
        <f t="shared" si="2"/>
        <v>2900</v>
      </c>
      <c r="E38" s="203"/>
      <c r="F38" s="260"/>
      <c r="G38" s="214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121.97255906810399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89">
        <f>'Données projet'!A52</f>
        <v>145</v>
      </c>
      <c r="B39" s="190">
        <f>'Données projet'!D52</f>
        <v>0</v>
      </c>
      <c r="C39" s="203">
        <v>150</v>
      </c>
      <c r="D39" s="191">
        <f t="shared" si="2"/>
        <v>0</v>
      </c>
      <c r="E39" s="203"/>
      <c r="F39" s="260"/>
      <c r="G39" s="214"/>
      <c r="H39" s="200"/>
      <c r="I39" s="201"/>
      <c r="K39" s="221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116.72015221828136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89">
        <f>'Données projet'!A53</f>
        <v>150</v>
      </c>
      <c r="B40" s="190">
        <f>'Données projet'!D53</f>
        <v>293</v>
      </c>
      <c r="C40" s="203">
        <v>200</v>
      </c>
      <c r="D40" s="191">
        <f t="shared" si="2"/>
        <v>58600</v>
      </c>
      <c r="E40" s="203"/>
      <c r="F40" s="260"/>
      <c r="G40" s="214"/>
      <c r="H40" s="200"/>
      <c r="I40" s="201"/>
      <c r="K40" s="221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111.69392556773334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89">
        <f>'Données projet'!A54</f>
        <v>0</v>
      </c>
      <c r="B41" s="190">
        <f>'Données projet'!D54</f>
        <v>0</v>
      </c>
      <c r="C41" s="203"/>
      <c r="D41" s="191">
        <f t="shared" si="2"/>
        <v>0</v>
      </c>
      <c r="E41" s="203"/>
      <c r="F41" s="260"/>
      <c r="G41" s="214"/>
      <c r="H41" s="200"/>
      <c r="I41" s="201"/>
      <c r="K41" s="221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106.88413929926639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89">
        <f>'Données projet'!A55</f>
        <v>0</v>
      </c>
      <c r="B42" s="190">
        <f>'Données projet'!D55</f>
        <v>0</v>
      </c>
      <c r="C42" s="203"/>
      <c r="D42" s="191">
        <f t="shared" si="2"/>
        <v>0</v>
      </c>
      <c r="E42" s="203"/>
      <c r="F42" s="260"/>
      <c r="G42" s="214"/>
      <c r="H42" s="200"/>
      <c r="I42" s="201"/>
      <c r="K42" s="221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102.28147301365206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6"/>
      <c r="B43" s="196"/>
      <c r="C43" s="196"/>
      <c r="D43" s="252"/>
      <c r="E43" s="252"/>
      <c r="F43" s="265"/>
      <c r="G43" s="214"/>
      <c r="H43" s="200"/>
      <c r="I43" s="201"/>
      <c r="K43" s="221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97.877007668566577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57"/>
      <c r="G44" s="214"/>
      <c r="H44" s="200"/>
      <c r="I44" s="201"/>
      <c r="K44" s="221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93.662208295279015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3" t="str">
        <f>IF('Données projet'!$B$10="","",'Données projet'!$B$10)</f>
        <v>Chêne pédonculé</v>
      </c>
      <c r="C45" s="5"/>
      <c r="D45" s="5"/>
      <c r="E45" s="5"/>
      <c r="F45" s="257"/>
      <c r="G45" s="214"/>
      <c r="H45" s="200"/>
      <c r="I45" s="201"/>
      <c r="J45" s="25"/>
      <c r="K45" s="221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89.628907459597173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57"/>
      <c r="G46" s="214"/>
      <c r="H46" s="200"/>
      <c r="I46" s="201"/>
      <c r="J46" s="25"/>
      <c r="K46" s="221"/>
      <c r="L46" s="216"/>
      <c r="M46" s="216"/>
      <c r="N46" s="216"/>
      <c r="O46" s="204">
        <f>IF(O45+1&lt;=MIN('Données projet'!$E$9:$E$18),O45+1,"STOP")</f>
        <v>13</v>
      </c>
      <c r="P46" s="197">
        <f t="shared" si="3"/>
        <v>85.769289435021207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200"/>
      <c r="I47" s="201"/>
      <c r="J47" s="25"/>
      <c r="K47" s="221"/>
      <c r="L47" s="5"/>
      <c r="M47" s="5"/>
      <c r="N47" s="5"/>
      <c r="O47" s="204">
        <f>IF(O46+1&lt;=MIN('Données projet'!$E$9:$E$18),O46+1,"STOP")</f>
        <v>14</v>
      </c>
      <c r="P47" s="194">
        <f t="shared" si="3"/>
        <v>82.075875057436591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06">
        <v>0</v>
      </c>
      <c r="B48" s="209" t="s">
        <v>132</v>
      </c>
      <c r="C48" s="208" t="s">
        <v>132</v>
      </c>
      <c r="D48" s="207" t="s">
        <v>132</v>
      </c>
      <c r="E48" s="203"/>
      <c r="F48" s="258"/>
      <c r="G48" s="214"/>
      <c r="H48" s="200"/>
      <c r="I48" s="201"/>
      <c r="J48" s="25"/>
      <c r="K48" s="221"/>
      <c r="L48" s="5"/>
      <c r="M48" s="5"/>
      <c r="N48" s="5"/>
      <c r="O48" s="204">
        <f>IF(O47+1&lt;=MIN('Données projet'!$E$9:$E$18),O47+1,"STOP")</f>
        <v>15</v>
      </c>
      <c r="P48" s="194">
        <f t="shared" si="3"/>
        <v>78.541507231996718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5">
      <c r="A49" s="206">
        <v>1</v>
      </c>
      <c r="B49" s="209" t="s">
        <v>132</v>
      </c>
      <c r="C49" s="208" t="s">
        <v>132</v>
      </c>
      <c r="D49" s="207" t="s">
        <v>132</v>
      </c>
      <c r="E49" s="203"/>
      <c r="F49" s="258"/>
      <c r="G49" s="215"/>
      <c r="H49" s="200"/>
      <c r="I49" s="201"/>
      <c r="J49" s="216"/>
      <c r="K49" s="223"/>
      <c r="L49" s="5"/>
      <c r="M49" s="5"/>
      <c r="N49" s="5"/>
      <c r="O49" s="204">
        <f>IF(O48+1&lt;=MIN('Données projet'!$E$9:$E$18),O48+1,"STOP")</f>
        <v>16</v>
      </c>
      <c r="P49" s="194">
        <f t="shared" si="3"/>
        <v>75.159337064111725</v>
      </c>
      <c r="Q49" s="263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5">
      <c r="A50" s="206">
        <v>2</v>
      </c>
      <c r="B50" s="209" t="s">
        <v>132</v>
      </c>
      <c r="C50" s="208" t="s">
        <v>132</v>
      </c>
      <c r="D50" s="207" t="s">
        <v>132</v>
      </c>
      <c r="E50" s="203"/>
      <c r="F50" s="258"/>
      <c r="G50" s="217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71.922810587666731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06">
        <v>3</v>
      </c>
      <c r="B51" s="209" t="s">
        <v>132</v>
      </c>
      <c r="C51" s="208" t="s">
        <v>132</v>
      </c>
      <c r="D51" s="207" t="s">
        <v>132</v>
      </c>
      <c r="E51" s="203"/>
      <c r="F51" s="258"/>
      <c r="G51" s="217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68.825656064752863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06">
        <v>4</v>
      </c>
      <c r="B52" s="209" t="s">
        <v>132</v>
      </c>
      <c r="C52" s="208" t="s">
        <v>132</v>
      </c>
      <c r="D52" s="207" t="s">
        <v>132</v>
      </c>
      <c r="E52" s="203"/>
      <c r="F52" s="258"/>
      <c r="G52" s="217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65.861871832299386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06">
        <v>5</v>
      </c>
      <c r="B53" s="209" t="s">
        <v>132</v>
      </c>
      <c r="C53" s="208" t="s">
        <v>132</v>
      </c>
      <c r="D53" s="207" t="s">
        <v>132</v>
      </c>
      <c r="E53" s="203"/>
      <c r="F53" s="258"/>
      <c r="G53" s="218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63.02571467205685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89">
        <f>'Données projet'!A62</f>
        <v>20</v>
      </c>
      <c r="B54" s="190">
        <f>'Données projet'!D62</f>
        <v>0</v>
      </c>
      <c r="C54" s="201"/>
      <c r="D54" s="188">
        <f>B54*C54</f>
        <v>0</v>
      </c>
      <c r="E54" s="203"/>
      <c r="F54" s="259"/>
      <c r="G54" s="218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60.311688681394109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89">
        <f>'Données projet'!A63</f>
        <v>25</v>
      </c>
      <c r="B55" s="190">
        <f>'Données projet'!D63</f>
        <v>8</v>
      </c>
      <c r="C55" s="203">
        <v>10</v>
      </c>
      <c r="D55" s="188">
        <f t="shared" ref="D55:D73" si="4">B55*C55</f>
        <v>80</v>
      </c>
      <c r="E55" s="203"/>
      <c r="F55" s="259"/>
      <c r="G55" s="218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57.714534623343667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89">
        <f>'Données projet'!A64</f>
        <v>30</v>
      </c>
      <c r="B56" s="190">
        <f>'Données projet'!D64</f>
        <v>0</v>
      </c>
      <c r="C56" s="203"/>
      <c r="D56" s="188">
        <f t="shared" si="4"/>
        <v>0</v>
      </c>
      <c r="E56" s="203"/>
      <c r="F56" s="259"/>
      <c r="G56" s="218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55.229219735257097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89">
        <f>'Données projet'!A65</f>
        <v>35</v>
      </c>
      <c r="B57" s="190">
        <f>'Données projet'!D65</f>
        <v>42</v>
      </c>
      <c r="C57" s="203">
        <v>10</v>
      </c>
      <c r="D57" s="188">
        <f t="shared" si="4"/>
        <v>420</v>
      </c>
      <c r="E57" s="203"/>
      <c r="F57" s="259"/>
      <c r="G57" s="218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52.850927976322588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89">
        <f>'Données projet'!A66</f>
        <v>40</v>
      </c>
      <c r="B58" s="190">
        <f>'Données projet'!D66</f>
        <v>0</v>
      </c>
      <c r="C58" s="203"/>
      <c r="D58" s="188">
        <f t="shared" si="4"/>
        <v>0</v>
      </c>
      <c r="E58" s="203"/>
      <c r="F58" s="259"/>
      <c r="G58" s="218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50.57505069504554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89">
        <f>'Données projet'!A67</f>
        <v>45</v>
      </c>
      <c r="B59" s="190">
        <f>'Données projet'!D67</f>
        <v>42</v>
      </c>
      <c r="C59" s="203">
        <v>20</v>
      </c>
      <c r="D59" s="188">
        <f t="shared" si="4"/>
        <v>840</v>
      </c>
      <c r="E59" s="203"/>
      <c r="F59" s="259"/>
      <c r="G59" s="218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48.397177698608189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89">
        <f>'Données projet'!A68</f>
        <v>50</v>
      </c>
      <c r="B60" s="190">
        <f>'Données projet'!D68</f>
        <v>0</v>
      </c>
      <c r="C60" s="203"/>
      <c r="D60" s="188">
        <f t="shared" si="4"/>
        <v>0</v>
      </c>
      <c r="E60" s="203"/>
      <c r="F60" s="259"/>
      <c r="G60" s="219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46.313088706802091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89">
        <f>'Données projet'!A69</f>
        <v>55</v>
      </c>
      <c r="B61" s="190">
        <f>'Données projet'!D69</f>
        <v>42</v>
      </c>
      <c r="C61" s="203">
        <v>30</v>
      </c>
      <c r="D61" s="188">
        <f t="shared" si="4"/>
        <v>1260</v>
      </c>
      <c r="E61" s="203"/>
      <c r="F61" s="259"/>
      <c r="G61" s="219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44.318745173973305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89">
        <f>'Données projet'!A70</f>
        <v>65</v>
      </c>
      <c r="B62" s="190">
        <f>'Données projet'!D70</f>
        <v>42</v>
      </c>
      <c r="C62" s="203">
        <v>35</v>
      </c>
      <c r="D62" s="188">
        <f t="shared" si="4"/>
        <v>1470</v>
      </c>
      <c r="E62" s="203"/>
      <c r="F62" s="259"/>
      <c r="G62" s="219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42.41028246313234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89">
        <f>'Données projet'!A71</f>
        <v>75</v>
      </c>
      <c r="B63" s="190">
        <f>'Données projet'!D71</f>
        <v>42</v>
      </c>
      <c r="C63" s="203">
        <v>40</v>
      </c>
      <c r="D63" s="188">
        <f t="shared" si="4"/>
        <v>1680</v>
      </c>
      <c r="E63" s="203"/>
      <c r="F63" s="259"/>
      <c r="G63" s="219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40.584002357064456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89">
        <f>'Données projet'!A72</f>
        <v>85</v>
      </c>
      <c r="B64" s="190">
        <f>'Données projet'!D72</f>
        <v>42</v>
      </c>
      <c r="C64" s="203">
        <v>45</v>
      </c>
      <c r="D64" s="188">
        <f t="shared" si="4"/>
        <v>1890</v>
      </c>
      <c r="E64" s="203"/>
      <c r="F64" s="259"/>
      <c r="G64" s="219"/>
      <c r="H64" s="200"/>
      <c r="I64" s="201"/>
      <c r="J64" s="220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38.836365891927699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89">
        <f>'Données projet'!A73</f>
        <v>95</v>
      </c>
      <c r="B65" s="190">
        <f>'Données projet'!D73</f>
        <v>42</v>
      </c>
      <c r="C65" s="203">
        <v>50</v>
      </c>
      <c r="D65" s="188">
        <f t="shared" si="4"/>
        <v>2100</v>
      </c>
      <c r="E65" s="203"/>
      <c r="F65" s="259"/>
      <c r="G65" s="219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37.163986499452363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89">
        <f>'Données projet'!A74</f>
        <v>105</v>
      </c>
      <c r="B66" s="190">
        <f>'Données projet'!D74</f>
        <v>41</v>
      </c>
      <c r="C66" s="203">
        <v>60</v>
      </c>
      <c r="D66" s="188">
        <f t="shared" si="4"/>
        <v>2460</v>
      </c>
      <c r="E66" s="203"/>
      <c r="F66" s="259"/>
      <c r="G66" s="219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35.563623444452034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89">
        <f>'Données projet'!A75</f>
        <v>115</v>
      </c>
      <c r="B67" s="190">
        <f>'Données projet'!D75</f>
        <v>37</v>
      </c>
      <c r="C67" s="203">
        <v>70</v>
      </c>
      <c r="D67" s="188">
        <f t="shared" si="4"/>
        <v>2590</v>
      </c>
      <c r="E67" s="203"/>
      <c r="F67" s="259"/>
      <c r="G67" s="219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34.032175544930176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89">
        <f>'Données projet'!A76</f>
        <v>125</v>
      </c>
      <c r="B68" s="190">
        <f>'Données projet'!D76</f>
        <v>33</v>
      </c>
      <c r="C68" s="203">
        <v>80</v>
      </c>
      <c r="D68" s="188">
        <f t="shared" si="4"/>
        <v>2640</v>
      </c>
      <c r="E68" s="203"/>
      <c r="F68" s="259"/>
      <c r="G68" s="219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32.566675162612611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89">
        <f>'Données projet'!A77</f>
        <v>135</v>
      </c>
      <c r="B69" s="190">
        <f>'Données projet'!D77</f>
        <v>29</v>
      </c>
      <c r="C69" s="203">
        <v>100</v>
      </c>
      <c r="D69" s="188">
        <f t="shared" si="4"/>
        <v>2900</v>
      </c>
      <c r="E69" s="203"/>
      <c r="F69" s="259"/>
      <c r="G69" s="219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31.164282452260878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89">
        <f>'Données projet'!A78</f>
        <v>145</v>
      </c>
      <c r="B70" s="190">
        <f>'Données projet'!D78</f>
        <v>0</v>
      </c>
      <c r="C70" s="203">
        <v>150</v>
      </c>
      <c r="D70" s="188">
        <f t="shared" si="4"/>
        <v>0</v>
      </c>
      <c r="E70" s="203"/>
      <c r="F70" s="259"/>
      <c r="G70" s="219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29.822279858622849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89">
        <f>'Données projet'!A79</f>
        <v>150</v>
      </c>
      <c r="B71" s="190">
        <f>'Données projet'!D79</f>
        <v>293</v>
      </c>
      <c r="C71" s="203">
        <v>200</v>
      </c>
      <c r="D71" s="188">
        <f t="shared" si="4"/>
        <v>58600</v>
      </c>
      <c r="E71" s="203"/>
      <c r="F71" s="259"/>
      <c r="G71" s="219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28.538066850356799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89">
        <f>'Données projet'!A80</f>
        <v>0</v>
      </c>
      <c r="B72" s="190">
        <f>'Données projet'!D80</f>
        <v>0</v>
      </c>
      <c r="C72" s="203"/>
      <c r="D72" s="188">
        <f t="shared" si="4"/>
        <v>0</v>
      </c>
      <c r="E72" s="203"/>
      <c r="F72" s="259"/>
      <c r="G72" s="219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27.309154880724208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89">
        <f>'Données projet'!A81</f>
        <v>0</v>
      </c>
      <c r="B73" s="190">
        <f>'Données projet'!D81</f>
        <v>0</v>
      </c>
      <c r="C73" s="203"/>
      <c r="D73" s="188">
        <f t="shared" si="4"/>
        <v>0</v>
      </c>
      <c r="E73" s="203"/>
      <c r="F73" s="259"/>
      <c r="G73" s="219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26.13316256528633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57"/>
      <c r="G74" s="219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25.007811067259649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57"/>
      <c r="G75" s="219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23.930919681588186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3" t="str">
        <f>IF('Données projet'!B11="","",'Données projet'!B11)</f>
        <v>Aulne glutineux</v>
      </c>
      <c r="C76" s="5"/>
      <c r="D76" s="5"/>
      <c r="E76" s="5"/>
      <c r="F76" s="257"/>
      <c r="G76" s="219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22.900401609175297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57"/>
      <c r="G77" s="219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21.914259913086411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20.970583648886517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06">
        <v>0</v>
      </c>
      <c r="B79" s="209" t="s">
        <v>132</v>
      </c>
      <c r="C79" s="208" t="s">
        <v>132</v>
      </c>
      <c r="D79" s="207" t="s">
        <v>132</v>
      </c>
      <c r="E79" s="203"/>
      <c r="F79" s="258"/>
      <c r="G79" s="219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20.067544161613899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06">
        <v>1</v>
      </c>
      <c r="B80" s="209" t="s">
        <v>132</v>
      </c>
      <c r="C80" s="208" t="s">
        <v>132</v>
      </c>
      <c r="D80" s="207" t="s">
        <v>132</v>
      </c>
      <c r="E80" s="203"/>
      <c r="F80" s="258"/>
      <c r="G80" s="217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19.203391542214256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06">
        <v>2</v>
      </c>
      <c r="B81" s="209" t="s">
        <v>132</v>
      </c>
      <c r="C81" s="208" t="s">
        <v>132</v>
      </c>
      <c r="D81" s="207" t="s">
        <v>132</v>
      </c>
      <c r="E81" s="203"/>
      <c r="F81" s="258"/>
      <c r="G81" s="217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18.376451236568673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06">
        <v>3</v>
      </c>
      <c r="B82" s="209" t="s">
        <v>132</v>
      </c>
      <c r="C82" s="208"/>
      <c r="D82" s="207" t="s">
        <v>132</v>
      </c>
      <c r="E82" s="203"/>
      <c r="F82" s="258"/>
      <c r="G82" s="217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17.585120800544182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06">
        <v>4</v>
      </c>
      <c r="B83" s="209" t="s">
        <v>132</v>
      </c>
      <c r="C83" s="208"/>
      <c r="D83" s="207" t="s">
        <v>132</v>
      </c>
      <c r="E83" s="203"/>
      <c r="F83" s="258"/>
      <c r="G83" s="217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16.827866794779126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06">
        <v>5</v>
      </c>
      <c r="B84" s="209" t="s">
        <v>132</v>
      </c>
      <c r="C84" s="208"/>
      <c r="D84" s="207" t="s">
        <v>132</v>
      </c>
      <c r="E84" s="203"/>
      <c r="F84" s="258"/>
      <c r="G84" s="218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16.103221813185769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89">
        <f>'Données projet'!A88</f>
        <v>10</v>
      </c>
      <c r="B85" s="190">
        <f>'Données projet'!D88</f>
        <v>0</v>
      </c>
      <c r="C85" s="201"/>
      <c r="D85" s="188">
        <f>B85*C85</f>
        <v>0</v>
      </c>
      <c r="E85" s="203"/>
      <c r="F85" s="259"/>
      <c r="G85" s="218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15.409781639412222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89">
        <f>'Données projet'!A89</f>
        <v>15</v>
      </c>
      <c r="B86" s="190">
        <f>'Données projet'!D89</f>
        <v>0</v>
      </c>
      <c r="C86" s="201"/>
      <c r="D86" s="188">
        <f t="shared" ref="D86:D104" si="6">B86*C86</f>
        <v>0</v>
      </c>
      <c r="E86" s="203"/>
      <c r="F86" s="259"/>
      <c r="G86" s="218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14.74620252575332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89">
        <f>'Données projet'!A90</f>
        <v>20</v>
      </c>
      <c r="B87" s="190">
        <f>'Données projet'!D90</f>
        <v>12</v>
      </c>
      <c r="C87" s="201">
        <v>5</v>
      </c>
      <c r="D87" s="188">
        <f t="shared" si="6"/>
        <v>60</v>
      </c>
      <c r="E87" s="203"/>
      <c r="F87" s="259"/>
      <c r="G87" s="218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14.111198589237633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89">
        <f>'Données projet'!A91</f>
        <v>25</v>
      </c>
      <c r="B88" s="190">
        <f>'Données projet'!D91</f>
        <v>0</v>
      </c>
      <c r="C88" s="203">
        <v>5</v>
      </c>
      <c r="D88" s="188">
        <f t="shared" si="6"/>
        <v>0</v>
      </c>
      <c r="E88" s="203"/>
      <c r="F88" s="259"/>
      <c r="G88" s="218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13.503539319844624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89">
        <f>'Données projet'!A92</f>
        <v>30</v>
      </c>
      <c r="B89" s="190">
        <f>'Données projet'!D92</f>
        <v>38</v>
      </c>
      <c r="C89" s="203">
        <v>10</v>
      </c>
      <c r="D89" s="188">
        <f t="shared" si="6"/>
        <v>380</v>
      </c>
      <c r="E89" s="203"/>
      <c r="F89" s="259"/>
      <c r="G89" s="218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12.922047196023566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89">
        <f>'Données projet'!A93</f>
        <v>35</v>
      </c>
      <c r="B90" s="190">
        <f>'Données projet'!D93</f>
        <v>0</v>
      </c>
      <c r="C90" s="203">
        <v>10</v>
      </c>
      <c r="D90" s="188">
        <f t="shared" si="6"/>
        <v>0</v>
      </c>
      <c r="E90" s="203"/>
      <c r="F90" s="259"/>
      <c r="G90" s="218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12.365595402893366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89">
        <f>'Données projet'!A94</f>
        <v>40</v>
      </c>
      <c r="B91" s="190">
        <f>'Données projet'!D94</f>
        <v>43</v>
      </c>
      <c r="C91" s="203">
        <v>15</v>
      </c>
      <c r="D91" s="188">
        <f t="shared" si="6"/>
        <v>645</v>
      </c>
      <c r="E91" s="203"/>
      <c r="F91" s="259"/>
      <c r="G91" s="219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11.833105648701789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89">
        <f>'Données projet'!A95</f>
        <v>45</v>
      </c>
      <c r="B92" s="190">
        <f>'Données projet'!D95</f>
        <v>0</v>
      </c>
      <c r="C92" s="203">
        <v>15</v>
      </c>
      <c r="D92" s="188">
        <f t="shared" si="6"/>
        <v>0</v>
      </c>
      <c r="E92" s="203"/>
      <c r="F92" s="259"/>
      <c r="G92" s="219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11.323546075312716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89">
        <f>'Données projet'!A96</f>
        <v>50</v>
      </c>
      <c r="B93" s="190">
        <f>'Données projet'!D96</f>
        <v>43</v>
      </c>
      <c r="C93" s="203">
        <v>20</v>
      </c>
      <c r="D93" s="188">
        <f t="shared" si="6"/>
        <v>860</v>
      </c>
      <c r="E93" s="203"/>
      <c r="F93" s="259"/>
      <c r="G93" s="219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10.835929258672458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89">
        <f>'Données projet'!A97</f>
        <v>55</v>
      </c>
      <c r="B94" s="190">
        <f>'Données projet'!D97</f>
        <v>0</v>
      </c>
      <c r="C94" s="203">
        <v>20</v>
      </c>
      <c r="D94" s="188">
        <f t="shared" si="6"/>
        <v>0</v>
      </c>
      <c r="E94" s="203"/>
      <c r="F94" s="259"/>
      <c r="G94" s="219"/>
      <c r="H94" s="200"/>
      <c r="I94" s="201"/>
      <c r="J94" s="5"/>
      <c r="K94" s="180"/>
      <c r="L94" s="5"/>
      <c r="M94" s="5"/>
      <c r="N94" s="5"/>
      <c r="O94" s="204">
        <f>IF(O93+1&lt;=MIN('Données projet'!$E$9:$E$18),O93+1,"STOP")</f>
        <v>61</v>
      </c>
      <c r="P94" s="194">
        <f t="shared" si="5"/>
        <v>10.369310295380339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89">
        <f>'Données projet'!A98</f>
        <v>60</v>
      </c>
      <c r="B95" s="190">
        <f>'Données projet'!D98</f>
        <v>39</v>
      </c>
      <c r="C95" s="203">
        <v>30</v>
      </c>
      <c r="D95" s="188">
        <f t="shared" si="6"/>
        <v>1170</v>
      </c>
      <c r="E95" s="203"/>
      <c r="F95" s="259"/>
      <c r="G95" s="219"/>
      <c r="H95" s="200"/>
      <c r="I95" s="201"/>
      <c r="J95" s="5"/>
      <c r="K95" s="180"/>
      <c r="L95" s="5"/>
      <c r="M95" s="5"/>
      <c r="N95" s="5"/>
      <c r="O95" s="204">
        <f>IF(O94+1&lt;=MIN('Données projet'!$E$9:$E$18),O94+1,"STOP")</f>
        <v>62</v>
      </c>
      <c r="P95" s="194">
        <f t="shared" si="5"/>
        <v>9.9227849716558332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89">
        <f>'Données projet'!A99</f>
        <v>65</v>
      </c>
      <c r="B96" s="190">
        <f>'Données projet'!D99</f>
        <v>0</v>
      </c>
      <c r="C96" s="203">
        <v>30</v>
      </c>
      <c r="D96" s="188">
        <f t="shared" si="6"/>
        <v>0</v>
      </c>
      <c r="E96" s="203"/>
      <c r="F96" s="259"/>
      <c r="G96" s="219"/>
      <c r="H96" s="200"/>
      <c r="I96" s="201"/>
      <c r="J96" s="5"/>
      <c r="K96" s="180"/>
      <c r="L96" s="5"/>
      <c r="M96" s="5"/>
      <c r="N96" s="5"/>
      <c r="O96" s="204">
        <f>IF(O95+1&lt;=MIN('Données projet'!$E$9:$E$18),O95+1,"STOP")</f>
        <v>63</v>
      </c>
      <c r="P96" s="194">
        <f t="shared" si="5"/>
        <v>9.4954880111539044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89">
        <f>'Données projet'!A100</f>
        <v>70</v>
      </c>
      <c r="B97" s="190">
        <f>'Données projet'!D100</f>
        <v>35</v>
      </c>
      <c r="C97" s="203">
        <v>40</v>
      </c>
      <c r="D97" s="188">
        <f t="shared" si="6"/>
        <v>1400</v>
      </c>
      <c r="E97" s="203"/>
      <c r="F97" s="259"/>
      <c r="G97" s="219"/>
      <c r="H97" s="200"/>
      <c r="I97" s="201"/>
      <c r="J97" s="5"/>
      <c r="K97" s="180"/>
      <c r="L97" s="5"/>
      <c r="M97" s="5"/>
      <c r="N97" s="5"/>
      <c r="O97" s="204">
        <f>IF(O96+1&lt;=MIN('Données projet'!$E$9:$E$18),O96+1,"STOP")</f>
        <v>64</v>
      </c>
      <c r="P97" s="194">
        <f t="shared" ref="P97:P128" si="7">$P$25/(1+$M$4)^O97</f>
        <v>9.0865913982334074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89">
        <f>'Données projet'!A101</f>
        <v>75</v>
      </c>
      <c r="B98" s="190">
        <f>'Données projet'!D101</f>
        <v>0</v>
      </c>
      <c r="C98" s="203">
        <v>40</v>
      </c>
      <c r="D98" s="188">
        <f t="shared" si="6"/>
        <v>0</v>
      </c>
      <c r="E98" s="203"/>
      <c r="F98" s="259"/>
      <c r="G98" s="219"/>
      <c r="H98" s="200"/>
      <c r="I98" s="201"/>
      <c r="J98" s="5"/>
      <c r="K98" s="180"/>
      <c r="L98" s="5"/>
      <c r="M98" s="5"/>
      <c r="N98" s="5"/>
      <c r="O98" s="204">
        <f>IF(O97+1&lt;=MIN('Données projet'!$E$9:$E$18),O97+1,"STOP")</f>
        <v>65</v>
      </c>
      <c r="P98" s="194">
        <f t="shared" si="7"/>
        <v>8.6953027734290966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89">
        <f>'Données projet'!A102</f>
        <v>80</v>
      </c>
      <c r="B99" s="190">
        <f>'Données projet'!D102</f>
        <v>31</v>
      </c>
      <c r="C99" s="203">
        <v>45</v>
      </c>
      <c r="D99" s="188">
        <f t="shared" si="6"/>
        <v>1395</v>
      </c>
      <c r="E99" s="203"/>
      <c r="F99" s="259"/>
      <c r="G99" s="219"/>
      <c r="H99" s="200"/>
      <c r="I99" s="201"/>
      <c r="J99" s="5"/>
      <c r="K99" s="180"/>
      <c r="L99" s="5"/>
      <c r="M99" s="5"/>
      <c r="N99" s="5"/>
      <c r="O99" s="204">
        <f>IF(O98+1&lt;=MIN('Données projet'!$E$9:$E$18),O98+1,"STOP")</f>
        <v>66</v>
      </c>
      <c r="P99" s="194">
        <f t="shared" si="7"/>
        <v>8.3208638980182776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89">
        <f>'Données projet'!A103</f>
        <v>85</v>
      </c>
      <c r="B100" s="190">
        <f>'Données projet'!D103</f>
        <v>0</v>
      </c>
      <c r="C100" s="203">
        <v>45</v>
      </c>
      <c r="D100" s="188">
        <f t="shared" si="6"/>
        <v>0</v>
      </c>
      <c r="E100" s="203"/>
      <c r="F100" s="259"/>
      <c r="G100" s="219"/>
      <c r="H100" s="200"/>
      <c r="I100" s="201"/>
      <c r="J100" s="5"/>
      <c r="K100" s="180"/>
      <c r="L100" s="5"/>
      <c r="M100" s="5"/>
      <c r="N100" s="5"/>
      <c r="O100" s="204">
        <f>IF(O99+1&lt;=MIN('Données projet'!$E$9:$E$18),O99+1,"STOP")</f>
        <v>67</v>
      </c>
      <c r="P100" s="194">
        <f t="shared" si="7"/>
        <v>7.9625491847064849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89">
        <f>'Données projet'!A104</f>
        <v>90</v>
      </c>
      <c r="B101" s="190">
        <f>'Données projet'!D104</f>
        <v>231</v>
      </c>
      <c r="C101" s="203">
        <v>50</v>
      </c>
      <c r="D101" s="188">
        <f t="shared" si="6"/>
        <v>11550</v>
      </c>
      <c r="E101" s="203"/>
      <c r="F101" s="259"/>
      <c r="G101" s="219"/>
      <c r="H101" s="200"/>
      <c r="I101" s="201"/>
      <c r="J101" s="5"/>
      <c r="K101" s="180"/>
      <c r="L101" s="5"/>
      <c r="M101" s="5"/>
      <c r="N101" s="5"/>
      <c r="O101" s="204">
        <f>IF(O100+1&lt;=MIN('Données projet'!$E$9:$E$18),O100+1,"STOP")</f>
        <v>68</v>
      </c>
      <c r="P101" s="194">
        <f t="shared" si="7"/>
        <v>7.6196642915851545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89">
        <f>'Données projet'!A105</f>
        <v>0</v>
      </c>
      <c r="B102" s="190">
        <f>'Données projet'!D105</f>
        <v>0</v>
      </c>
      <c r="C102" s="203"/>
      <c r="D102" s="188">
        <f t="shared" si="6"/>
        <v>0</v>
      </c>
      <c r="E102" s="203"/>
      <c r="F102" s="259"/>
      <c r="G102" s="219"/>
      <c r="H102" s="200"/>
      <c r="I102" s="201"/>
      <c r="J102" s="5"/>
      <c r="K102" s="180"/>
      <c r="L102" s="5"/>
      <c r="M102" s="5"/>
      <c r="N102" s="5"/>
      <c r="O102" s="204">
        <f>IF(O101+1&lt;=MIN('Données projet'!$E$9:$E$18),O101+1,"STOP")</f>
        <v>69</v>
      </c>
      <c r="P102" s="194">
        <f t="shared" si="7"/>
        <v>7.2915447766365116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89">
        <f>'Données projet'!A106</f>
        <v>0</v>
      </c>
      <c r="B103" s="190">
        <f>'Données projet'!D106</f>
        <v>0</v>
      </c>
      <c r="C103" s="203"/>
      <c r="D103" s="188">
        <f t="shared" si="6"/>
        <v>0</v>
      </c>
      <c r="E103" s="203"/>
      <c r="F103" s="259"/>
      <c r="G103" s="219"/>
      <c r="H103" s="200"/>
      <c r="I103" s="201"/>
      <c r="J103" s="5"/>
      <c r="K103" s="180"/>
      <c r="L103" s="5"/>
      <c r="M103" s="5"/>
      <c r="N103" s="5"/>
      <c r="O103" s="204">
        <f>IF(O102+1&lt;=MIN('Données projet'!$E$9:$E$18),O102+1,"STOP")</f>
        <v>70</v>
      </c>
      <c r="P103" s="194">
        <f t="shared" si="7"/>
        <v>6.9775548101784821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89">
        <f>'Données projet'!A107</f>
        <v>0</v>
      </c>
      <c r="B104" s="190">
        <f>'Données projet'!D107</f>
        <v>0</v>
      </c>
      <c r="C104" s="203"/>
      <c r="D104" s="188">
        <f t="shared" si="6"/>
        <v>0</v>
      </c>
      <c r="E104" s="203"/>
      <c r="F104" s="259"/>
      <c r="G104" s="219"/>
      <c r="H104" s="200"/>
      <c r="I104" s="201"/>
      <c r="J104" s="5"/>
      <c r="K104" s="180"/>
      <c r="L104" s="5"/>
      <c r="M104" s="5"/>
      <c r="N104" s="5"/>
      <c r="O104" s="204">
        <f>IF(O103+1&lt;=MIN('Données projet'!$E$9:$E$18),O103+1,"STOP")</f>
        <v>71</v>
      </c>
      <c r="P104" s="194">
        <f t="shared" si="7"/>
        <v>6.6770859427545277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57"/>
      <c r="G105" s="219"/>
      <c r="H105" s="200"/>
      <c r="I105" s="201"/>
      <c r="J105" s="5"/>
      <c r="K105" s="180"/>
      <c r="L105" s="5"/>
      <c r="M105" s="5"/>
      <c r="N105" s="5"/>
      <c r="O105" s="204">
        <f>IF(O104+1&lt;=MIN('Données projet'!$E$9:$E$18),O104+1,"STOP")</f>
        <v>72</v>
      </c>
      <c r="P105" s="194">
        <f t="shared" si="7"/>
        <v>6.3895559260808898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57"/>
      <c r="G106" s="219"/>
      <c r="H106" s="200"/>
      <c r="I106" s="201"/>
      <c r="J106" s="5"/>
      <c r="K106" s="180"/>
      <c r="L106" s="5"/>
      <c r="M106" s="5"/>
      <c r="N106" s="5"/>
      <c r="O106" s="204">
        <f>IF(O105+1&lt;=MIN('Données projet'!$E$9:$E$18),O105+1,"STOP")</f>
        <v>73</v>
      </c>
      <c r="P106" s="194">
        <f t="shared" si="7"/>
        <v>6.1144075847664023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3" t="str">
        <f>IF('Données projet'!B12="","",'Données projet'!B12)</f>
        <v>Bouleau verruqueux</v>
      </c>
      <c r="C107" s="5"/>
      <c r="D107" s="5"/>
      <c r="E107" s="5"/>
      <c r="F107" s="257"/>
      <c r="G107" s="219"/>
      <c r="H107" s="200"/>
      <c r="I107" s="201"/>
      <c r="J107" s="5"/>
      <c r="K107" s="180"/>
      <c r="L107" s="5"/>
      <c r="M107" s="5"/>
      <c r="N107" s="5"/>
      <c r="O107" s="204">
        <f>IF(O106+1&lt;=MIN('Données projet'!$E$9:$E$18),O106+1,"STOP")</f>
        <v>74</v>
      </c>
      <c r="P107" s="194">
        <f t="shared" si="7"/>
        <v>5.8511077366185669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57"/>
      <c r="G108" s="219"/>
      <c r="H108" s="200"/>
      <c r="I108" s="201"/>
      <c r="J108" s="5"/>
      <c r="K108" s="180"/>
      <c r="L108" s="5"/>
      <c r="M108" s="5"/>
      <c r="N108" s="5"/>
      <c r="O108" s="204">
        <f>IF(O107+1&lt;=MIN('Données projet'!$E$9:$E$18),O107+1,"STOP")</f>
        <v>75</v>
      </c>
      <c r="P108" s="194">
        <f t="shared" si="7"/>
        <v>5.5991461594436052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200"/>
      <c r="I109" s="201"/>
      <c r="J109" s="5"/>
      <c r="K109" s="180"/>
      <c r="L109" s="5"/>
      <c r="M109" s="5"/>
      <c r="N109" s="5"/>
      <c r="O109" s="204" t="str">
        <f>IF(O108+1&lt;=MIN('Données projet'!$E$9:$E$18),O108+1,"STOP")</f>
        <v>STOP</v>
      </c>
      <c r="P109" s="194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06">
        <v>0</v>
      </c>
      <c r="B110" s="209" t="s">
        <v>132</v>
      </c>
      <c r="C110" s="208" t="s">
        <v>132</v>
      </c>
      <c r="D110" s="207" t="s">
        <v>132</v>
      </c>
      <c r="E110" s="203"/>
      <c r="F110" s="258"/>
      <c r="G110" s="219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06">
        <v>1</v>
      </c>
      <c r="B111" s="209" t="s">
        <v>132</v>
      </c>
      <c r="C111" s="208" t="s">
        <v>132</v>
      </c>
      <c r="D111" s="207" t="s">
        <v>132</v>
      </c>
      <c r="E111" s="203"/>
      <c r="F111" s="258"/>
      <c r="G111" s="217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06">
        <v>2</v>
      </c>
      <c r="B112" s="209" t="s">
        <v>132</v>
      </c>
      <c r="C112" s="208" t="s">
        <v>132</v>
      </c>
      <c r="D112" s="207" t="s">
        <v>132</v>
      </c>
      <c r="E112" s="203"/>
      <c r="F112" s="258"/>
      <c r="G112" s="217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06">
        <v>3</v>
      </c>
      <c r="B113" s="209" t="s">
        <v>132</v>
      </c>
      <c r="C113" s="208"/>
      <c r="D113" s="207" t="s">
        <v>132</v>
      </c>
      <c r="E113" s="203"/>
      <c r="F113" s="258"/>
      <c r="G113" s="217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06">
        <v>4</v>
      </c>
      <c r="B114" s="209" t="s">
        <v>132</v>
      </c>
      <c r="C114" s="208"/>
      <c r="D114" s="207" t="s">
        <v>132</v>
      </c>
      <c r="E114" s="203"/>
      <c r="F114" s="258"/>
      <c r="G114" s="217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06">
        <v>5</v>
      </c>
      <c r="B115" s="209" t="s">
        <v>132</v>
      </c>
      <c r="C115" s="208"/>
      <c r="D115" s="207" t="s">
        <v>132</v>
      </c>
      <c r="E115" s="203"/>
      <c r="F115" s="258"/>
      <c r="G115" s="218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89">
        <f>'Données projet'!A114</f>
        <v>15</v>
      </c>
      <c r="B116" s="190">
        <f>'Données projet'!D114</f>
        <v>0</v>
      </c>
      <c r="C116" s="201"/>
      <c r="D116" s="188">
        <f>B116*C116</f>
        <v>0</v>
      </c>
      <c r="E116" s="203"/>
      <c r="F116" s="259"/>
      <c r="G116" s="218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89">
        <f>'Données projet'!A115</f>
        <v>20</v>
      </c>
      <c r="B117" s="190">
        <f>'Données projet'!D115</f>
        <v>15</v>
      </c>
      <c r="C117" s="203">
        <v>10</v>
      </c>
      <c r="D117" s="188">
        <f t="shared" ref="D117:D135" si="8">B117*C117</f>
        <v>150</v>
      </c>
      <c r="E117" s="203"/>
      <c r="F117" s="259"/>
      <c r="G117" s="218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89">
        <f>'Données projet'!A116</f>
        <v>25</v>
      </c>
      <c r="B118" s="190">
        <f>'Données projet'!D116</f>
        <v>0</v>
      </c>
      <c r="C118" s="203">
        <v>10</v>
      </c>
      <c r="D118" s="188">
        <f t="shared" si="8"/>
        <v>0</v>
      </c>
      <c r="E118" s="203"/>
      <c r="F118" s="259"/>
      <c r="G118" s="218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89">
        <f>'Données projet'!A117</f>
        <v>30</v>
      </c>
      <c r="B119" s="190">
        <f>'Données projet'!D117</f>
        <v>21</v>
      </c>
      <c r="C119" s="203">
        <v>15</v>
      </c>
      <c r="D119" s="188">
        <f t="shared" si="8"/>
        <v>315</v>
      </c>
      <c r="E119" s="203"/>
      <c r="F119" s="259"/>
      <c r="G119" s="218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89">
        <f>'Données projet'!A118</f>
        <v>35</v>
      </c>
      <c r="B120" s="190">
        <f>'Données projet'!D118</f>
        <v>0</v>
      </c>
      <c r="C120" s="203">
        <v>15</v>
      </c>
      <c r="D120" s="188">
        <f t="shared" si="8"/>
        <v>0</v>
      </c>
      <c r="E120" s="203"/>
      <c r="F120" s="259"/>
      <c r="G120" s="218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89">
        <f>'Données projet'!A119</f>
        <v>40</v>
      </c>
      <c r="B121" s="190">
        <f>'Données projet'!D119</f>
        <v>25</v>
      </c>
      <c r="C121" s="203">
        <v>20</v>
      </c>
      <c r="D121" s="188">
        <f t="shared" si="8"/>
        <v>500</v>
      </c>
      <c r="E121" s="203"/>
      <c r="F121" s="259"/>
      <c r="G121" s="218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89">
        <f>'Données projet'!A120</f>
        <v>45</v>
      </c>
      <c r="B122" s="190">
        <f>'Données projet'!D120</f>
        <v>0</v>
      </c>
      <c r="C122" s="203">
        <v>20</v>
      </c>
      <c r="D122" s="188">
        <f t="shared" si="8"/>
        <v>0</v>
      </c>
      <c r="E122" s="203"/>
      <c r="F122" s="259"/>
      <c r="G122" s="219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89">
        <f>'Données projet'!A121</f>
        <v>50</v>
      </c>
      <c r="B123" s="190">
        <f>'Données projet'!D121</f>
        <v>28</v>
      </c>
      <c r="C123" s="203">
        <v>25</v>
      </c>
      <c r="D123" s="188">
        <f t="shared" si="8"/>
        <v>700</v>
      </c>
      <c r="E123" s="203"/>
      <c r="F123" s="259"/>
      <c r="G123" s="219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89">
        <f>'Données projet'!A122</f>
        <v>55</v>
      </c>
      <c r="B124" s="190">
        <f>'Données projet'!D122</f>
        <v>0</v>
      </c>
      <c r="C124" s="203">
        <v>25</v>
      </c>
      <c r="D124" s="188">
        <f t="shared" si="8"/>
        <v>0</v>
      </c>
      <c r="E124" s="203"/>
      <c r="F124" s="259"/>
      <c r="G124" s="219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89">
        <f>'Données projet'!A123</f>
        <v>60</v>
      </c>
      <c r="B125" s="190">
        <f>'Données projet'!D123</f>
        <v>28</v>
      </c>
      <c r="C125" s="203">
        <v>30</v>
      </c>
      <c r="D125" s="188">
        <f t="shared" si="8"/>
        <v>840</v>
      </c>
      <c r="E125" s="203"/>
      <c r="F125" s="259"/>
      <c r="G125" s="219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89">
        <f>'Données projet'!A124</f>
        <v>65</v>
      </c>
      <c r="B126" s="190">
        <f>'Données projet'!D124</f>
        <v>0</v>
      </c>
      <c r="C126" s="203">
        <v>30</v>
      </c>
      <c r="D126" s="188">
        <f t="shared" si="8"/>
        <v>0</v>
      </c>
      <c r="E126" s="203"/>
      <c r="F126" s="259"/>
      <c r="G126" s="219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89">
        <f>'Données projet'!A125</f>
        <v>70</v>
      </c>
      <c r="B127" s="190">
        <f>'Données projet'!D125</f>
        <v>28</v>
      </c>
      <c r="C127" s="203">
        <v>35</v>
      </c>
      <c r="D127" s="188">
        <f t="shared" si="8"/>
        <v>980</v>
      </c>
      <c r="E127" s="203"/>
      <c r="F127" s="259"/>
      <c r="G127" s="219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89">
        <f>'Données projet'!A126</f>
        <v>75</v>
      </c>
      <c r="B128" s="190">
        <f>'Données projet'!D126</f>
        <v>0</v>
      </c>
      <c r="C128" s="203">
        <v>35</v>
      </c>
      <c r="D128" s="188">
        <f t="shared" si="8"/>
        <v>0</v>
      </c>
      <c r="E128" s="203"/>
      <c r="F128" s="259"/>
      <c r="G128" s="219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89">
        <f>'Données projet'!A127</f>
        <v>80</v>
      </c>
      <c r="B129" s="190">
        <f>'Données projet'!D127</f>
        <v>27</v>
      </c>
      <c r="C129" s="203">
        <v>35</v>
      </c>
      <c r="D129" s="188">
        <f t="shared" si="8"/>
        <v>945</v>
      </c>
      <c r="E129" s="203"/>
      <c r="F129" s="259"/>
      <c r="G129" s="219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89">
        <f>'Données projet'!A128</f>
        <v>85</v>
      </c>
      <c r="B130" s="190">
        <f>'Données projet'!D128</f>
        <v>0</v>
      </c>
      <c r="C130" s="203">
        <v>35</v>
      </c>
      <c r="D130" s="188">
        <f t="shared" si="8"/>
        <v>0</v>
      </c>
      <c r="E130" s="203"/>
      <c r="F130" s="259"/>
      <c r="G130" s="219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89">
        <f>'Données projet'!A129</f>
        <v>90</v>
      </c>
      <c r="B131" s="190">
        <f>'Données projet'!D129</f>
        <v>259</v>
      </c>
      <c r="C131" s="203">
        <v>40</v>
      </c>
      <c r="D131" s="188">
        <f t="shared" si="8"/>
        <v>10360</v>
      </c>
      <c r="E131" s="203"/>
      <c r="F131" s="259"/>
      <c r="G131" s="219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89">
        <f>'Données projet'!A130</f>
        <v>0</v>
      </c>
      <c r="B132" s="190">
        <f>'Données projet'!D130</f>
        <v>0</v>
      </c>
      <c r="C132" s="203"/>
      <c r="D132" s="188">
        <f t="shared" si="8"/>
        <v>0</v>
      </c>
      <c r="E132" s="203"/>
      <c r="F132" s="259"/>
      <c r="G132" s="219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89">
        <f>'Données projet'!A131</f>
        <v>0</v>
      </c>
      <c r="B133" s="190">
        <f>'Données projet'!D131</f>
        <v>0</v>
      </c>
      <c r="C133" s="203"/>
      <c r="D133" s="188">
        <f t="shared" si="8"/>
        <v>0</v>
      </c>
      <c r="E133" s="203"/>
      <c r="F133" s="259"/>
      <c r="G133" s="219"/>
      <c r="H133" s="200"/>
      <c r="I133" s="201"/>
      <c r="J133" s="5"/>
      <c r="K133" s="180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89">
        <f>'Données projet'!A132</f>
        <v>0</v>
      </c>
      <c r="B134" s="190">
        <f>'Données projet'!D132</f>
        <v>0</v>
      </c>
      <c r="C134" s="203"/>
      <c r="D134" s="188">
        <f t="shared" si="8"/>
        <v>0</v>
      </c>
      <c r="E134" s="203"/>
      <c r="F134" s="259"/>
      <c r="G134" s="219"/>
      <c r="H134" s="200"/>
      <c r="I134" s="201"/>
      <c r="J134" s="5"/>
      <c r="K134" s="180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89">
        <f>'Données projet'!A133</f>
        <v>0</v>
      </c>
      <c r="B135" s="190">
        <f>'Données projet'!D133</f>
        <v>0</v>
      </c>
      <c r="C135" s="203"/>
      <c r="D135" s="188">
        <f t="shared" si="8"/>
        <v>0</v>
      </c>
      <c r="E135" s="203"/>
      <c r="F135" s="259"/>
      <c r="G135" s="219"/>
      <c r="H135" s="200"/>
      <c r="I135" s="201"/>
      <c r="J135" s="5"/>
      <c r="K135" s="180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57"/>
      <c r="G136" s="219"/>
      <c r="H136" s="200"/>
      <c r="I136" s="201"/>
      <c r="J136" s="5"/>
      <c r="K136" s="180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57"/>
      <c r="G137" s="219"/>
      <c r="H137" s="200"/>
      <c r="I137" s="201"/>
      <c r="J137" s="5"/>
      <c r="K137" s="180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3" t="str">
        <f>IF('Données projet'!B13="","",'Données projet'!B13)</f>
        <v>Charme</v>
      </c>
      <c r="C138" s="5"/>
      <c r="D138" s="5"/>
      <c r="E138" s="5"/>
      <c r="F138" s="257"/>
      <c r="G138" s="219"/>
      <c r="H138" s="200"/>
      <c r="I138" s="201"/>
      <c r="J138" s="5"/>
      <c r="K138" s="180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57"/>
      <c r="G139" s="219"/>
      <c r="H139" s="200"/>
      <c r="I139" s="201"/>
      <c r="J139" s="5"/>
      <c r="K139" s="180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200"/>
      <c r="I140" s="201"/>
      <c r="J140" s="5"/>
      <c r="K140" s="180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06">
        <v>0</v>
      </c>
      <c r="B141" s="209" t="s">
        <v>132</v>
      </c>
      <c r="C141" s="208"/>
      <c r="D141" s="207" t="s">
        <v>132</v>
      </c>
      <c r="E141" s="203"/>
      <c r="F141" s="258"/>
      <c r="G141" s="219"/>
      <c r="H141" s="200"/>
      <c r="I141" s="201"/>
      <c r="J141" s="5"/>
      <c r="K141" s="180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06">
        <v>1</v>
      </c>
      <c r="B142" s="209" t="s">
        <v>132</v>
      </c>
      <c r="C142" s="208"/>
      <c r="D142" s="207" t="s">
        <v>132</v>
      </c>
      <c r="E142" s="203"/>
      <c r="F142" s="258"/>
      <c r="G142" s="217"/>
      <c r="H142" s="200"/>
      <c r="I142" s="201"/>
      <c r="J142" s="5"/>
      <c r="K142" s="180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06">
        <v>2</v>
      </c>
      <c r="B143" s="209" t="s">
        <v>132</v>
      </c>
      <c r="C143" s="208"/>
      <c r="D143" s="207" t="s">
        <v>132</v>
      </c>
      <c r="E143" s="203"/>
      <c r="F143" s="258"/>
      <c r="G143" s="217"/>
      <c r="H143" s="200"/>
      <c r="I143" s="201"/>
      <c r="J143" s="5"/>
      <c r="K143" s="180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06">
        <v>3</v>
      </c>
      <c r="B144" s="209" t="s">
        <v>132</v>
      </c>
      <c r="C144" s="208"/>
      <c r="D144" s="207" t="s">
        <v>132</v>
      </c>
      <c r="E144" s="203"/>
      <c r="F144" s="258"/>
      <c r="G144" s="217"/>
      <c r="H144" s="200"/>
      <c r="I144" s="201"/>
      <c r="J144" s="5"/>
      <c r="K144" s="180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06">
        <v>4</v>
      </c>
      <c r="B145" s="209" t="s">
        <v>132</v>
      </c>
      <c r="C145" s="208"/>
      <c r="D145" s="207" t="s">
        <v>132</v>
      </c>
      <c r="E145" s="203"/>
      <c r="F145" s="258"/>
      <c r="G145" s="217"/>
      <c r="H145" s="200"/>
      <c r="I145" s="201"/>
      <c r="J145" s="5"/>
      <c r="K145" s="180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06">
        <v>5</v>
      </c>
      <c r="B146" s="209" t="s">
        <v>132</v>
      </c>
      <c r="C146" s="201"/>
      <c r="D146" s="207" t="s">
        <v>132</v>
      </c>
      <c r="E146" s="203"/>
      <c r="F146" s="258"/>
      <c r="G146" s="218"/>
      <c r="H146" s="200"/>
      <c r="I146" s="201"/>
      <c r="J146" s="5"/>
      <c r="K146" s="180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15</v>
      </c>
      <c r="B147" s="184">
        <f>'Données projet'!D140</f>
        <v>0</v>
      </c>
      <c r="C147" s="201">
        <v>10</v>
      </c>
      <c r="D147" s="191">
        <f>B147*C147</f>
        <v>0</v>
      </c>
      <c r="E147" s="203"/>
      <c r="F147" s="260"/>
      <c r="G147" s="218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20</v>
      </c>
      <c r="B148" s="184">
        <f>'Données projet'!D141</f>
        <v>16.666666666666668</v>
      </c>
      <c r="C148" s="201">
        <v>10</v>
      </c>
      <c r="D148" s="191">
        <f t="shared" ref="D148:D166" si="10">B148*C148</f>
        <v>166.66666666666669</v>
      </c>
      <c r="E148" s="203"/>
      <c r="F148" s="260"/>
      <c r="G148" s="218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25</v>
      </c>
      <c r="B149" s="184">
        <f>'Données projet'!D142</f>
        <v>0</v>
      </c>
      <c r="C149" s="201"/>
      <c r="D149" s="191">
        <f t="shared" si="10"/>
        <v>0</v>
      </c>
      <c r="E149" s="203"/>
      <c r="F149" s="260"/>
      <c r="G149" s="218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30</v>
      </c>
      <c r="B150" s="184">
        <f>'Données projet'!D143</f>
        <v>25.641025641025639</v>
      </c>
      <c r="C150" s="201">
        <v>10</v>
      </c>
      <c r="D150" s="191">
        <f t="shared" si="10"/>
        <v>256.41025641025641</v>
      </c>
      <c r="E150" s="203"/>
      <c r="F150" s="260"/>
      <c r="G150" s="218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35</v>
      </c>
      <c r="B151" s="184">
        <f>'Données projet'!D144</f>
        <v>0</v>
      </c>
      <c r="C151" s="201"/>
      <c r="D151" s="191">
        <f t="shared" si="10"/>
        <v>0</v>
      </c>
      <c r="E151" s="203"/>
      <c r="F151" s="260"/>
      <c r="G151" s="218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40</v>
      </c>
      <c r="B152" s="184">
        <f>'Données projet'!D145</f>
        <v>28.846153846153847</v>
      </c>
      <c r="C152" s="201">
        <v>10</v>
      </c>
      <c r="D152" s="191">
        <f t="shared" si="10"/>
        <v>288.46153846153845</v>
      </c>
      <c r="E152" s="203"/>
      <c r="F152" s="260"/>
      <c r="G152" s="218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45</v>
      </c>
      <c r="B153" s="184">
        <f>'Données projet'!D146</f>
        <v>0</v>
      </c>
      <c r="C153" s="201"/>
      <c r="D153" s="191">
        <f t="shared" si="10"/>
        <v>0</v>
      </c>
      <c r="E153" s="203"/>
      <c r="F153" s="260"/>
      <c r="G153" s="214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50</v>
      </c>
      <c r="B154" s="184">
        <f>'Données projet'!D147</f>
        <v>30.769230769230766</v>
      </c>
      <c r="C154" s="201">
        <v>15</v>
      </c>
      <c r="D154" s="191">
        <f t="shared" si="10"/>
        <v>461.53846153846149</v>
      </c>
      <c r="E154" s="203"/>
      <c r="F154" s="260"/>
      <c r="G154" s="214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55</v>
      </c>
      <c r="B155" s="184">
        <f>'Données projet'!D148</f>
        <v>0</v>
      </c>
      <c r="C155" s="201"/>
      <c r="D155" s="191">
        <f t="shared" si="10"/>
        <v>0</v>
      </c>
      <c r="E155" s="203"/>
      <c r="F155" s="260"/>
      <c r="G155" s="214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60</v>
      </c>
      <c r="B156" s="184">
        <f>'Données projet'!D149</f>
        <v>29.487179487179485</v>
      </c>
      <c r="C156" s="201">
        <v>20</v>
      </c>
      <c r="D156" s="191">
        <f t="shared" si="10"/>
        <v>589.74358974358972</v>
      </c>
      <c r="E156" s="203"/>
      <c r="F156" s="260"/>
      <c r="G156" s="214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65</v>
      </c>
      <c r="B157" s="184">
        <f>'Données projet'!D150</f>
        <v>0</v>
      </c>
      <c r="C157" s="201"/>
      <c r="D157" s="191">
        <f t="shared" si="10"/>
        <v>0</v>
      </c>
      <c r="E157" s="203"/>
      <c r="F157" s="260"/>
      <c r="G157" s="214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70</v>
      </c>
      <c r="B158" s="184">
        <f>'Données projet'!D151</f>
        <v>28.846153846153847</v>
      </c>
      <c r="C158" s="201">
        <v>20</v>
      </c>
      <c r="D158" s="191">
        <f t="shared" si="10"/>
        <v>576.92307692307691</v>
      </c>
      <c r="E158" s="203"/>
      <c r="F158" s="260"/>
      <c r="G158" s="214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75</v>
      </c>
      <c r="B159" s="184">
        <f>'Données projet'!D152</f>
        <v>0</v>
      </c>
      <c r="C159" s="201"/>
      <c r="D159" s="191">
        <f t="shared" si="10"/>
        <v>0</v>
      </c>
      <c r="E159" s="203"/>
      <c r="F159" s="260"/>
      <c r="G159" s="214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80</v>
      </c>
      <c r="B160" s="184">
        <f>'Données projet'!D153</f>
        <v>27.564102564102562</v>
      </c>
      <c r="C160" s="201">
        <v>25</v>
      </c>
      <c r="D160" s="191">
        <f t="shared" si="10"/>
        <v>689.10256410256409</v>
      </c>
      <c r="E160" s="203"/>
      <c r="F160" s="260"/>
      <c r="G160" s="214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85</v>
      </c>
      <c r="B161" s="184">
        <f>'Données projet'!D154</f>
        <v>0</v>
      </c>
      <c r="C161" s="201"/>
      <c r="D161" s="191">
        <f t="shared" si="10"/>
        <v>0</v>
      </c>
      <c r="E161" s="203"/>
      <c r="F161" s="260"/>
      <c r="G161" s="214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90</v>
      </c>
      <c r="B162" s="184">
        <f>'Données projet'!D155</f>
        <v>25.641025641025639</v>
      </c>
      <c r="C162" s="201">
        <v>30</v>
      </c>
      <c r="D162" s="191">
        <f t="shared" si="10"/>
        <v>769.23076923076917</v>
      </c>
      <c r="E162" s="203"/>
      <c r="F162" s="260"/>
      <c r="G162" s="214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100</v>
      </c>
      <c r="B163" s="184">
        <f>'Données projet'!D156</f>
        <v>23.717948717948715</v>
      </c>
      <c r="C163" s="201"/>
      <c r="D163" s="191">
        <f t="shared" si="10"/>
        <v>0</v>
      </c>
      <c r="E163" s="203"/>
      <c r="F163" s="260"/>
      <c r="G163" s="214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110</v>
      </c>
      <c r="B164" s="184">
        <f>'Données projet'!D157</f>
        <v>22.435897435897434</v>
      </c>
      <c r="C164" s="201">
        <v>35</v>
      </c>
      <c r="D164" s="191">
        <f t="shared" si="10"/>
        <v>785.25641025641016</v>
      </c>
      <c r="E164" s="203"/>
      <c r="F164" s="260"/>
      <c r="G164" s="214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120</v>
      </c>
      <c r="B165" s="184">
        <f>'Données projet'!D158</f>
        <v>259.61538461538458</v>
      </c>
      <c r="C165" s="201">
        <v>40</v>
      </c>
      <c r="D165" s="191">
        <f t="shared" si="10"/>
        <v>10384.615384615383</v>
      </c>
      <c r="E165" s="203"/>
      <c r="F165" s="260"/>
      <c r="G165" s="214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4">
        <f>'Données projet'!D159</f>
        <v>0</v>
      </c>
      <c r="C166" s="201">
        <v>50</v>
      </c>
      <c r="D166" s="191">
        <f t="shared" si="10"/>
        <v>0</v>
      </c>
      <c r="E166" s="203"/>
      <c r="F166" s="260"/>
      <c r="G166" s="214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57"/>
      <c r="G167" s="214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57"/>
      <c r="G168" s="214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3" t="str">
        <f>IF('Données projet'!B14="","",'Données projet'!B14)</f>
        <v>Tilleul</v>
      </c>
      <c r="C169" s="5"/>
      <c r="D169" s="5"/>
      <c r="E169" s="5"/>
      <c r="F169" s="257"/>
      <c r="G169" s="214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57"/>
      <c r="G170" s="214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06">
        <v>0</v>
      </c>
      <c r="B172" s="209" t="s">
        <v>132</v>
      </c>
      <c r="C172" s="208"/>
      <c r="D172" s="207" t="s">
        <v>132</v>
      </c>
      <c r="E172" s="203"/>
      <c r="F172" s="258"/>
      <c r="G172" s="214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06">
        <v>1</v>
      </c>
      <c r="B173" s="209" t="s">
        <v>132</v>
      </c>
      <c r="C173" s="208"/>
      <c r="D173" s="207" t="s">
        <v>132</v>
      </c>
      <c r="E173" s="203"/>
      <c r="F173" s="258"/>
      <c r="G173" s="217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06">
        <v>2</v>
      </c>
      <c r="B174" s="209" t="s">
        <v>132</v>
      </c>
      <c r="C174" s="208"/>
      <c r="D174" s="207" t="s">
        <v>132</v>
      </c>
      <c r="E174" s="203"/>
      <c r="F174" s="258"/>
      <c r="G174" s="217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06">
        <v>3</v>
      </c>
      <c r="B175" s="209" t="s">
        <v>132</v>
      </c>
      <c r="C175" s="208"/>
      <c r="D175" s="207" t="s">
        <v>132</v>
      </c>
      <c r="E175" s="203"/>
      <c r="F175" s="258"/>
      <c r="G175" s="217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06">
        <v>4</v>
      </c>
      <c r="B176" s="209" t="s">
        <v>132</v>
      </c>
      <c r="C176" s="208"/>
      <c r="D176" s="207" t="s">
        <v>132</v>
      </c>
      <c r="E176" s="203"/>
      <c r="F176" s="258"/>
      <c r="G176" s="217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06">
        <v>5</v>
      </c>
      <c r="B177" s="209" t="s">
        <v>132</v>
      </c>
      <c r="C177" s="208"/>
      <c r="D177" s="207" t="s">
        <v>132</v>
      </c>
      <c r="E177" s="203"/>
      <c r="F177" s="258"/>
      <c r="G177" s="218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89">
        <f>'Données projet'!A166</f>
        <v>15</v>
      </c>
      <c r="B178" s="190">
        <f>'Données projet'!D166</f>
        <v>0</v>
      </c>
      <c r="C178" s="203"/>
      <c r="D178" s="188">
        <f>B178*C178</f>
        <v>0</v>
      </c>
      <c r="E178" s="203"/>
      <c r="F178" s="259"/>
      <c r="G178" s="218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89">
        <f>'Données projet'!A167</f>
        <v>20</v>
      </c>
      <c r="B179" s="190">
        <f>'Données projet'!D167</f>
        <v>24.358974358974358</v>
      </c>
      <c r="C179" s="203">
        <v>10</v>
      </c>
      <c r="D179" s="188">
        <f t="shared" ref="D179:D197" si="11">B179*C179</f>
        <v>243.58974358974359</v>
      </c>
      <c r="E179" s="203"/>
      <c r="F179" s="259"/>
      <c r="G179" s="218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89">
        <f>'Données projet'!A168</f>
        <v>25</v>
      </c>
      <c r="B180" s="190">
        <f>'Données projet'!D168</f>
        <v>0</v>
      </c>
      <c r="C180" s="203">
        <v>10</v>
      </c>
      <c r="D180" s="188">
        <f t="shared" si="11"/>
        <v>0</v>
      </c>
      <c r="E180" s="203"/>
      <c r="F180" s="259"/>
      <c r="G180" s="218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89">
        <f>'Données projet'!A169</f>
        <v>30</v>
      </c>
      <c r="B181" s="190">
        <f>'Données projet'!D169</f>
        <v>32.692307692307693</v>
      </c>
      <c r="C181" s="203">
        <v>15</v>
      </c>
      <c r="D181" s="188">
        <f t="shared" si="11"/>
        <v>490.38461538461542</v>
      </c>
      <c r="E181" s="203"/>
      <c r="F181" s="259"/>
      <c r="G181" s="218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89">
        <f>'Données projet'!A170</f>
        <v>35</v>
      </c>
      <c r="B182" s="190">
        <f>'Données projet'!D170</f>
        <v>0</v>
      </c>
      <c r="C182" s="203">
        <v>15</v>
      </c>
      <c r="D182" s="188">
        <f t="shared" si="11"/>
        <v>0</v>
      </c>
      <c r="E182" s="203"/>
      <c r="F182" s="259"/>
      <c r="G182" s="218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89">
        <f>'Données projet'!A171</f>
        <v>40</v>
      </c>
      <c r="B183" s="190">
        <f>'Données projet'!D171</f>
        <v>34.615384615384613</v>
      </c>
      <c r="C183" s="203">
        <v>20</v>
      </c>
      <c r="D183" s="188">
        <f t="shared" si="11"/>
        <v>692.30769230769226</v>
      </c>
      <c r="E183" s="203"/>
      <c r="F183" s="259"/>
      <c r="G183" s="218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89">
        <f>'Données projet'!A172</f>
        <v>45</v>
      </c>
      <c r="B184" s="190">
        <f>'Données projet'!D172</f>
        <v>0</v>
      </c>
      <c r="C184" s="203">
        <v>20</v>
      </c>
      <c r="D184" s="188">
        <f t="shared" si="11"/>
        <v>0</v>
      </c>
      <c r="E184" s="203"/>
      <c r="F184" s="259"/>
      <c r="G184" s="219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89">
        <f>'Données projet'!A173</f>
        <v>50</v>
      </c>
      <c r="B185" s="190">
        <f>'Données projet'!D173</f>
        <v>32.692307692307693</v>
      </c>
      <c r="C185" s="203">
        <v>25</v>
      </c>
      <c r="D185" s="188">
        <f t="shared" si="11"/>
        <v>817.30769230769238</v>
      </c>
      <c r="E185" s="203"/>
      <c r="F185" s="259"/>
      <c r="G185" s="219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89">
        <f>'Données projet'!A174</f>
        <v>55</v>
      </c>
      <c r="B186" s="190">
        <f>'Données projet'!D174</f>
        <v>0</v>
      </c>
      <c r="C186" s="203">
        <v>25</v>
      </c>
      <c r="D186" s="188">
        <f t="shared" si="11"/>
        <v>0</v>
      </c>
      <c r="E186" s="203"/>
      <c r="F186" s="259"/>
      <c r="G186" s="219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89">
        <f>'Données projet'!A175</f>
        <v>60</v>
      </c>
      <c r="B187" s="190">
        <f>'Données projet'!D175</f>
        <v>30.128205128205128</v>
      </c>
      <c r="C187" s="203">
        <v>30</v>
      </c>
      <c r="D187" s="188">
        <f t="shared" si="11"/>
        <v>903.84615384615381</v>
      </c>
      <c r="E187" s="203"/>
      <c r="F187" s="259"/>
      <c r="G187" s="219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89">
        <f>'Données projet'!A176</f>
        <v>65</v>
      </c>
      <c r="B188" s="190">
        <f>'Données projet'!D176</f>
        <v>0</v>
      </c>
      <c r="C188" s="203">
        <v>30</v>
      </c>
      <c r="D188" s="188">
        <f t="shared" si="11"/>
        <v>0</v>
      </c>
      <c r="E188" s="203"/>
      <c r="F188" s="259"/>
      <c r="G188" s="219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89">
        <f>'Données projet'!A177</f>
        <v>70</v>
      </c>
      <c r="B189" s="190">
        <f>'Données projet'!D177</f>
        <v>27.564102564102562</v>
      </c>
      <c r="C189" s="203">
        <v>35</v>
      </c>
      <c r="D189" s="188">
        <f t="shared" si="11"/>
        <v>964.74358974358972</v>
      </c>
      <c r="E189" s="203"/>
      <c r="F189" s="259"/>
      <c r="G189" s="219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89">
        <f>'Données projet'!A178</f>
        <v>75</v>
      </c>
      <c r="B190" s="190">
        <f>'Données projet'!D178</f>
        <v>0</v>
      </c>
      <c r="C190" s="203">
        <v>35</v>
      </c>
      <c r="D190" s="188">
        <f t="shared" si="11"/>
        <v>0</v>
      </c>
      <c r="E190" s="203"/>
      <c r="F190" s="259"/>
      <c r="G190" s="219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89">
        <f>'Données projet'!A179</f>
        <v>80</v>
      </c>
      <c r="B191" s="190">
        <f>'Données projet'!D179</f>
        <v>26.282051282051281</v>
      </c>
      <c r="C191" s="203">
        <v>40</v>
      </c>
      <c r="D191" s="188">
        <f t="shared" si="11"/>
        <v>1051.2820512820513</v>
      </c>
      <c r="E191" s="203"/>
      <c r="F191" s="259"/>
      <c r="G191" s="219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89">
        <f>'Données projet'!A180</f>
        <v>85</v>
      </c>
      <c r="B192" s="190">
        <f>'Données projet'!D180</f>
        <v>0</v>
      </c>
      <c r="C192" s="203">
        <v>40</v>
      </c>
      <c r="D192" s="188">
        <f t="shared" si="11"/>
        <v>0</v>
      </c>
      <c r="E192" s="203"/>
      <c r="F192" s="259"/>
      <c r="G192" s="219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89">
        <f>'Données projet'!A181</f>
        <v>90</v>
      </c>
      <c r="B193" s="190">
        <f>'Données projet'!D181</f>
        <v>24.358974358974358</v>
      </c>
      <c r="C193" s="203">
        <v>50</v>
      </c>
      <c r="D193" s="188">
        <f t="shared" si="11"/>
        <v>1217.9487179487178</v>
      </c>
      <c r="E193" s="203"/>
      <c r="F193" s="259"/>
      <c r="G193" s="219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89">
        <f>'Données projet'!A182</f>
        <v>95</v>
      </c>
      <c r="B194" s="190">
        <f>'Données projet'!D182</f>
        <v>0</v>
      </c>
      <c r="C194" s="203">
        <v>50</v>
      </c>
      <c r="D194" s="188">
        <f t="shared" si="11"/>
        <v>0</v>
      </c>
      <c r="E194" s="203"/>
      <c r="F194" s="259"/>
      <c r="G194" s="219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89">
        <f>'Données projet'!A183</f>
        <v>100</v>
      </c>
      <c r="B195" s="190">
        <f>'Données projet'!D183</f>
        <v>22.435897435897434</v>
      </c>
      <c r="C195" s="203">
        <v>60</v>
      </c>
      <c r="D195" s="188">
        <f t="shared" si="11"/>
        <v>1346.153846153846</v>
      </c>
      <c r="E195" s="203"/>
      <c r="F195" s="259"/>
      <c r="G195" s="219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89">
        <f>'Données projet'!A184</f>
        <v>105</v>
      </c>
      <c r="B196" s="190">
        <f>'Données projet'!D184</f>
        <v>0</v>
      </c>
      <c r="C196" s="203">
        <v>60</v>
      </c>
      <c r="D196" s="188">
        <f t="shared" si="11"/>
        <v>0</v>
      </c>
      <c r="E196" s="203"/>
      <c r="F196" s="259"/>
      <c r="G196" s="219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89">
        <f>'Données projet'!A185</f>
        <v>110</v>
      </c>
      <c r="B197" s="190">
        <f>'Données projet'!D185</f>
        <v>317.94871794871796</v>
      </c>
      <c r="C197" s="203">
        <v>70</v>
      </c>
      <c r="D197" s="188">
        <f t="shared" si="11"/>
        <v>22256.410256410258</v>
      </c>
      <c r="E197" s="203"/>
      <c r="F197" s="259"/>
      <c r="G197" s="219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57"/>
      <c r="G198" s="219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57"/>
      <c r="G199" s="219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3" t="str">
        <f>IF('Données projet'!$B$15="","",'Données projet'!$B$15)</f>
        <v>Merisier</v>
      </c>
      <c r="C200" s="5"/>
      <c r="D200" s="5"/>
      <c r="E200" s="5"/>
      <c r="F200" s="257"/>
      <c r="G200" s="219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57"/>
      <c r="G201" s="219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06">
        <v>0</v>
      </c>
      <c r="B203" s="209" t="s">
        <v>132</v>
      </c>
      <c r="C203" s="208"/>
      <c r="D203" s="207" t="s">
        <v>132</v>
      </c>
      <c r="E203" s="203"/>
      <c r="F203" s="258"/>
      <c r="G203" s="219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06">
        <v>1</v>
      </c>
      <c r="B204" s="209" t="s">
        <v>132</v>
      </c>
      <c r="C204" s="208"/>
      <c r="D204" s="207" t="s">
        <v>132</v>
      </c>
      <c r="E204" s="203"/>
      <c r="F204" s="258"/>
      <c r="G204" s="217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06">
        <v>2</v>
      </c>
      <c r="B205" s="209" t="s">
        <v>132</v>
      </c>
      <c r="C205" s="208"/>
      <c r="D205" s="207" t="s">
        <v>132</v>
      </c>
      <c r="E205" s="203"/>
      <c r="F205" s="258"/>
      <c r="G205" s="217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06">
        <v>3</v>
      </c>
      <c r="B206" s="209" t="s">
        <v>132</v>
      </c>
      <c r="C206" s="208"/>
      <c r="D206" s="207" t="s">
        <v>132</v>
      </c>
      <c r="E206" s="203"/>
      <c r="F206" s="258"/>
      <c r="G206" s="217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06">
        <v>4</v>
      </c>
      <c r="B207" s="209" t="s">
        <v>132</v>
      </c>
      <c r="C207" s="208"/>
      <c r="D207" s="207" t="s">
        <v>132</v>
      </c>
      <c r="E207" s="203"/>
      <c r="F207" s="258"/>
      <c r="G207" s="217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06">
        <v>5</v>
      </c>
      <c r="B208" s="209" t="s">
        <v>132</v>
      </c>
      <c r="C208" s="208"/>
      <c r="D208" s="207" t="s">
        <v>132</v>
      </c>
      <c r="E208" s="203"/>
      <c r="F208" s="258"/>
      <c r="G208" s="218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89">
        <f>'Données projet'!A192</f>
        <v>25</v>
      </c>
      <c r="B209" s="190">
        <f>'Données projet'!D192</f>
        <v>28</v>
      </c>
      <c r="C209" s="201">
        <v>10</v>
      </c>
      <c r="D209" s="188">
        <f>B209*C209</f>
        <v>280</v>
      </c>
      <c r="E209" s="203"/>
      <c r="F209" s="259"/>
      <c r="G209" s="218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89">
        <f>'Données projet'!A193</f>
        <v>30</v>
      </c>
      <c r="B210" s="190">
        <f>'Données projet'!D193</f>
        <v>24</v>
      </c>
      <c r="C210" s="201">
        <v>15</v>
      </c>
      <c r="D210" s="188">
        <f t="shared" ref="D210:D228" si="12">B210*C210</f>
        <v>360</v>
      </c>
      <c r="E210" s="203"/>
      <c r="F210" s="259"/>
      <c r="G210" s="218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89">
        <f>'Données projet'!A194</f>
        <v>35</v>
      </c>
      <c r="B211" s="190">
        <f>'Données projet'!D194</f>
        <v>27</v>
      </c>
      <c r="C211" s="201">
        <v>20</v>
      </c>
      <c r="D211" s="188">
        <f t="shared" si="12"/>
        <v>540</v>
      </c>
      <c r="E211" s="203"/>
      <c r="F211" s="259"/>
      <c r="G211" s="218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89">
        <f>'Données projet'!A195</f>
        <v>40</v>
      </c>
      <c r="B212" s="190">
        <f>'Données projet'!D195</f>
        <v>32</v>
      </c>
      <c r="C212" s="201">
        <v>25</v>
      </c>
      <c r="D212" s="188">
        <f t="shared" si="12"/>
        <v>800</v>
      </c>
      <c r="E212" s="203"/>
      <c r="F212" s="259"/>
      <c r="G212" s="218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89">
        <f>'Données projet'!A196</f>
        <v>45</v>
      </c>
      <c r="B213" s="190">
        <f>'Données projet'!D196</f>
        <v>31</v>
      </c>
      <c r="C213" s="201">
        <v>30</v>
      </c>
      <c r="D213" s="188">
        <f t="shared" si="12"/>
        <v>930</v>
      </c>
      <c r="E213" s="203"/>
      <c r="F213" s="259"/>
      <c r="G213" s="218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89">
        <f>'Données projet'!A197</f>
        <v>50</v>
      </c>
      <c r="B214" s="190">
        <f>'Données projet'!D197</f>
        <v>30</v>
      </c>
      <c r="C214" s="201">
        <v>40</v>
      </c>
      <c r="D214" s="188">
        <f>B214*C214</f>
        <v>1200</v>
      </c>
      <c r="E214" s="203"/>
      <c r="F214" s="259"/>
      <c r="G214" s="218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89">
        <f>'Données projet'!A198</f>
        <v>55</v>
      </c>
      <c r="B215" s="190">
        <f>'Données projet'!D198</f>
        <v>30</v>
      </c>
      <c r="C215" s="201">
        <v>50</v>
      </c>
      <c r="D215" s="188">
        <f t="shared" si="12"/>
        <v>1500</v>
      </c>
      <c r="E215" s="203"/>
      <c r="F215" s="259"/>
      <c r="G215" s="219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89">
        <f>'Données projet'!A199</f>
        <v>60</v>
      </c>
      <c r="B216" s="190">
        <f>'Données projet'!D199</f>
        <v>27</v>
      </c>
      <c r="C216" s="201">
        <v>60</v>
      </c>
      <c r="D216" s="188">
        <f t="shared" si="12"/>
        <v>1620</v>
      </c>
      <c r="E216" s="203"/>
      <c r="F216" s="259"/>
      <c r="G216" s="219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89">
        <f>'Données projet'!A200</f>
        <v>65</v>
      </c>
      <c r="B217" s="190">
        <f>'Données projet'!D200</f>
        <v>26</v>
      </c>
      <c r="C217" s="203">
        <v>70</v>
      </c>
      <c r="D217" s="188">
        <f>B217*C217</f>
        <v>1820</v>
      </c>
      <c r="E217" s="203"/>
      <c r="F217" s="259"/>
      <c r="G217" s="219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89">
        <f>'Données projet'!A201</f>
        <v>70</v>
      </c>
      <c r="B218" s="190">
        <f>'Données projet'!D201</f>
        <v>20</v>
      </c>
      <c r="C218" s="203">
        <v>75</v>
      </c>
      <c r="D218" s="188">
        <f t="shared" si="12"/>
        <v>1500</v>
      </c>
      <c r="E218" s="203"/>
      <c r="F218" s="259"/>
      <c r="G218" s="219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89">
        <f>'Données projet'!A202</f>
        <v>75</v>
      </c>
      <c r="B219" s="190">
        <f>'Données projet'!D202</f>
        <v>286</v>
      </c>
      <c r="C219" s="203">
        <v>80</v>
      </c>
      <c r="D219" s="188">
        <f t="shared" si="12"/>
        <v>22880</v>
      </c>
      <c r="E219" s="203"/>
      <c r="F219" s="259"/>
      <c r="G219" s="219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89">
        <f>'Données projet'!A203</f>
        <v>0</v>
      </c>
      <c r="B220" s="190">
        <f>'Données projet'!D203</f>
        <v>0</v>
      </c>
      <c r="C220" s="203"/>
      <c r="D220" s="188">
        <f t="shared" si="12"/>
        <v>0</v>
      </c>
      <c r="E220" s="203"/>
      <c r="F220" s="259"/>
      <c r="G220" s="219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89">
        <f>'Données projet'!A204</f>
        <v>0</v>
      </c>
      <c r="B221" s="190">
        <f>'Données projet'!D204</f>
        <v>0</v>
      </c>
      <c r="C221" s="203"/>
      <c r="D221" s="188">
        <f t="shared" si="12"/>
        <v>0</v>
      </c>
      <c r="E221" s="203"/>
      <c r="F221" s="259"/>
      <c r="G221" s="219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89">
        <f>'Données projet'!A205</f>
        <v>0</v>
      </c>
      <c r="B222" s="190">
        <f>'Données projet'!D205</f>
        <v>0</v>
      </c>
      <c r="C222" s="203"/>
      <c r="D222" s="188">
        <f t="shared" si="12"/>
        <v>0</v>
      </c>
      <c r="E222" s="203"/>
      <c r="F222" s="259"/>
      <c r="G222" s="219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89">
        <f>'Données projet'!A206</f>
        <v>0</v>
      </c>
      <c r="B223" s="190">
        <f>'Données projet'!D206</f>
        <v>0</v>
      </c>
      <c r="C223" s="201"/>
      <c r="D223" s="188">
        <f t="shared" si="12"/>
        <v>0</v>
      </c>
      <c r="E223" s="203"/>
      <c r="F223" s="259"/>
      <c r="G223" s="219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59"/>
      <c r="G224" s="219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59"/>
      <c r="G225" s="219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59"/>
      <c r="G226" s="219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59"/>
      <c r="G227" s="219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59"/>
      <c r="G228" s="219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3" t="str">
        <f>IF('Données projet'!$B$16="","",'Données projet'!$B$16)</f>
        <v>Erable champêtre</v>
      </c>
      <c r="C231" s="5"/>
      <c r="D231" s="5"/>
      <c r="E231" s="5"/>
      <c r="F231" s="257"/>
      <c r="G231" s="219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06">
        <v>0</v>
      </c>
      <c r="B234" s="209" t="s">
        <v>132</v>
      </c>
      <c r="C234" s="208" t="s">
        <v>132</v>
      </c>
      <c r="D234" s="207" t="s">
        <v>132</v>
      </c>
      <c r="E234" s="203"/>
      <c r="F234" s="258"/>
      <c r="G234" s="219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06">
        <v>1</v>
      </c>
      <c r="B235" s="209" t="s">
        <v>132</v>
      </c>
      <c r="C235" s="208" t="s">
        <v>132</v>
      </c>
      <c r="D235" s="207" t="s">
        <v>132</v>
      </c>
      <c r="E235" s="203"/>
      <c r="F235" s="258"/>
      <c r="G235" s="217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06">
        <v>2</v>
      </c>
      <c r="B236" s="209" t="s">
        <v>132</v>
      </c>
      <c r="C236" s="208" t="s">
        <v>132</v>
      </c>
      <c r="D236" s="207" t="s">
        <v>132</v>
      </c>
      <c r="E236" s="203"/>
      <c r="F236" s="258"/>
      <c r="G236" s="217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06">
        <v>3</v>
      </c>
      <c r="B237" s="209" t="s">
        <v>132</v>
      </c>
      <c r="C237" s="208" t="s">
        <v>132</v>
      </c>
      <c r="D237" s="207" t="s">
        <v>132</v>
      </c>
      <c r="E237" s="203"/>
      <c r="F237" s="258"/>
      <c r="G237" s="217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06">
        <v>4</v>
      </c>
      <c r="B238" s="209" t="s">
        <v>132</v>
      </c>
      <c r="C238" s="208" t="s">
        <v>132</v>
      </c>
      <c r="D238" s="207" t="s">
        <v>132</v>
      </c>
      <c r="E238" s="203"/>
      <c r="F238" s="258"/>
      <c r="G238" s="217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06">
        <v>5</v>
      </c>
      <c r="B239" s="209" t="s">
        <v>132</v>
      </c>
      <c r="C239" s="208" t="s">
        <v>132</v>
      </c>
      <c r="D239" s="207" t="s">
        <v>132</v>
      </c>
      <c r="E239" s="203"/>
      <c r="F239" s="258"/>
      <c r="G239" s="218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89">
        <f>'Données projet'!A218</f>
        <v>15</v>
      </c>
      <c r="B240" s="190">
        <f>'Données projet'!D218</f>
        <v>0</v>
      </c>
      <c r="C240" s="201"/>
      <c r="D240" s="188">
        <f>B240*C240</f>
        <v>0</v>
      </c>
      <c r="E240" s="203"/>
      <c r="F240" s="259"/>
      <c r="G240" s="218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89">
        <f>'Données projet'!A219</f>
        <v>20</v>
      </c>
      <c r="B241" s="190">
        <f>'Données projet'!D219</f>
        <v>21</v>
      </c>
      <c r="C241" s="201">
        <v>10</v>
      </c>
      <c r="D241" s="188">
        <f t="shared" ref="D241:D259" si="13">B241*C241</f>
        <v>210</v>
      </c>
      <c r="E241" s="203"/>
      <c r="F241" s="259"/>
      <c r="G241" s="218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89">
        <f>'Données projet'!A220</f>
        <v>25</v>
      </c>
      <c r="B242" s="190">
        <f>'Données projet'!D220</f>
        <v>0</v>
      </c>
      <c r="C242" s="201"/>
      <c r="D242" s="188">
        <f t="shared" si="13"/>
        <v>0</v>
      </c>
      <c r="E242" s="203"/>
      <c r="F242" s="259"/>
      <c r="G242" s="218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89">
        <f>'Données projet'!A221</f>
        <v>30</v>
      </c>
      <c r="B243" s="190">
        <f>'Données projet'!D221</f>
        <v>42</v>
      </c>
      <c r="C243" s="201">
        <v>15</v>
      </c>
      <c r="D243" s="188">
        <f t="shared" si="13"/>
        <v>630</v>
      </c>
      <c r="E243" s="203"/>
      <c r="F243" s="259"/>
      <c r="G243" s="218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89">
        <f>'Données projet'!A222</f>
        <v>35</v>
      </c>
      <c r="B244" s="190">
        <f>'Données projet'!D222</f>
        <v>0</v>
      </c>
      <c r="C244" s="201"/>
      <c r="D244" s="188">
        <f t="shared" si="13"/>
        <v>0</v>
      </c>
      <c r="E244" s="203"/>
      <c r="F244" s="259"/>
      <c r="G244" s="218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89">
        <f>'Données projet'!A223</f>
        <v>40</v>
      </c>
      <c r="B245" s="190">
        <f>'Données projet'!D223</f>
        <v>42</v>
      </c>
      <c r="C245" s="201">
        <v>20</v>
      </c>
      <c r="D245" s="188">
        <f t="shared" si="13"/>
        <v>840</v>
      </c>
      <c r="E245" s="203"/>
      <c r="F245" s="259"/>
      <c r="G245" s="218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89">
        <f>'Données projet'!A224</f>
        <v>45</v>
      </c>
      <c r="B246" s="190">
        <f>'Données projet'!D224</f>
        <v>0</v>
      </c>
      <c r="C246" s="201"/>
      <c r="D246" s="188">
        <f t="shared" si="13"/>
        <v>0</v>
      </c>
      <c r="E246" s="203"/>
      <c r="F246" s="259"/>
      <c r="G246" s="219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89">
        <f>'Données projet'!A225</f>
        <v>50</v>
      </c>
      <c r="B247" s="190">
        <f>'Données projet'!D225</f>
        <v>31</v>
      </c>
      <c r="C247" s="201">
        <v>25</v>
      </c>
      <c r="D247" s="188">
        <f t="shared" si="13"/>
        <v>775</v>
      </c>
      <c r="E247" s="203"/>
      <c r="F247" s="259"/>
      <c r="G247" s="219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89">
        <f>'Données projet'!A226</f>
        <v>55</v>
      </c>
      <c r="B248" s="190">
        <f>'Données projet'!D226</f>
        <v>0</v>
      </c>
      <c r="C248" s="203"/>
      <c r="D248" s="188">
        <f t="shared" si="13"/>
        <v>0</v>
      </c>
      <c r="E248" s="203"/>
      <c r="F248" s="259"/>
      <c r="G248" s="219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89">
        <f>'Données projet'!A227</f>
        <v>60</v>
      </c>
      <c r="B249" s="190">
        <f>'Données projet'!D227</f>
        <v>20</v>
      </c>
      <c r="C249" s="203">
        <v>30</v>
      </c>
      <c r="D249" s="188">
        <f t="shared" si="13"/>
        <v>600</v>
      </c>
      <c r="E249" s="203"/>
      <c r="F249" s="259"/>
      <c r="G249" s="219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89">
        <f>'Données projet'!A228</f>
        <v>65</v>
      </c>
      <c r="B250" s="190">
        <f>'Données projet'!D228</f>
        <v>0</v>
      </c>
      <c r="C250" s="203"/>
      <c r="D250" s="188">
        <f t="shared" si="13"/>
        <v>0</v>
      </c>
      <c r="E250" s="203"/>
      <c r="F250" s="259"/>
      <c r="G250" s="219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89">
        <f>'Données projet'!A229</f>
        <v>70</v>
      </c>
      <c r="B251" s="190">
        <f>'Données projet'!D229</f>
        <v>16</v>
      </c>
      <c r="C251" s="203">
        <v>40</v>
      </c>
      <c r="D251" s="188">
        <f t="shared" si="13"/>
        <v>640</v>
      </c>
      <c r="E251" s="203"/>
      <c r="F251" s="259"/>
      <c r="G251" s="219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89">
        <f>'Données projet'!A230</f>
        <v>75</v>
      </c>
      <c r="B252" s="190">
        <f>'Données projet'!D230</f>
        <v>0</v>
      </c>
      <c r="C252" s="203"/>
      <c r="D252" s="188">
        <f t="shared" si="13"/>
        <v>0</v>
      </c>
      <c r="E252" s="203"/>
      <c r="F252" s="259"/>
      <c r="G252" s="219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89">
        <f>'Données projet'!A231</f>
        <v>80</v>
      </c>
      <c r="B253" s="190">
        <f>'Données projet'!D231</f>
        <v>226</v>
      </c>
      <c r="C253" s="203">
        <v>60</v>
      </c>
      <c r="D253" s="188">
        <f t="shared" si="13"/>
        <v>13560</v>
      </c>
      <c r="E253" s="203"/>
      <c r="F253" s="259"/>
      <c r="G253" s="219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89">
        <f>'Données projet'!A232</f>
        <v>0</v>
      </c>
      <c r="B254" s="190">
        <f>'Données projet'!D232</f>
        <v>0</v>
      </c>
      <c r="C254" s="201"/>
      <c r="D254" s="188">
        <f t="shared" si="13"/>
        <v>0</v>
      </c>
      <c r="E254" s="203"/>
      <c r="F254" s="259"/>
      <c r="G254" s="219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59"/>
      <c r="G255" s="219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59"/>
      <c r="G256" s="219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59"/>
      <c r="G257" s="219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59"/>
      <c r="G258" s="219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59"/>
      <c r="G259" s="219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3" t="str">
        <f>IF('Données projet'!$B$17="","",'Données projet'!$B$17)</f>
        <v>Alisier torminal</v>
      </c>
      <c r="C262" s="5"/>
      <c r="D262" s="5"/>
      <c r="E262" s="5"/>
      <c r="F262" s="257"/>
      <c r="G262" s="219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06">
        <v>0</v>
      </c>
      <c r="B265" s="209" t="s">
        <v>132</v>
      </c>
      <c r="C265" s="208"/>
      <c r="D265" s="207" t="s">
        <v>132</v>
      </c>
      <c r="E265" s="203"/>
      <c r="F265" s="258"/>
      <c r="G265" s="219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06">
        <v>1</v>
      </c>
      <c r="B266" s="209" t="s">
        <v>132</v>
      </c>
      <c r="C266" s="208"/>
      <c r="D266" s="207" t="s">
        <v>132</v>
      </c>
      <c r="E266" s="203"/>
      <c r="F266" s="258"/>
      <c r="G266" s="217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06">
        <v>2</v>
      </c>
      <c r="B267" s="209" t="s">
        <v>132</v>
      </c>
      <c r="C267" s="208"/>
      <c r="D267" s="207" t="s">
        <v>132</v>
      </c>
      <c r="E267" s="203"/>
      <c r="F267" s="258"/>
      <c r="G267" s="217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06">
        <v>3</v>
      </c>
      <c r="B268" s="209" t="s">
        <v>132</v>
      </c>
      <c r="C268" s="208"/>
      <c r="D268" s="207" t="s">
        <v>132</v>
      </c>
      <c r="E268" s="203"/>
      <c r="F268" s="258"/>
      <c r="G268" s="217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06">
        <v>4</v>
      </c>
      <c r="B269" s="209" t="s">
        <v>132</v>
      </c>
      <c r="C269" s="208"/>
      <c r="D269" s="207" t="s">
        <v>132</v>
      </c>
      <c r="E269" s="203"/>
      <c r="F269" s="258"/>
      <c r="G269" s="217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06">
        <v>5</v>
      </c>
      <c r="B270" s="209" t="s">
        <v>132</v>
      </c>
      <c r="C270" s="208"/>
      <c r="D270" s="207" t="s">
        <v>132</v>
      </c>
      <c r="E270" s="203"/>
      <c r="F270" s="258"/>
      <c r="G270" s="218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89">
        <f>'Données projet'!A244</f>
        <v>15</v>
      </c>
      <c r="B271" s="190">
        <f>'Données projet'!D244</f>
        <v>0</v>
      </c>
      <c r="C271" s="203"/>
      <c r="D271" s="188">
        <f>B271*C271</f>
        <v>0</v>
      </c>
      <c r="E271" s="203"/>
      <c r="F271" s="259"/>
      <c r="G271" s="218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89">
        <f>'Données projet'!A245</f>
        <v>20</v>
      </c>
      <c r="B272" s="190">
        <f>'Données projet'!D245</f>
        <v>5</v>
      </c>
      <c r="C272" s="203">
        <v>10</v>
      </c>
      <c r="D272" s="188">
        <f t="shared" ref="D272:D290" si="14">B272*C272</f>
        <v>50</v>
      </c>
      <c r="E272" s="203"/>
      <c r="F272" s="259"/>
      <c r="G272" s="218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89">
        <f>'Données projet'!A246</f>
        <v>25</v>
      </c>
      <c r="B273" s="190">
        <f>'Données projet'!D246</f>
        <v>0</v>
      </c>
      <c r="C273" s="203"/>
      <c r="D273" s="188">
        <f t="shared" si="14"/>
        <v>0</v>
      </c>
      <c r="E273" s="203"/>
      <c r="F273" s="259"/>
      <c r="G273" s="218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89">
        <f>'Données projet'!A247</f>
        <v>30</v>
      </c>
      <c r="B274" s="190">
        <f>'Données projet'!D247</f>
        <v>26</v>
      </c>
      <c r="C274" s="203">
        <v>10</v>
      </c>
      <c r="D274" s="188">
        <f t="shared" si="14"/>
        <v>260</v>
      </c>
      <c r="E274" s="203"/>
      <c r="F274" s="259"/>
      <c r="G274" s="218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89">
        <f>'Données projet'!A248</f>
        <v>35</v>
      </c>
      <c r="B275" s="190">
        <f>'Données projet'!D248</f>
        <v>0</v>
      </c>
      <c r="C275" s="203"/>
      <c r="D275" s="188">
        <f t="shared" si="14"/>
        <v>0</v>
      </c>
      <c r="E275" s="203"/>
      <c r="F275" s="259"/>
      <c r="G275" s="218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89">
        <f>'Données projet'!A249</f>
        <v>40</v>
      </c>
      <c r="B276" s="190">
        <f>'Données projet'!D249</f>
        <v>31</v>
      </c>
      <c r="C276" s="203">
        <v>15</v>
      </c>
      <c r="D276" s="188">
        <f t="shared" si="14"/>
        <v>465</v>
      </c>
      <c r="E276" s="203"/>
      <c r="F276" s="259"/>
      <c r="G276" s="218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89">
        <f>'Données projet'!A250</f>
        <v>45</v>
      </c>
      <c r="B277" s="190">
        <f>'Données projet'!D250</f>
        <v>0</v>
      </c>
      <c r="C277" s="203"/>
      <c r="D277" s="188">
        <f t="shared" si="14"/>
        <v>0</v>
      </c>
      <c r="E277" s="203"/>
      <c r="F277" s="259"/>
      <c r="G277" s="219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89">
        <f>'Données projet'!A251</f>
        <v>50</v>
      </c>
      <c r="B278" s="190">
        <f>'Données projet'!D251</f>
        <v>35</v>
      </c>
      <c r="C278" s="203">
        <v>25</v>
      </c>
      <c r="D278" s="188">
        <f t="shared" si="14"/>
        <v>875</v>
      </c>
      <c r="E278" s="203"/>
      <c r="F278" s="259"/>
      <c r="G278" s="219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89">
        <f>'Données projet'!A252</f>
        <v>55</v>
      </c>
      <c r="B279" s="190">
        <f>'Données projet'!D252</f>
        <v>0</v>
      </c>
      <c r="C279" s="203">
        <v>30</v>
      </c>
      <c r="D279" s="188">
        <f t="shared" si="14"/>
        <v>0</v>
      </c>
      <c r="E279" s="203"/>
      <c r="F279" s="259"/>
      <c r="G279" s="219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89">
        <f>'Données projet'!A253</f>
        <v>60</v>
      </c>
      <c r="B280" s="190">
        <f>'Données projet'!D253</f>
        <v>36</v>
      </c>
      <c r="C280" s="203">
        <v>30</v>
      </c>
      <c r="D280" s="188">
        <f t="shared" si="14"/>
        <v>1080</v>
      </c>
      <c r="E280" s="203"/>
      <c r="F280" s="259"/>
      <c r="G280" s="219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89">
        <f>'Données projet'!A254</f>
        <v>65</v>
      </c>
      <c r="B281" s="190">
        <f>'Données projet'!D254</f>
        <v>0</v>
      </c>
      <c r="C281" s="203">
        <v>40</v>
      </c>
      <c r="D281" s="188">
        <f t="shared" si="14"/>
        <v>0</v>
      </c>
      <c r="E281" s="203"/>
      <c r="F281" s="259"/>
      <c r="G281" s="219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89">
        <f>'Données projet'!A255</f>
        <v>70</v>
      </c>
      <c r="B282" s="190">
        <f>'Données projet'!D255</f>
        <v>36</v>
      </c>
      <c r="C282" s="203">
        <v>40</v>
      </c>
      <c r="D282" s="188">
        <f t="shared" si="14"/>
        <v>1440</v>
      </c>
      <c r="E282" s="203"/>
      <c r="F282" s="259"/>
      <c r="G282" s="219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89">
        <f>'Données projet'!A256</f>
        <v>75</v>
      </c>
      <c r="B283" s="190">
        <f>'Données projet'!D256</f>
        <v>0</v>
      </c>
      <c r="C283" s="203">
        <v>45</v>
      </c>
      <c r="D283" s="188">
        <f t="shared" si="14"/>
        <v>0</v>
      </c>
      <c r="E283" s="203"/>
      <c r="F283" s="259"/>
      <c r="G283" s="219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89">
        <f>'Données projet'!A257</f>
        <v>80</v>
      </c>
      <c r="B284" s="190">
        <f>'Données projet'!D257</f>
        <v>34</v>
      </c>
      <c r="C284" s="203">
        <v>50</v>
      </c>
      <c r="D284" s="188">
        <f t="shared" si="14"/>
        <v>1700</v>
      </c>
      <c r="E284" s="203"/>
      <c r="F284" s="259"/>
      <c r="G284" s="219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89">
        <f>'Données projet'!A258</f>
        <v>85</v>
      </c>
      <c r="B285" s="190">
        <f>'Données projet'!D258</f>
        <v>0</v>
      </c>
      <c r="C285" s="203">
        <v>60</v>
      </c>
      <c r="D285" s="188">
        <f t="shared" si="14"/>
        <v>0</v>
      </c>
      <c r="E285" s="203"/>
      <c r="F285" s="259"/>
      <c r="G285" s="219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89">
        <f>'Données projet'!A259</f>
        <v>90</v>
      </c>
      <c r="B286" s="190">
        <f>'Données projet'!D259</f>
        <v>33</v>
      </c>
      <c r="C286" s="203">
        <v>70</v>
      </c>
      <c r="D286" s="188">
        <f t="shared" si="14"/>
        <v>2310</v>
      </c>
      <c r="E286" s="203"/>
      <c r="F286" s="259"/>
      <c r="G286" s="219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89">
        <f>'Données projet'!A260</f>
        <v>95</v>
      </c>
      <c r="B287" s="190">
        <f>'Données projet'!D260</f>
        <v>0</v>
      </c>
      <c r="C287" s="203">
        <v>80</v>
      </c>
      <c r="D287" s="188">
        <f t="shared" si="14"/>
        <v>0</v>
      </c>
      <c r="E287" s="203"/>
      <c r="F287" s="259"/>
      <c r="G287" s="219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89">
        <f>'Données projet'!A261</f>
        <v>100</v>
      </c>
      <c r="B288" s="190">
        <f>'Données projet'!D261</f>
        <v>30</v>
      </c>
      <c r="C288" s="203">
        <v>100</v>
      </c>
      <c r="D288" s="188">
        <f t="shared" si="14"/>
        <v>3000</v>
      </c>
      <c r="E288" s="203"/>
      <c r="F288" s="259"/>
      <c r="G288" s="219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89">
        <f>'Données projet'!A262</f>
        <v>110</v>
      </c>
      <c r="B289" s="190">
        <f>'Données projet'!D262</f>
        <v>28</v>
      </c>
      <c r="C289" s="203">
        <v>150</v>
      </c>
      <c r="D289" s="188">
        <f t="shared" si="14"/>
        <v>4200</v>
      </c>
      <c r="E289" s="203"/>
      <c r="F289" s="259"/>
      <c r="G289" s="219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89">
        <f>'Données projet'!A263</f>
        <v>120</v>
      </c>
      <c r="B290" s="190">
        <f>'Données projet'!D263</f>
        <v>273</v>
      </c>
      <c r="C290" s="203">
        <v>200</v>
      </c>
      <c r="D290" s="188">
        <f t="shared" si="14"/>
        <v>54600</v>
      </c>
      <c r="E290" s="203"/>
      <c r="F290" s="259"/>
      <c r="G290" s="219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06">
        <v>0</v>
      </c>
      <c r="B296" s="209" t="s">
        <v>132</v>
      </c>
      <c r="C296" s="208" t="s">
        <v>132</v>
      </c>
      <c r="D296" s="207" t="s">
        <v>132</v>
      </c>
      <c r="E296" s="203"/>
      <c r="F296" s="258"/>
      <c r="G296" s="219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06">
        <v>1</v>
      </c>
      <c r="B297" s="209" t="s">
        <v>132</v>
      </c>
      <c r="C297" s="208" t="s">
        <v>132</v>
      </c>
      <c r="D297" s="207" t="s">
        <v>132</v>
      </c>
      <c r="E297" s="203"/>
      <c r="F297" s="258"/>
      <c r="G297" s="217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06">
        <v>2</v>
      </c>
      <c r="B298" s="209" t="s">
        <v>132</v>
      </c>
      <c r="C298" s="208" t="s">
        <v>132</v>
      </c>
      <c r="D298" s="207" t="s">
        <v>132</v>
      </c>
      <c r="E298" s="203"/>
      <c r="F298" s="258"/>
      <c r="G298" s="217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06">
        <v>3</v>
      </c>
      <c r="B299" s="209" t="s">
        <v>132</v>
      </c>
      <c r="C299" s="208" t="s">
        <v>132</v>
      </c>
      <c r="D299" s="207" t="s">
        <v>132</v>
      </c>
      <c r="E299" s="203"/>
      <c r="F299" s="258"/>
      <c r="G299" s="217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06">
        <v>4</v>
      </c>
      <c r="B300" s="209" t="s">
        <v>132</v>
      </c>
      <c r="C300" s="208" t="s">
        <v>132</v>
      </c>
      <c r="D300" s="207" t="s">
        <v>132</v>
      </c>
      <c r="E300" s="203"/>
      <c r="F300" s="258"/>
      <c r="G300" s="217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06">
        <v>5</v>
      </c>
      <c r="B301" s="209" t="s">
        <v>132</v>
      </c>
      <c r="C301" s="208" t="s">
        <v>132</v>
      </c>
      <c r="D301" s="207" t="s">
        <v>132</v>
      </c>
      <c r="E301" s="203"/>
      <c r="F301" s="258"/>
      <c r="G301" s="218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89">
        <f>'Données projet'!A270</f>
        <v>0</v>
      </c>
      <c r="B302" s="190">
        <f>'Données projet'!D270</f>
        <v>0</v>
      </c>
      <c r="C302" s="201"/>
      <c r="D302" s="191">
        <f t="shared" ref="D302:D314" si="15">B302*C302</f>
        <v>0</v>
      </c>
      <c r="E302" s="203"/>
      <c r="F302" s="260"/>
      <c r="G302" s="218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89">
        <f>'Données projet'!A271</f>
        <v>0</v>
      </c>
      <c r="B303" s="190">
        <f>'Données projet'!D271</f>
        <v>0</v>
      </c>
      <c r="C303" s="203"/>
      <c r="D303" s="191">
        <f t="shared" si="15"/>
        <v>0</v>
      </c>
      <c r="E303" s="203"/>
      <c r="F303" s="260"/>
      <c r="G303" s="218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89">
        <f>'Données projet'!A272</f>
        <v>0</v>
      </c>
      <c r="B304" s="190">
        <f>'Données projet'!D272</f>
        <v>0</v>
      </c>
      <c r="C304" s="203"/>
      <c r="D304" s="191">
        <f t="shared" si="15"/>
        <v>0</v>
      </c>
      <c r="E304" s="203"/>
      <c r="F304" s="260"/>
      <c r="G304" s="218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89">
        <f>'Données projet'!A273</f>
        <v>0</v>
      </c>
      <c r="B305" s="190">
        <f>'Données projet'!D273</f>
        <v>0</v>
      </c>
      <c r="C305" s="203"/>
      <c r="D305" s="191">
        <f t="shared" si="15"/>
        <v>0</v>
      </c>
      <c r="E305" s="203"/>
      <c r="F305" s="260"/>
      <c r="G305" s="218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89">
        <f>'Données projet'!A274</f>
        <v>0</v>
      </c>
      <c r="B306" s="190">
        <f>'Données projet'!D274</f>
        <v>0</v>
      </c>
      <c r="C306" s="203"/>
      <c r="D306" s="191">
        <f t="shared" si="15"/>
        <v>0</v>
      </c>
      <c r="E306" s="203"/>
      <c r="F306" s="260"/>
      <c r="G306" s="218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89">
        <f>'Données projet'!A275</f>
        <v>0</v>
      </c>
      <c r="B307" s="190">
        <f>'Données projet'!D275</f>
        <v>0</v>
      </c>
      <c r="C307" s="203"/>
      <c r="D307" s="191">
        <f t="shared" si="15"/>
        <v>0</v>
      </c>
      <c r="E307" s="203"/>
      <c r="F307" s="260"/>
      <c r="G307" s="218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89">
        <f>'Données projet'!A276</f>
        <v>0</v>
      </c>
      <c r="B308" s="190">
        <f>'Données projet'!D276</f>
        <v>0</v>
      </c>
      <c r="C308" s="203"/>
      <c r="D308" s="191">
        <f t="shared" si="15"/>
        <v>0</v>
      </c>
      <c r="E308" s="203"/>
      <c r="F308" s="260"/>
      <c r="G308" s="214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89">
        <f>'Données projet'!A277</f>
        <v>0</v>
      </c>
      <c r="B309" s="190">
        <f>'Données projet'!D277</f>
        <v>0</v>
      </c>
      <c r="C309" s="203"/>
      <c r="D309" s="191">
        <f t="shared" si="15"/>
        <v>0</v>
      </c>
      <c r="E309" s="203"/>
      <c r="F309" s="260"/>
      <c r="G309" s="214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89">
        <f>'Données projet'!A278</f>
        <v>0</v>
      </c>
      <c r="B310" s="190">
        <f>'Données projet'!D278</f>
        <v>0</v>
      </c>
      <c r="C310" s="203"/>
      <c r="D310" s="191">
        <f t="shared" si="15"/>
        <v>0</v>
      </c>
      <c r="E310" s="203"/>
      <c r="F310" s="260"/>
      <c r="G310" s="214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89">
        <f>'Données projet'!A279</f>
        <v>0</v>
      </c>
      <c r="B311" s="190">
        <f>'Données projet'!D279</f>
        <v>0</v>
      </c>
      <c r="C311" s="203"/>
      <c r="D311" s="191">
        <f t="shared" si="15"/>
        <v>0</v>
      </c>
      <c r="E311" s="203"/>
      <c r="F311" s="260"/>
      <c r="G311" s="214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89">
        <f>'Données projet'!A280</f>
        <v>0</v>
      </c>
      <c r="B312" s="190">
        <f>'Données projet'!D280</f>
        <v>0</v>
      </c>
      <c r="C312" s="203"/>
      <c r="D312" s="191">
        <f t="shared" si="15"/>
        <v>0</v>
      </c>
      <c r="E312" s="203"/>
      <c r="F312" s="260"/>
      <c r="G312" s="214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89">
        <f>'Données projet'!A281</f>
        <v>0</v>
      </c>
      <c r="B313" s="190">
        <f>'Données projet'!D281</f>
        <v>0</v>
      </c>
      <c r="C313" s="203"/>
      <c r="D313" s="191">
        <f t="shared" si="15"/>
        <v>0</v>
      </c>
      <c r="E313" s="203"/>
      <c r="F313" s="260"/>
      <c r="G313" s="214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89">
        <f>'Données projet'!A282</f>
        <v>0</v>
      </c>
      <c r="B314" s="190">
        <f>'Données projet'!D282</f>
        <v>0</v>
      </c>
      <c r="C314" s="203"/>
      <c r="D314" s="191">
        <f t="shared" si="15"/>
        <v>0</v>
      </c>
      <c r="E314" s="203"/>
      <c r="F314" s="260"/>
      <c r="G314" s="214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89">
        <f>'Données projet'!A283</f>
        <v>0</v>
      </c>
      <c r="B315" s="190">
        <f>'Données projet'!D283</f>
        <v>0</v>
      </c>
      <c r="C315" s="203"/>
      <c r="D315" s="191">
        <f t="shared" ref="D315:D321" si="16">B315*C315</f>
        <v>0</v>
      </c>
      <c r="E315" s="203"/>
      <c r="F315" s="260"/>
      <c r="G315" s="214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89">
        <f>'Données projet'!A284</f>
        <v>0</v>
      </c>
      <c r="B316" s="190">
        <f>'Données projet'!D284</f>
        <v>0</v>
      </c>
      <c r="C316" s="203"/>
      <c r="D316" s="191">
        <f t="shared" si="16"/>
        <v>0</v>
      </c>
      <c r="E316" s="203"/>
      <c r="F316" s="260"/>
      <c r="G316" s="214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89">
        <f>'Données projet'!A285</f>
        <v>0</v>
      </c>
      <c r="B317" s="190">
        <f>'Données projet'!D285</f>
        <v>0</v>
      </c>
      <c r="C317" s="203"/>
      <c r="D317" s="191">
        <f t="shared" si="16"/>
        <v>0</v>
      </c>
      <c r="E317" s="203"/>
      <c r="F317" s="260"/>
      <c r="G317" s="214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89">
        <f>'Données projet'!A286</f>
        <v>0</v>
      </c>
      <c r="B318" s="190">
        <f>'Données projet'!D286</f>
        <v>0</v>
      </c>
      <c r="C318" s="203"/>
      <c r="D318" s="191">
        <f t="shared" si="16"/>
        <v>0</v>
      </c>
      <c r="E318" s="203"/>
      <c r="F318" s="260"/>
      <c r="G318" s="214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89">
        <f>'Données projet'!A287</f>
        <v>0</v>
      </c>
      <c r="B319" s="190">
        <f>'Données projet'!D287</f>
        <v>0</v>
      </c>
      <c r="C319" s="203"/>
      <c r="D319" s="191">
        <f t="shared" si="16"/>
        <v>0</v>
      </c>
      <c r="E319" s="203"/>
      <c r="F319" s="260"/>
      <c r="G319" s="214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89">
        <f>'Données projet'!A288</f>
        <v>0</v>
      </c>
      <c r="B320" s="190">
        <f>'Données projet'!D288</f>
        <v>0</v>
      </c>
      <c r="C320" s="203"/>
      <c r="D320" s="191">
        <f t="shared" si="16"/>
        <v>0</v>
      </c>
      <c r="E320" s="203"/>
      <c r="F320" s="260"/>
      <c r="G320" s="214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89">
        <f>'Données projet'!A289</f>
        <v>0</v>
      </c>
      <c r="B321" s="190">
        <f>'Données projet'!D289</f>
        <v>0</v>
      </c>
      <c r="C321" s="203"/>
      <c r="D321" s="191">
        <f t="shared" si="16"/>
        <v>0</v>
      </c>
      <c r="E321" s="203"/>
      <c r="F321" s="260"/>
      <c r="G321" s="214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4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4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4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4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4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4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27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27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27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27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27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27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27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27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27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27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27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27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27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27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27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27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27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27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27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27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27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27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27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27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27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27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2025-10-22T13:03:26Z</dcterms:modified>
</cp:coreProperties>
</file>