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60_Saint_Vaast_les_Mello_3,23_JeandeBoissieu/1.Dossier_en_cours/"/>
    </mc:Choice>
  </mc:AlternateContent>
  <xr:revisionPtr revIDLastSave="60" documentId="11_E6967C7E78D5A5CAE6D435F968EBF6B69F8688AF" xr6:coauthVersionLast="47" xr6:coauthVersionMax="47" xr10:uidLastSave="{C51E6A9D-9BEE-4039-893E-A0E5CE591ECA}"/>
  <bookViews>
    <workbookView xWindow="-90" yWindow="0" windowWidth="9780" windowHeight="11370" tabRatio="866" firstSheet="2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HH155" i="2"/>
  <c r="EA155" i="2"/>
  <c r="EW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FS156" i="2"/>
  <c r="AB156" i="2"/>
  <c r="DH156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HG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EC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HI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ED160" i="2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W162" i="2"/>
  <c r="EY161" i="2"/>
  <c r="EC162" i="2"/>
  <c r="DI161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FS164" i="2"/>
  <c r="EY163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DG167" i="2"/>
  <c r="EY166" i="2"/>
  <c r="EB167" i="2"/>
  <c r="FR167" i="2"/>
  <c r="EX167" i="2"/>
  <c r="EA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I168" i="2"/>
  <c r="EC168" i="2"/>
  <c r="EV168" i="2"/>
  <c r="HH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G172" i="2"/>
  <c r="EB172" i="2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HH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EA175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DF179" i="2"/>
  <c r="EV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HH185" i="2"/>
  <c r="HG185" i="2"/>
  <c r="EW185" i="2"/>
  <c r="EB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EB186" i="2"/>
  <c r="EA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B189" i="2"/>
  <c r="EC189" i="2"/>
  <c r="FS189" i="2"/>
  <c r="HI189" i="2"/>
  <c r="EX189" i="2"/>
  <c r="EY189" i="2" s="1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HG190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A192" i="2"/>
  <c r="EC192" i="2"/>
  <c r="EB192" i="2"/>
  <c r="ED192" i="2" s="1"/>
  <c r="EW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DI192" i="2"/>
  <c r="EY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ED193" i="2"/>
  <c r="EA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X195" i="2"/>
  <c r="EY194" i="2"/>
  <c r="DH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W197" i="2"/>
  <c r="EA197" i="2"/>
  <c r="EY196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HG201" i="2" l="1"/>
  <c r="FS201" i="2"/>
  <c r="EY200" i="2"/>
  <c r="HH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D201" i="2"/>
  <c r="EY201" i="2"/>
  <c r="HI202" i="2"/>
  <c r="FR202" i="2"/>
  <c r="FS202" i="2"/>
  <c r="FZ6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82" i="2" a="1"/>
  <c r="BC82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EI106" i="2" a="1"/>
  <c r="EI106" i="2" s="1"/>
  <c r="EI29" i="2" a="1"/>
  <c r="EI29" i="2" s="1"/>
  <c r="EI150" i="2" a="1"/>
  <c r="EI150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7" i="2" a="1"/>
  <c r="DN177" i="2" s="1"/>
  <c r="DN86" i="2" a="1"/>
  <c r="DN86" i="2" s="1"/>
  <c r="DN150" i="2" a="1"/>
  <c r="DN150" i="2" s="1"/>
  <c r="EI195" i="2" a="1"/>
  <c r="EI195" i="2" s="1"/>
  <c r="DN123" i="2" a="1"/>
  <c r="DN12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BC143" i="2" a="1"/>
  <c r="BC143" i="2" s="1"/>
  <c r="BC185" i="2" a="1"/>
  <c r="BC185" i="2" s="1"/>
  <c r="BC7" i="2" a="1"/>
  <c r="BC7" i="2" s="1"/>
  <c r="DN63" i="2" a="1"/>
  <c r="DN63" i="2" s="1"/>
  <c r="GT12" i="2" a="1"/>
  <c r="GT12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EI34" i="2" a="1"/>
  <c r="EI34" i="2" s="1"/>
  <c r="EI20" i="2" a="1"/>
  <c r="EI20" i="2" s="1"/>
  <c r="EI128" i="2" a="1"/>
  <c r="EI128" i="2" s="1"/>
  <c r="EI113" i="2" a="1"/>
  <c r="EI113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31" i="2" a="1"/>
  <c r="DN31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45" i="2" a="1"/>
  <c r="DN45" i="2" s="1"/>
  <c r="BX107" i="2" a="1"/>
  <c r="BX107" i="2" s="1"/>
  <c r="DN187" i="2" a="1"/>
  <c r="DN187" i="2" s="1"/>
  <c r="HJ202" i="2"/>
  <c r="AX200" i="2"/>
  <c r="DN192" i="2" l="1" a="1"/>
  <c r="DN192" i="2" s="1"/>
  <c r="DN41" i="2" a="1"/>
  <c r="DN41" i="2" s="1"/>
  <c r="DN66" i="2" a="1"/>
  <c r="DN66" i="2" s="1"/>
  <c r="DN43" i="2" a="1"/>
  <c r="DN43" i="2" s="1"/>
  <c r="DN56" i="2" a="1"/>
  <c r="DN56" i="2" s="1"/>
  <c r="DN70" i="2" a="1"/>
  <c r="DN70" i="2" s="1"/>
  <c r="DN55" i="2" a="1"/>
  <c r="DN55" i="2" s="1"/>
  <c r="DN110" i="2" a="1"/>
  <c r="DN110" i="2" s="1"/>
  <c r="DN188" i="2" a="1"/>
  <c r="DN188" i="2" s="1"/>
  <c r="DN155" i="2" a="1"/>
  <c r="DN155" i="2" s="1"/>
  <c r="EI165" i="2" a="1"/>
  <c r="EI165" i="2" s="1"/>
  <c r="EI71" i="2" a="1"/>
  <c r="EI71" i="2" s="1"/>
  <c r="EI57" i="2" a="1"/>
  <c r="EI57" i="2" s="1"/>
  <c r="EI36" i="2" a="1"/>
  <c r="EI36" i="2" s="1"/>
  <c r="EI178" i="2" a="1"/>
  <c r="EI178" i="2" s="1"/>
  <c r="EI37" i="2" a="1"/>
  <c r="EI37" i="2" s="1"/>
  <c r="EI145" i="2" a="1"/>
  <c r="EI145" i="2" s="1"/>
  <c r="EI142" i="2" a="1"/>
  <c r="EI142" i="2" s="1"/>
  <c r="EI35" i="2" a="1"/>
  <c r="EI35" i="2" s="1"/>
  <c r="EI162" i="2" a="1"/>
  <c r="EI162" i="2" s="1"/>
  <c r="BC114" i="2" a="1"/>
  <c r="BC114" i="2" s="1"/>
  <c r="BC126" i="2" a="1"/>
  <c r="BC126" i="2" s="1"/>
  <c r="BC47" i="2" a="1"/>
  <c r="BC47" i="2" s="1"/>
  <c r="AH151" i="2" a="1"/>
  <c r="AH151" i="2" s="1"/>
  <c r="BC31" i="2" a="1"/>
  <c r="BC31" i="2" s="1"/>
  <c r="BC84" i="2" a="1"/>
  <c r="BC84" i="2" s="1"/>
  <c r="FD60" i="2" a="1"/>
  <c r="FD60" i="2" s="1"/>
  <c r="BC34" i="2" a="1"/>
  <c r="BC34" i="2" s="1"/>
  <c r="EI139" i="2" a="1"/>
  <c r="EI139" i="2" s="1"/>
  <c r="FD59" i="2" a="1"/>
  <c r="FD59" i="2" s="1"/>
  <c r="EI67" i="2" a="1"/>
  <c r="EI67" i="2" s="1"/>
  <c r="GT189" i="2" a="1"/>
  <c r="GT189" i="2" s="1"/>
  <c r="CS77" i="2" a="1"/>
  <c r="CS77" i="2" s="1"/>
  <c r="DN186" i="2" a="1"/>
  <c r="DN186" i="2" s="1"/>
  <c r="EI166" i="2" a="1"/>
  <c r="EI166" i="2" s="1"/>
  <c r="GT181" i="2" a="1"/>
  <c r="GT181" i="2" s="1"/>
  <c r="FD188" i="2" a="1"/>
  <c r="FD188" i="2" s="1"/>
  <c r="BC32" i="2" a="1"/>
  <c r="BC32" i="2" s="1"/>
  <c r="GT51" i="2" a="1"/>
  <c r="GT51" i="2" s="1"/>
  <c r="EI87" i="2" a="1"/>
  <c r="EI87" i="2" s="1"/>
  <c r="GT178" i="2" a="1"/>
  <c r="GT178" i="2" s="1"/>
  <c r="CS38" i="2" a="1"/>
  <c r="CS38" i="2" s="1"/>
  <c r="EI153" i="2" a="1"/>
  <c r="EI153" i="2" s="1"/>
  <c r="GT68" i="2" a="1"/>
  <c r="GT68" i="2" s="1"/>
  <c r="DN132" i="2" a="1"/>
  <c r="DN132" i="2" s="1"/>
  <c r="DN167" i="2" a="1"/>
  <c r="DN167" i="2" s="1"/>
  <c r="EI109" i="2" a="1"/>
  <c r="EI109" i="2" s="1"/>
  <c r="FD19" i="2" a="1"/>
  <c r="FD19" i="2" s="1"/>
  <c r="DN115" i="2" a="1"/>
  <c r="DN115" i="2" s="1"/>
  <c r="DN30" i="2" a="1"/>
  <c r="DN30" i="2" s="1"/>
  <c r="DN16" i="2" a="1"/>
  <c r="DN16" i="2" s="1"/>
  <c r="EI170" i="2" a="1"/>
  <c r="EI170" i="2" s="1"/>
  <c r="EI38" i="2" a="1"/>
  <c r="EI38" i="2" s="1"/>
  <c r="GT198" i="2" a="1"/>
  <c r="GT198" i="2" s="1"/>
  <c r="FD160" i="2" a="1"/>
  <c r="FD160" i="2" s="1"/>
  <c r="DN114" i="2" a="1"/>
  <c r="DN114" i="2" s="1"/>
  <c r="DN153" i="2" a="1"/>
  <c r="DN153" i="2" s="1"/>
  <c r="DN137" i="2" a="1"/>
  <c r="DN137" i="2" s="1"/>
  <c r="EI198" i="2" a="1"/>
  <c r="EI198" i="2" s="1"/>
  <c r="GT184" i="2" a="1"/>
  <c r="GT184" i="2" s="1"/>
  <c r="FY133" i="2" a="1"/>
  <c r="FY133" i="2" s="1"/>
  <c r="FY109" i="2" a="1"/>
  <c r="FY109" i="2" s="1"/>
  <c r="BC68" i="2" a="1"/>
  <c r="BC68" i="2" s="1"/>
  <c r="FD82" i="2" a="1"/>
  <c r="FD82" i="2" s="1"/>
  <c r="BC58" i="2" a="1"/>
  <c r="BC58" i="2" s="1"/>
  <c r="GT74" i="2" a="1"/>
  <c r="GT74" i="2" s="1"/>
  <c r="BC164" i="2" a="1"/>
  <c r="BC164" i="2" s="1"/>
  <c r="EI16" i="2" a="1"/>
  <c r="EI16" i="2" s="1"/>
  <c r="GT15" i="2" a="1"/>
  <c r="GT15" i="2" s="1"/>
  <c r="GT21" i="2" a="1"/>
  <c r="GT21" i="2" s="1"/>
  <c r="FD137" i="2" a="1"/>
  <c r="FD137" i="2" s="1"/>
  <c r="DN103" i="2" a="1"/>
  <c r="DN103" i="2" s="1"/>
  <c r="DN170" i="2" a="1"/>
  <c r="DN170" i="2" s="1"/>
  <c r="DN124" i="2" a="1"/>
  <c r="DN124" i="2" s="1"/>
  <c r="GT11" i="2" a="1"/>
  <c r="GT11" i="2" s="1"/>
  <c r="GT115" i="2" a="1"/>
  <c r="GT115" i="2" s="1"/>
  <c r="FY79" i="2" a="1"/>
  <c r="FY79" i="2" s="1"/>
  <c r="CS161" i="2" a="1"/>
  <c r="CS161" i="2" s="1"/>
  <c r="AH62" i="2" a="1"/>
  <c r="AH62" i="2" s="1"/>
  <c r="BC18" i="2" a="1"/>
  <c r="BC18" i="2" s="1"/>
  <c r="BC55" i="2" a="1"/>
  <c r="BC55" i="2" s="1"/>
  <c r="FD64" i="2" a="1"/>
  <c r="FD64" i="2" s="1"/>
  <c r="AH199" i="2" a="1"/>
  <c r="AH199" i="2" s="1"/>
  <c r="FD144" i="2" a="1"/>
  <c r="FD144" i="2" s="1"/>
  <c r="CS137" i="2" a="1"/>
  <c r="CS137" i="2" s="1"/>
  <c r="CS129" i="2" a="1"/>
  <c r="CS129" i="2" s="1"/>
  <c r="CS120" i="2" a="1"/>
  <c r="CS120" i="2" s="1"/>
  <c r="AH163" i="2" a="1"/>
  <c r="AH163" i="2" s="1"/>
  <c r="BC192" i="2" a="1"/>
  <c r="BC192" i="2" s="1"/>
  <c r="CS134" i="2" a="1"/>
  <c r="CS134" i="2" s="1"/>
  <c r="CS185" i="2" a="1"/>
  <c r="CS185" i="2" s="1"/>
  <c r="BC38" i="2" a="1"/>
  <c r="BC38" i="2" s="1"/>
  <c r="BC130" i="2" a="1"/>
  <c r="BC130" i="2" s="1"/>
  <c r="FD189" i="2" a="1"/>
  <c r="FD189" i="2" s="1"/>
  <c r="AH166" i="2" a="1"/>
  <c r="AH166" i="2" s="1"/>
  <c r="BC117" i="2" a="1"/>
  <c r="BC117" i="2" s="1"/>
  <c r="FD21" i="2" a="1"/>
  <c r="FD21" i="2" s="1"/>
  <c r="AH92" i="2" a="1"/>
  <c r="AH92" i="2" s="1"/>
  <c r="FS203" i="2"/>
  <c r="CS56" i="2" a="1"/>
  <c r="CS56" i="2" s="1"/>
  <c r="CS116" i="2" a="1"/>
  <c r="CS116" i="2" s="1"/>
  <c r="CS24" i="2" a="1"/>
  <c r="CS24" i="2" s="1"/>
  <c r="BC83" i="2" a="1"/>
  <c r="BC83" i="2" s="1"/>
  <c r="FD187" i="2" a="1"/>
  <c r="FD187" i="2" s="1"/>
  <c r="FD14" i="2" a="1"/>
  <c r="FD14" i="2" s="1"/>
  <c r="AH19" i="2" a="1"/>
  <c r="AH19" i="2" s="1"/>
  <c r="BC181" i="2" a="1"/>
  <c r="BC181" i="2" s="1"/>
  <c r="CS105" i="2" a="1"/>
  <c r="CS105" i="2" s="1"/>
  <c r="CS52" i="2" a="1"/>
  <c r="CS52" i="2" s="1"/>
  <c r="CS114" i="2" a="1"/>
  <c r="CS114" i="2" s="1"/>
  <c r="CS72" i="2" a="1"/>
  <c r="CS72" i="2" s="1"/>
  <c r="CS66" i="2" a="1"/>
  <c r="CS66" i="2" s="1"/>
  <c r="BC151" i="2" a="1"/>
  <c r="BC151" i="2" s="1"/>
  <c r="FD194" i="2" a="1"/>
  <c r="FD194" i="2" s="1"/>
  <c r="FD48" i="2" a="1"/>
  <c r="FD48" i="2" s="1"/>
  <c r="AH90" i="2" a="1"/>
  <c r="AH90" i="2" s="1"/>
  <c r="BC65" i="2" a="1"/>
  <c r="BC65" i="2" s="1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ED203" i="2"/>
  <c r="DI203" i="2"/>
  <c r="FZ12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<sst xmlns="http://schemas.openxmlformats.org/spreadsheetml/2006/main" count="1196" uniqueCount="338">
  <si>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</si>
  <si>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</si>
  <si>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</si>
  <si>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</si>
  <si>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</si>
  <si>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</si>
  <si>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</si>
  <si>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</si>
  <si>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</si>
  <si>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</si>
  <si>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</si>
  <si>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</si>
  <si>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</si>
  <si>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</si>
  <si>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</si>
  <si>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</si>
  <si>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</si>
  <si>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</si>
  <si>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</si>
  <si>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</si>
  <si>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</si>
  <si>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</si>
  <si>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</si>
  <si>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</si>
  <si>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</si>
  <si>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</si>
  <si>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</si>
  <si>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</si>
  <si>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</si>
  <si>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</si>
  <si>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</si>
  <si>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</si>
  <si>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</si>
  <si>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</si>
  <si>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</si>
  <si>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</si>
  <si>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</si>
  <si>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</si>
  <si>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</si>
  <si>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</si>
  <si>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</si>
  <si>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</si>
  <si>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</si>
  <si>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</si>
  <si>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</si>
  <si>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</si>
  <si>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</si>
  <si>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</si>
  <si>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</si>
  <si>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</si>
  <si>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</si>
  <si>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</si>
  <si>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</si>
  <si>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</si>
  <si>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</si>
  <si>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</si>
  <si>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</si>
  <si>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</si>
  <si>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</si>
  <si>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</si>
  <si>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</si>
  <si>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</si>
  <si>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</si>
  <si>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</si>
  <si>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</si>
  <si>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</si>
  <si>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</si>
  <si>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</si>
  <si>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</si>
  <si>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</si>
  <si>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</si>
  <si>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</si>
  <si>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</si>
  <si>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</si>
  <si>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</si>
  <si>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</si>
  <si>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</si>
  <si>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</si>
  <si>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</si>
  <si>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</si>
  <si>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</si>
  <si>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</si>
  <si>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</si>
  <si>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</si>
  <si>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</si>
  <si>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</si>
  <si>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</si>
  <si>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</si>
  <si>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</si>
  <si>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</si>
  <si>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</si>
  <si>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</si>
  <si>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</si>
  <si>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</si>
  <si>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</si>
  <si>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</si>
  <si>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</si>
  <si>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</si>
  <si>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</si>
  <si>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</si>
  <si>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</si>
  <si>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</si>
  <si>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</si>
  <si>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</si>
  <si>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</si>
  <si>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</si>
  <si>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</si>
  <si>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</si>
  <si>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</si>
  <si>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</si>
  <si>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</si>
  <si>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</si>
  <si>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</si>
  <si>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</si>
  <si>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</si>
  <si>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</si>
  <si>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</si>
  <si>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</si>
  <si>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</si>
  <si>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</si>
  <si>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</si>
  <si>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</si>
  <si>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</si>
  <si>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</si>
  <si>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</si>
  <si>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</si>
  <si>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</si>
  <si>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</si>
  <si>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</si>
  <si>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</si>
  <si>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</si>
  <si>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</si>
  <si>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</si>
  <si>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</si>
  <si>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</si>
  <si>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</si>
  <si>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</si>
  <si>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</si>
  <si>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</si>
  <si>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</si>
  <si>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</si>
  <si>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</si>
  <si>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</si>
  <si>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</si>
  <si>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</si>
  <si>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</si>
  <si>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</si>
  <si>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</si>
  <si>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</si>
  <si>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</si>
  <si>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</si>
  <si>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</si>
  <si>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</si>
  <si>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</si>
  <si>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</si>
  <si>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</si>
  <si>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</si>
  <si>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</si>
  <si>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</si>
  <si>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</si>
  <si>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</si>
  <si>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</si>
  <si>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</si>
  <si>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</si>
  <si>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</si>
  <si>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</si>
  <si>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</si>
  <si>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</si>
  <si>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</si>
  <si>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</si>
  <si>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</si>
  <si>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</si>
  <si>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</si>
  <si>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</si>
  <si>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</si>
  <si>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</si>
  <si>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</si>
  <si>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</si>
  <si>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</si>
  <si>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</si>
  <si>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</si>
  <si>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</si>
  <si>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</si>
  <si>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</si>
  <si>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</si>
  <si>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</si>
  <si>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</si>
  <si>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</si>
  <si>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</si>
  <si>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</si>
  <si>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</si>
  <si>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</si>
  <si>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</si>
  <si>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</si>
  <si>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</si>
  <si>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</si>
  <si>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</si>
  <si>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</si>
  <si>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</si>
  <si>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</si>
  <si>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</si>
  <si>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</si>
  <si>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</si>
  <si>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</si>
  <si>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</si>
  <si>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</si>
  <si>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</si>
  <si>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</si>
  <si>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</si>
  <si>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</si>
  <si>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</si>
  <si>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</si>
  <si>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</si>
  <si>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</si>
  <si>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</si>
  <si>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</si>
  <si>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</si>
  <si>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</si>
  <si>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</si>
  <si>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</si>
  <si>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</si>
  <si>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</si>
  <si>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</si>
  <si>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</si>
  <si>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</si>
  <si>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</si>
  <si>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</si>
  <si>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</si>
  <si>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</si>
  <si>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</si>
  <si>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</si>
  <si>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</si>
  <si>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</si>
  <si>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</si>
  <si>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</si>
  <si>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</si>
  <si>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</si>
  <si>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</si>
  <si>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</si>
  <si>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</si>
  <si>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</si>
  <si>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</si>
  <si>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</si>
  <si>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</si>
  <si>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</si>
  <si>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</si>
  <si>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</si>
  <si>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</si>
  <si>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</si>
  <si>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</si>
  <si>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</si>
  <si>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</si>
  <si>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</si>
  <si>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</si>
  <si>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</si>
  <si>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</si>
  <si>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</si>
  <si>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</si>
  <si>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</si>
  <si>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</si>
  <si>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</si>
  <si>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</si>
  <si>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</si>
  <si>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</si>
  <si>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</si>
  <si>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</si>
  <si>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</si>
  <si>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</si>
  <si>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</si>
  <si>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</si>
  <si>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</si>
  <si>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</si>
  <si>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</si>
  <si>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</si>
  <si>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</si>
  <si>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</si>
  <si>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</si>
  <si>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</si>
  <si>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</si>
  <si>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</si>
  <si>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</si>
  <si>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</si>
  <si>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</si>
  <si>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</si>
  <si>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</si>
  <si>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</si>
  <si>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</si>
  <si>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</si>
  <si>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</si>
  <si>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</si>
  <si>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</si>
  <si>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</si>
  <si>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</si>
  <si>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</si>
  <si>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</si>
  <si>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</si>
  <si>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</si>
  <si>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</si>
  <si>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</si>
  <si>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</si>
  <si>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</si>
  <si>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</si>
  <si>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</si>
  <si>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</si>
  <si>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</si>
  <si>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</si>
  <si>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</si>
  <si>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</si>
  <si>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</si>
  <si>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</si>
  <si>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</si>
  <si>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</si>
  <si>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</si>
  <si>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</si>
  <si>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</si>
  <si>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</si>
  <si>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</si>
  <si>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</si>
  <si>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</si>
  <si>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</si>
  <si>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</si>
  <si>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</si>
  <si>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</si>
  <si>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</si>
  <si>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</si>
  <si>
    <t>na</t>
  </si>
  <si>
    <t>54</t>
  </si>
  <si>
    <t>26</t>
  </si>
  <si>
    <t>27</t>
  </si>
  <si>
    <t>24</t>
  </si>
  <si>
    <t>23</t>
  </si>
  <si>
    <t>21</t>
  </si>
  <si>
    <t>20</t>
  </si>
  <si>
    <t>18</t>
  </si>
  <si>
    <t>16</t>
  </si>
  <si>
    <t>15</t>
  </si>
  <si>
    <t>14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</si>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</sst>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2.6358219284503748</c:v>
                </c:pt>
                <c:pt idx="2">
                  <c:v>3.3407802804799442</c:v>
                </c:pt>
                <c:pt idx="3">
                  <c:v>4.2350219291255007</c:v>
                </c:pt>
                <c:pt idx="4">
                  <c:v>5.3695572305815107</c:v>
                </c:pt>
                <c:pt idx="5">
                  <c:v>6.8091906246186555</c:v>
                </c:pt>
                <c:pt idx="6">
                  <c:v>8.6362626443738666</c:v>
                </c:pt>
                <c:pt idx="7">
                  <c:v>10.955410010785373</c:v>
                </c:pt>
                <c:pt idx="8">
                  <c:v>13.899621540652397</c:v>
                </c:pt>
                <c:pt idx="9">
                  <c:v>17.637943544532806</c:v>
                </c:pt>
                <c:pt idx="10">
                  <c:v>22.385285151953138</c:v>
                </c:pt>
                <c:pt idx="11">
                  <c:v>28.414897292262125</c:v>
                </c:pt>
                <c:pt idx="12">
                  <c:v>36.074256167773257</c:v>
                </c:pt>
                <c:pt idx="13">
                  <c:v>45.805282274976577</c:v>
                </c:pt>
                <c:pt idx="14">
                  <c:v>58.170081211163478</c:v>
                </c:pt>
                <c:pt idx="15">
                  <c:v>73.883717762935518</c:v>
                </c:pt>
                <c:pt idx="16">
                  <c:v>85.717976445344206</c:v>
                </c:pt>
                <c:pt idx="17">
                  <c:v>102.8595313521908</c:v>
                </c:pt>
                <c:pt idx="18">
                  <c:v>119.9302774112839</c:v>
                </c:pt>
                <c:pt idx="19">
                  <c:v>136.94173921341994</c:v>
                </c:pt>
                <c:pt idx="20">
                  <c:v>153.90233005028915</c:v>
                </c:pt>
                <c:pt idx="21">
                  <c:v>128.44283600598467</c:v>
                </c:pt>
                <c:pt idx="22">
                  <c:v>147.19440041072556</c:v>
                </c:pt>
                <c:pt idx="23">
                  <c:v>165.88885903505457</c:v>
                </c:pt>
                <c:pt idx="24">
                  <c:v>184.5335587844996</c:v>
                </c:pt>
                <c:pt idx="25">
                  <c:v>203.13423715529458</c:v>
                </c:pt>
                <c:pt idx="26">
                  <c:v>175.92057051227536</c:v>
                </c:pt>
                <c:pt idx="27">
                  <c:v>196.11997175537036</c:v>
                </c:pt>
                <c:pt idx="28">
                  <c:v>216.27104494240783</c:v>
                </c:pt>
                <c:pt idx="29">
                  <c:v>236.37892704001885</c:v>
                </c:pt>
                <c:pt idx="30">
                  <c:v>256.44780875667226</c:v>
                </c:pt>
                <c:pt idx="31">
                  <c:v>276.4811708949199</c:v>
                </c:pt>
                <c:pt idx="32">
                  <c:v>235.21435428998385</c:v>
                </c:pt>
                <c:pt idx="33">
                  <c:v>254.99477397913537</c:v>
                </c:pt>
                <c:pt idx="34">
                  <c:v>274.74047191396772</c:v>
                </c:pt>
                <c:pt idx="35">
                  <c:v>294.45429395414675</c:v>
                </c:pt>
                <c:pt idx="36">
                  <c:v>314.13867371561679</c:v>
                </c:pt>
                <c:pt idx="37">
                  <c:v>333.79571492319093</c:v>
                </c:pt>
                <c:pt idx="38">
                  <c:v>290.64642518676175</c:v>
                </c:pt>
                <c:pt idx="39">
                  <c:v>310.00563425237812</c:v>
                </c:pt>
                <c:pt idx="40">
                  <c:v>329.33801275966874</c:v>
                </c:pt>
                <c:pt idx="41">
                  <c:v>348.64535664092631</c:v>
                </c:pt>
                <c:pt idx="42">
                  <c:v>367.92924671972099</c:v>
                </c:pt>
                <c:pt idx="43">
                  <c:v>387.1910846335881</c:v>
                </c:pt>
                <c:pt idx="44">
                  <c:v>406.43212123270087</c:v>
                </c:pt>
                <c:pt idx="45">
                  <c:v>350.03678877744466</c:v>
                </c:pt>
                <c:pt idx="46">
                  <c:v>367.99101790074377</c:v>
                </c:pt>
                <c:pt idx="47">
                  <c:v>385.92613449835784</c:v>
                </c:pt>
                <c:pt idx="48">
                  <c:v>403.84315144097854</c:v>
                </c:pt>
                <c:pt idx="49">
                  <c:v>421.74298442163996</c:v>
                </c:pt>
                <c:pt idx="50">
                  <c:v>439.62646509306978</c:v>
                </c:pt>
                <c:pt idx="51">
                  <c:v>457.49435195604133</c:v>
                </c:pt>
                <c:pt idx="52">
                  <c:v>475.34733945827878</c:v>
                </c:pt>
                <c:pt idx="53">
                  <c:v>407.29503182673903</c:v>
                </c:pt>
                <c:pt idx="54">
                  <c:v>423.68293333202695</c:v>
                </c:pt>
                <c:pt idx="55">
                  <c:v>440.05719702613652</c:v>
                </c:pt>
                <c:pt idx="56">
                  <c:v>456.41840163001302</c:v>
                </c:pt>
                <c:pt idx="57">
                  <c:v>472.76708100439265</c:v>
                </c:pt>
                <c:pt idx="58">
                  <c:v>489.10372909031236</c:v>
                </c:pt>
                <c:pt idx="59">
                  <c:v>505.42880415532341</c:v>
                </c:pt>
                <c:pt idx="60">
                  <c:v>521.74273246270207</c:v>
                </c:pt>
                <c:pt idx="61">
                  <c:v>455.84453930443124</c:v>
                </c:pt>
                <c:pt idx="62">
                  <c:v>470.76000609173275</c:v>
                </c:pt>
                <c:pt idx="63">
                  <c:v>485.66541136738397</c:v>
                </c:pt>
                <c:pt idx="64">
                  <c:v>500.56110732175648</c:v>
                </c:pt>
                <c:pt idx="65">
                  <c:v>515.44742348183297</c:v>
                </c:pt>
                <c:pt idx="66">
                  <c:v>530.32466879559718</c:v>
                </c:pt>
                <c:pt idx="67">
                  <c:v>545.19313347042998</c:v>
                </c:pt>
                <c:pt idx="68">
                  <c:v>560.05309060059778</c:v>
                </c:pt>
                <c:pt idx="69">
                  <c:v>574.90479761309132</c:v>
                </c:pt>
                <c:pt idx="70">
                  <c:v>3.7262491852788889E-12</c:v>
                </c:pt>
                <c:pt idx="71">
                  <c:v>3.7262491852788889E-12</c:v>
                </c:pt>
                <c:pt idx="72">
                  <c:v>3.7262491852788889E-12</c:v>
                </c:pt>
                <c:pt idx="73">
                  <c:v>3.7262491852788889E-12</c:v>
                </c:pt>
                <c:pt idx="74">
                  <c:v>3.7262491852788889E-12</c:v>
                </c:pt>
                <c:pt idx="75">
                  <c:v>3.7262491852788889E-12</c:v>
                </c:pt>
                <c:pt idx="76">
                  <c:v>3.7262491852788889E-12</c:v>
                </c:pt>
                <c:pt idx="77">
                  <c:v>3.7262491852788889E-12</c:v>
                </c:pt>
                <c:pt idx="78">
                  <c:v>3.7262491852788889E-12</c:v>
                </c:pt>
                <c:pt idx="79">
                  <c:v>3.7262491852788889E-12</c:v>
                </c:pt>
                <c:pt idx="80">
                  <c:v>3.7262491852788889E-12</c:v>
                </c:pt>
                <c:pt idx="81">
                  <c:v>3.7262491852788889E-12</c:v>
                </c:pt>
                <c:pt idx="82">
                  <c:v>3.7262491852788889E-12</c:v>
                </c:pt>
                <c:pt idx="83">
                  <c:v>3.7262491852788889E-12</c:v>
                </c:pt>
                <c:pt idx="84">
                  <c:v>3.7262491852788889E-12</c:v>
                </c:pt>
                <c:pt idx="85">
                  <c:v>3.7262491852788889E-12</c:v>
                </c:pt>
                <c:pt idx="86">
                  <c:v>3.7262491852788889E-12</c:v>
                </c:pt>
                <c:pt idx="87">
                  <c:v>3.7262491852788889E-12</c:v>
                </c:pt>
                <c:pt idx="88">
                  <c:v>3.7262491852788889E-12</c:v>
                </c:pt>
                <c:pt idx="89">
                  <c:v>3.7262491852788889E-12</c:v>
                </c:pt>
                <c:pt idx="90">
                  <c:v>3.7262491852788889E-12</c:v>
                </c:pt>
                <c:pt idx="91">
                  <c:v>3.7262491852788889E-12</c:v>
                </c:pt>
                <c:pt idx="92">
                  <c:v>3.7262491852788889E-12</c:v>
                </c:pt>
                <c:pt idx="93">
                  <c:v>3.7262491852788889E-12</c:v>
                </c:pt>
                <c:pt idx="94">
                  <c:v>3.7262491852788889E-12</c:v>
                </c:pt>
                <c:pt idx="95">
                  <c:v>3.7262491852788889E-12</c:v>
                </c:pt>
                <c:pt idx="96">
                  <c:v>3.7262491852788889E-12</c:v>
                </c:pt>
                <c:pt idx="97">
                  <c:v>3.7262491852788889E-12</c:v>
                </c:pt>
                <c:pt idx="98">
                  <c:v>3.7262491852788889E-12</c:v>
                </c:pt>
                <c:pt idx="99">
                  <c:v>3.7262491852788889E-12</c:v>
                </c:pt>
                <c:pt idx="100">
                  <c:v>3.7262491852788889E-12</c:v>
                </c:pt>
                <c:pt idx="101">
                  <c:v>3.7262491852788889E-12</c:v>
                </c:pt>
                <c:pt idx="102">
                  <c:v>3.7262491852788889E-12</c:v>
                </c:pt>
                <c:pt idx="103">
                  <c:v>3.7262491852788889E-12</c:v>
                </c:pt>
                <c:pt idx="104">
                  <c:v>3.7262491852788889E-12</c:v>
                </c:pt>
                <c:pt idx="105">
                  <c:v>3.7262491852788889E-12</c:v>
                </c:pt>
                <c:pt idx="106">
                  <c:v>3.7262491852788889E-12</c:v>
                </c:pt>
                <c:pt idx="107">
                  <c:v>3.7262491852788889E-12</c:v>
                </c:pt>
                <c:pt idx="108">
                  <c:v>3.7262491852788889E-12</c:v>
                </c:pt>
                <c:pt idx="109">
                  <c:v>3.7262491852788889E-12</c:v>
                </c:pt>
                <c:pt idx="110">
                  <c:v>3.7262491852788889E-12</c:v>
                </c:pt>
                <c:pt idx="111">
                  <c:v>3.7262491852788889E-12</c:v>
                </c:pt>
                <c:pt idx="112">
                  <c:v>3.7262491852788889E-12</c:v>
                </c:pt>
                <c:pt idx="113">
                  <c:v>3.7262491852788889E-12</c:v>
                </c:pt>
                <c:pt idx="114">
                  <c:v>3.7262491852788889E-12</c:v>
                </c:pt>
                <c:pt idx="115">
                  <c:v>3.7262491852788889E-12</c:v>
                </c:pt>
                <c:pt idx="116">
                  <c:v>3.7262491852788889E-12</c:v>
                </c:pt>
                <c:pt idx="117">
                  <c:v>3.7262491852788889E-12</c:v>
                </c:pt>
                <c:pt idx="118">
                  <c:v>3.7262491852788889E-12</c:v>
                </c:pt>
                <c:pt idx="119">
                  <c:v>3.7262491852788889E-12</c:v>
                </c:pt>
                <c:pt idx="120">
                  <c:v>3.7262491852788889E-12</c:v>
                </c:pt>
                <c:pt idx="121">
                  <c:v>3.7262491852788889E-12</c:v>
                </c:pt>
                <c:pt idx="122">
                  <c:v>3.7262491852788889E-12</c:v>
                </c:pt>
                <c:pt idx="123">
                  <c:v>3.7262491852788889E-12</c:v>
                </c:pt>
                <c:pt idx="124">
                  <c:v>3.7262491852788889E-12</c:v>
                </c:pt>
                <c:pt idx="125">
                  <c:v>3.7262491852788889E-12</c:v>
                </c:pt>
                <c:pt idx="126">
                  <c:v>3.7262491852788889E-12</c:v>
                </c:pt>
                <c:pt idx="127">
                  <c:v>3.7262491852788889E-12</c:v>
                </c:pt>
                <c:pt idx="128">
                  <c:v>3.7262491852788889E-12</c:v>
                </c:pt>
                <c:pt idx="129">
                  <c:v>3.7262491852788889E-12</c:v>
                </c:pt>
                <c:pt idx="130">
                  <c:v>3.7262491852788889E-12</c:v>
                </c:pt>
                <c:pt idx="131">
                  <c:v>3.7262491852788889E-12</c:v>
                </c:pt>
                <c:pt idx="132">
                  <c:v>3.7262491852788889E-12</c:v>
                </c:pt>
                <c:pt idx="133">
                  <c:v>3.7262491852788889E-12</c:v>
                </c:pt>
                <c:pt idx="134">
                  <c:v>3.7262491852788889E-12</c:v>
                </c:pt>
                <c:pt idx="135">
                  <c:v>3.7262491852788889E-12</c:v>
                </c:pt>
                <c:pt idx="136">
                  <c:v>3.7262491852788889E-12</c:v>
                </c:pt>
                <c:pt idx="137">
                  <c:v>3.7262491852788889E-12</c:v>
                </c:pt>
                <c:pt idx="138">
                  <c:v>3.7262491852788889E-12</c:v>
                </c:pt>
                <c:pt idx="139">
                  <c:v>3.7262491852788889E-12</c:v>
                </c:pt>
                <c:pt idx="140">
                  <c:v>3.7262491852788889E-12</c:v>
                </c:pt>
                <c:pt idx="141">
                  <c:v>3.7262491852788889E-12</c:v>
                </c:pt>
                <c:pt idx="142">
                  <c:v>3.7262491852788889E-12</c:v>
                </c:pt>
                <c:pt idx="143">
                  <c:v>3.7262491852788889E-12</c:v>
                </c:pt>
                <c:pt idx="144">
                  <c:v>3.7262491852788889E-12</c:v>
                </c:pt>
                <c:pt idx="145">
                  <c:v>3.7262491852788889E-12</c:v>
                </c:pt>
                <c:pt idx="146">
                  <c:v>3.7262491852788889E-12</c:v>
                </c:pt>
                <c:pt idx="147">
                  <c:v>3.7262491852788889E-12</c:v>
                </c:pt>
                <c:pt idx="148">
                  <c:v>3.7262491852788889E-12</c:v>
                </c:pt>
                <c:pt idx="149">
                  <c:v>3.7262491852788889E-12</c:v>
                </c:pt>
                <c:pt idx="150">
                  <c:v>3.7262491852788889E-12</c:v>
                </c:pt>
                <c:pt idx="151">
                  <c:v>3.7262491852788889E-12</c:v>
                </c:pt>
                <c:pt idx="152">
                  <c:v>3.7262491852788889E-12</c:v>
                </c:pt>
                <c:pt idx="153">
                  <c:v>3.7262491852788889E-12</c:v>
                </c:pt>
                <c:pt idx="154">
                  <c:v>3.7262491852788889E-12</c:v>
                </c:pt>
                <c:pt idx="155">
                  <c:v>3.7262491852788889E-12</c:v>
                </c:pt>
                <c:pt idx="156">
                  <c:v>3.7262491852788889E-12</c:v>
                </c:pt>
                <c:pt idx="157">
                  <c:v>3.7262491852788889E-12</c:v>
                </c:pt>
                <c:pt idx="158">
                  <c:v>3.7262491852788889E-12</c:v>
                </c:pt>
                <c:pt idx="159">
                  <c:v>3.7262491852788889E-12</c:v>
                </c:pt>
                <c:pt idx="160">
                  <c:v>3.7262491852788889E-12</c:v>
                </c:pt>
                <c:pt idx="161">
                  <c:v>3.7262491852788889E-12</c:v>
                </c:pt>
                <c:pt idx="162">
                  <c:v>3.7262491852788889E-12</c:v>
                </c:pt>
                <c:pt idx="163">
                  <c:v>3.7262491852788889E-12</c:v>
                </c:pt>
                <c:pt idx="164">
                  <c:v>3.7262491852788889E-12</c:v>
                </c:pt>
                <c:pt idx="165">
                  <c:v>3.7262491852788889E-12</c:v>
                </c:pt>
                <c:pt idx="166">
                  <c:v>3.7262491852788889E-12</c:v>
                </c:pt>
                <c:pt idx="167">
                  <c:v>3.7262491852788889E-12</c:v>
                </c:pt>
                <c:pt idx="168">
                  <c:v>3.7262491852788889E-12</c:v>
                </c:pt>
                <c:pt idx="169">
                  <c:v>3.7262491852788889E-12</c:v>
                </c:pt>
                <c:pt idx="170">
                  <c:v>3.7262491852788889E-12</c:v>
                </c:pt>
                <c:pt idx="171">
                  <c:v>3.7262491852788889E-12</c:v>
                </c:pt>
                <c:pt idx="172">
                  <c:v>3.7262491852788889E-12</c:v>
                </c:pt>
                <c:pt idx="173">
                  <c:v>3.7262491852788889E-12</c:v>
                </c:pt>
                <c:pt idx="174">
                  <c:v>3.7262491852788889E-12</c:v>
                </c:pt>
                <c:pt idx="175">
                  <c:v>3.7262491852788889E-12</c:v>
                </c:pt>
                <c:pt idx="176">
                  <c:v>3.7262491852788889E-12</c:v>
                </c:pt>
                <c:pt idx="177">
                  <c:v>3.7262491852788889E-12</c:v>
                </c:pt>
                <c:pt idx="178">
                  <c:v>3.7262491852788889E-12</c:v>
                </c:pt>
                <c:pt idx="179">
                  <c:v>3.7262491852788889E-12</c:v>
                </c:pt>
                <c:pt idx="180">
                  <c:v>3.7262491852788889E-12</c:v>
                </c:pt>
                <c:pt idx="181">
                  <c:v>3.7262491852788889E-12</c:v>
                </c:pt>
                <c:pt idx="182">
                  <c:v>3.7262491852788889E-12</c:v>
                </c:pt>
                <c:pt idx="183">
                  <c:v>3.7262491852788889E-12</c:v>
                </c:pt>
                <c:pt idx="184">
                  <c:v>3.7262491852788889E-12</c:v>
                </c:pt>
                <c:pt idx="185">
                  <c:v>3.7262491852788889E-12</c:v>
                </c:pt>
                <c:pt idx="186">
                  <c:v>3.7262491852788889E-12</c:v>
                </c:pt>
                <c:pt idx="187">
                  <c:v>3.7262491852788889E-12</c:v>
                </c:pt>
                <c:pt idx="188">
                  <c:v>3.7262491852788889E-12</c:v>
                </c:pt>
                <c:pt idx="189">
                  <c:v>3.7262491852788889E-12</c:v>
                </c:pt>
                <c:pt idx="190">
                  <c:v>3.7262491852788889E-12</c:v>
                </c:pt>
                <c:pt idx="191">
                  <c:v>3.7262491852788889E-12</c:v>
                </c:pt>
                <c:pt idx="192">
                  <c:v>3.7262491852788889E-12</c:v>
                </c:pt>
                <c:pt idx="193">
                  <c:v>3.7262491852788889E-12</c:v>
                </c:pt>
                <c:pt idx="194">
                  <c:v>3.7262491852788889E-12</c:v>
                </c:pt>
                <c:pt idx="195">
                  <c:v>3.7262491852788889E-12</c:v>
                </c:pt>
                <c:pt idx="196">
                  <c:v>3.7262491852788889E-12</c:v>
                </c:pt>
                <c:pt idx="197">
                  <c:v>3.7262491852788889E-12</c:v>
                </c:pt>
                <c:pt idx="198">
                  <c:v>3.7262491852788889E-12</c:v>
                </c:pt>
                <c:pt idx="199">
                  <c:v>3.7262491852788889E-12</c:v>
                </c:pt>
                <c:pt idx="200">
                  <c:v>3.7262491852788889E-12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2.542917851231719</c:v>
                </c:pt>
                <c:pt idx="2">
                  <c:v>2.9456516874589642</c:v>
                </c:pt>
                <c:pt idx="3">
                  <c:v>3.412399292835957</c:v>
                </c:pt>
                <c:pt idx="4">
                  <c:v>3.9533702250260876</c:v>
                </c:pt>
                <c:pt idx="5">
                  <c:v>4.5804075574196004</c:v>
                </c:pt>
                <c:pt idx="6">
                  <c:v>5.3072500142144872</c:v>
                </c:pt>
                <c:pt idx="7">
                  <c:v>6.1498362862942892</c:v>
                </c:pt>
                <c:pt idx="8">
                  <c:v>7.1266583323998525</c:v>
                </c:pt>
                <c:pt idx="9">
                  <c:v>8.2591715703016604</c:v>
                </c:pt>
                <c:pt idx="10">
                  <c:v>9.5722711411529939</c:v>
                </c:pt>
                <c:pt idx="11">
                  <c:v>11.094844915879998</c:v>
                </c:pt>
                <c:pt idx="12">
                  <c:v>12.860415638987101</c:v>
                </c:pt>
                <c:pt idx="13">
                  <c:v>14.907886611641489</c:v>
                </c:pt>
                <c:pt idx="14">
                  <c:v>17.282407647828396</c:v>
                </c:pt>
                <c:pt idx="15">
                  <c:v>20.036380747619727</c:v>
                </c:pt>
                <c:pt idx="16">
                  <c:v>23.230628081659251</c:v>
                </c:pt>
                <c:pt idx="17">
                  <c:v>26.935748542332693</c:v>
                </c:pt>
                <c:pt idx="18">
                  <c:v>31.233693372897847</c:v>
                </c:pt>
                <c:pt idx="19">
                  <c:v>36.219596332771673</c:v>
                </c:pt>
                <c:pt idx="20">
                  <c:v>42.00389960763092</c:v>
                </c:pt>
                <c:pt idx="21">
                  <c:v>48.714823357713861</c:v>
                </c:pt>
                <c:pt idx="22">
                  <c:v>56.501234568753496</c:v>
                </c:pt>
                <c:pt idx="23">
                  <c:v>65.535979904141939</c:v>
                </c:pt>
                <c:pt idx="24">
                  <c:v>76.019757759859047</c:v>
                </c:pt>
                <c:pt idx="25">
                  <c:v>88.185616934561338</c:v>
                </c:pt>
                <c:pt idx="26">
                  <c:v>102.30418352417756</c:v>
                </c:pt>
                <c:pt idx="27">
                  <c:v>118.68973415692649</c:v>
                </c:pt>
                <c:pt idx="28">
                  <c:v>137.70725287715754</c:v>
                </c:pt>
                <c:pt idx="29">
                  <c:v>159.78063130250749</c:v>
                </c:pt>
                <c:pt idx="30">
                  <c:v>185.40219762768436</c:v>
                </c:pt>
                <c:pt idx="31">
                  <c:v>200.21840893933916</c:v>
                </c:pt>
                <c:pt idx="32">
                  <c:v>215.00921164740643</c:v>
                </c:pt>
                <c:pt idx="33">
                  <c:v>229.77660030944841</c:v>
                </c:pt>
                <c:pt idx="34">
                  <c:v>244.5222919765753</c:v>
                </c:pt>
                <c:pt idx="35">
                  <c:v>259.24777957152554</c:v>
                </c:pt>
                <c:pt idx="36">
                  <c:v>273.95437248658499</c:v>
                </c:pt>
                <c:pt idx="37">
                  <c:v>288.64322799725204</c:v>
                </c:pt>
                <c:pt idx="38">
                  <c:v>303.31537594060302</c:v>
                </c:pt>
                <c:pt idx="39">
                  <c:v>317.97173836505806</c:v>
                </c:pt>
                <c:pt idx="40">
                  <c:v>332.61314536547644</c:v>
                </c:pt>
                <c:pt idx="41">
                  <c:v>347.2403479828626</c:v>
                </c:pt>
                <c:pt idx="42">
                  <c:v>361.85402881605552</c:v>
                </c:pt>
                <c:pt idx="43">
                  <c:v>254.05045171456126</c:v>
                </c:pt>
                <c:pt idx="44">
                  <c:v>273.30908781924603</c:v>
                </c:pt>
                <c:pt idx="45">
                  <c:v>292.53722685532045</c:v>
                </c:pt>
                <c:pt idx="46">
                  <c:v>311.73715478570745</c:v>
                </c:pt>
                <c:pt idx="47">
                  <c:v>330.91085299002935</c:v>
                </c:pt>
                <c:pt idx="48">
                  <c:v>350.06005451453262</c:v>
                </c:pt>
                <c:pt idx="49">
                  <c:v>286.89034963533692</c:v>
                </c:pt>
                <c:pt idx="50">
                  <c:v>305.85500857255619</c:v>
                </c:pt>
                <c:pt idx="51">
                  <c:v>324.79353513161385</c:v>
                </c:pt>
                <c:pt idx="52">
                  <c:v>343.70766692496665</c:v>
                </c:pt>
                <c:pt idx="53">
                  <c:v>362.59893474401434</c:v>
                </c:pt>
                <c:pt idx="54">
                  <c:v>381.46869689295846</c:v>
                </c:pt>
                <c:pt idx="55">
                  <c:v>313.16905704879002</c:v>
                </c:pt>
                <c:pt idx="56">
                  <c:v>331.03818878116073</c:v>
                </c:pt>
                <c:pt idx="57">
                  <c:v>348.88605291527614</c:v>
                </c:pt>
                <c:pt idx="58">
                  <c:v>366.71389019744009</c:v>
                </c:pt>
                <c:pt idx="59">
                  <c:v>384.52281091563833</c:v>
                </c:pt>
                <c:pt idx="60">
                  <c:v>402.31381414867474</c:v>
                </c:pt>
                <c:pt idx="61">
                  <c:v>420.08780343216762</c:v>
                </c:pt>
                <c:pt idx="62">
                  <c:v>437.84559963478665</c:v>
                </c:pt>
                <c:pt idx="63">
                  <c:v>455.58795163676615</c:v>
                </c:pt>
                <c:pt idx="64">
                  <c:v>353.95712221403022</c:v>
                </c:pt>
                <c:pt idx="65">
                  <c:v>370.35688517864082</c:v>
                </c:pt>
                <c:pt idx="66">
                  <c:v>386.74081358461211</c:v>
                </c:pt>
                <c:pt idx="67">
                  <c:v>403.10967251189368</c:v>
                </c:pt>
                <c:pt idx="68">
                  <c:v>419.46415985079608</c:v>
                </c:pt>
                <c:pt idx="69">
                  <c:v>435.80491464656455</c:v>
                </c:pt>
                <c:pt idx="70">
                  <c:v>452.13252412721516</c:v>
                </c:pt>
                <c:pt idx="71">
                  <c:v>468.44752966340502</c:v>
                </c:pt>
                <c:pt idx="72">
                  <c:v>484.75043185490728</c:v>
                </c:pt>
                <c:pt idx="73">
                  <c:v>385.34418108704193</c:v>
                </c:pt>
                <c:pt idx="74">
                  <c:v>399.99106510668076</c:v>
                </c:pt>
                <c:pt idx="75">
                  <c:v>414.62634322825835</c:v>
                </c:pt>
                <c:pt idx="76">
                  <c:v>429.25048274474801</c:v>
                </c:pt>
                <c:pt idx="77">
                  <c:v>443.86391651626144</c:v>
                </c:pt>
                <c:pt idx="78">
                  <c:v>458.46704658103823</c:v>
                </c:pt>
                <c:pt idx="79">
                  <c:v>473.06024728243852</c:v>
                </c:pt>
                <c:pt idx="80">
                  <c:v>487.64386799004114</c:v>
                </c:pt>
                <c:pt idx="81">
                  <c:v>502.21823547834015</c:v>
                </c:pt>
                <c:pt idx="82">
                  <c:v>410.78433068904695</c:v>
                </c:pt>
                <c:pt idx="83">
                  <c:v>423.86951583426065</c:v>
                </c:pt>
                <c:pt idx="84">
                  <c:v>436.94600990111115</c:v>
                </c:pt>
                <c:pt idx="85">
                  <c:v>450.01410962060532</c:v>
                </c:pt>
                <c:pt idx="86">
                  <c:v>463.07409308539883</c:v>
                </c:pt>
                <c:pt idx="87">
                  <c:v>476.12622142420764</c:v>
                </c:pt>
                <c:pt idx="88">
                  <c:v>489.17074028307201</c:v>
                </c:pt>
                <c:pt idx="89">
                  <c:v>502.20788114041005</c:v>
                </c:pt>
                <c:pt idx="90">
                  <c:v>515.23786247843486</c:v>
                </c:pt>
                <c:pt idx="91">
                  <c:v>430.8490366636683</c:v>
                </c:pt>
                <c:pt idx="92">
                  <c:v>442.51945486572777</c:v>
                </c:pt>
                <c:pt idx="93">
                  <c:v>454.18327922756254</c:v>
                </c:pt>
                <c:pt idx="94">
                  <c:v>465.84070295930866</c:v>
                </c:pt>
                <c:pt idx="95">
                  <c:v>477.49190881205328</c:v>
                </c:pt>
                <c:pt idx="96">
                  <c:v>489.13706989082084</c:v>
                </c:pt>
                <c:pt idx="97">
                  <c:v>500.77635038611339</c:v>
                </c:pt>
                <c:pt idx="98">
                  <c:v>512.40990623390246</c:v>
                </c:pt>
                <c:pt idx="99">
                  <c:v>524.03788571257303</c:v>
                </c:pt>
                <c:pt idx="100">
                  <c:v>436.52151436826398</c:v>
                </c:pt>
                <c:pt idx="101">
                  <c:v>446.79262056814309</c:v>
                </c:pt>
                <c:pt idx="102">
                  <c:v>457.05867287113961</c:v>
                </c:pt>
                <c:pt idx="103">
                  <c:v>467.31980081846979</c:v>
                </c:pt>
                <c:pt idx="104">
                  <c:v>477.57612779754908</c:v>
                </c:pt>
                <c:pt idx="105">
                  <c:v>487.82777146303675</c:v>
                </c:pt>
                <c:pt idx="106">
                  <c:v>498.07484412064053</c:v>
                </c:pt>
                <c:pt idx="107">
                  <c:v>508.31745307769455</c:v>
                </c:pt>
                <c:pt idx="108">
                  <c:v>518.55570096400891</c:v>
                </c:pt>
                <c:pt idx="109">
                  <c:v>528.78968602606221</c:v>
                </c:pt>
                <c:pt idx="110">
                  <c:v>539.01950239723567</c:v>
                </c:pt>
                <c:pt idx="111">
                  <c:v>549.24524034646686</c:v>
                </c:pt>
                <c:pt idx="112">
                  <c:v>360.65976316324731</c:v>
                </c:pt>
                <c:pt idx="113">
                  <c:v>369.08348976534489</c:v>
                </c:pt>
                <c:pt idx="114">
                  <c:v>377.5030220286215</c:v>
                </c:pt>
                <c:pt idx="115">
                  <c:v>385.91846675312127</c:v>
                </c:pt>
                <c:pt idx="116">
                  <c:v>394.32992569811682</c:v>
                </c:pt>
                <c:pt idx="117">
                  <c:v>267.72278630453047</c:v>
                </c:pt>
                <c:pt idx="118">
                  <c:v>274.46664122246131</c:v>
                </c:pt>
                <c:pt idx="119">
                  <c:v>281.20677326342064</c:v>
                </c:pt>
                <c:pt idx="120">
                  <c:v>287.9432843604298</c:v>
                </c:pt>
                <c:pt idx="121">
                  <c:v>294.67627128180681</c:v>
                </c:pt>
                <c:pt idx="122">
                  <c:v>177.15925472514937</c:v>
                </c:pt>
                <c:pt idx="123">
                  <c:v>181.9773913081201</c:v>
                </c:pt>
                <c:pt idx="124">
                  <c:v>186.79254317805476</c:v>
                </c:pt>
                <c:pt idx="125">
                  <c:v>191.60479830225623</c:v>
                </c:pt>
                <c:pt idx="126">
                  <c:v>4.4941245483497909E-12</c:v>
                </c:pt>
                <c:pt idx="127">
                  <c:v>4.4941245483497909E-12</c:v>
                </c:pt>
                <c:pt idx="128">
                  <c:v>4.4941245483497909E-12</c:v>
                </c:pt>
                <c:pt idx="129">
                  <c:v>4.4941245483497909E-12</c:v>
                </c:pt>
                <c:pt idx="130">
                  <c:v>4.4941245483497909E-12</c:v>
                </c:pt>
                <c:pt idx="131">
                  <c:v>4.4941245483497909E-12</c:v>
                </c:pt>
                <c:pt idx="132">
                  <c:v>4.4941245483497909E-12</c:v>
                </c:pt>
                <c:pt idx="133">
                  <c:v>4.4941245483497909E-12</c:v>
                </c:pt>
                <c:pt idx="134">
                  <c:v>4.4941245483497909E-12</c:v>
                </c:pt>
                <c:pt idx="135">
                  <c:v>4.4941245483497909E-12</c:v>
                </c:pt>
                <c:pt idx="136">
                  <c:v>4.4941245483497909E-12</c:v>
                </c:pt>
                <c:pt idx="137">
                  <c:v>4.4941245483497909E-12</c:v>
                </c:pt>
                <c:pt idx="138">
                  <c:v>4.4941245483497909E-12</c:v>
                </c:pt>
                <c:pt idx="139">
                  <c:v>4.4941245483497909E-12</c:v>
                </c:pt>
                <c:pt idx="140">
                  <c:v>4.4941245483497909E-12</c:v>
                </c:pt>
                <c:pt idx="141">
                  <c:v>4.4941245483497909E-12</c:v>
                </c:pt>
                <c:pt idx="142">
                  <c:v>4.4941245483497909E-12</c:v>
                </c:pt>
                <c:pt idx="143">
                  <c:v>4.4941245483497909E-12</c:v>
                </c:pt>
                <c:pt idx="144">
                  <c:v>4.4941245483497909E-12</c:v>
                </c:pt>
                <c:pt idx="145">
                  <c:v>4.4941245483497909E-12</c:v>
                </c:pt>
                <c:pt idx="146">
                  <c:v>4.4941245483497909E-12</c:v>
                </c:pt>
                <c:pt idx="147">
                  <c:v>4.4941245483497909E-12</c:v>
                </c:pt>
                <c:pt idx="148">
                  <c:v>4.4941245483497909E-12</c:v>
                </c:pt>
                <c:pt idx="149">
                  <c:v>4.4941245483497909E-12</c:v>
                </c:pt>
                <c:pt idx="150">
                  <c:v>4.4941245483497909E-12</c:v>
                </c:pt>
                <c:pt idx="151">
                  <c:v>4.4941245483497909E-12</c:v>
                </c:pt>
                <c:pt idx="152">
                  <c:v>4.4941245483497909E-12</c:v>
                </c:pt>
                <c:pt idx="153">
                  <c:v>4.4941245483497909E-12</c:v>
                </c:pt>
                <c:pt idx="154">
                  <c:v>4.4941245483497909E-12</c:v>
                </c:pt>
                <c:pt idx="155">
                  <c:v>4.4941245483497909E-12</c:v>
                </c:pt>
                <c:pt idx="156">
                  <c:v>4.4941245483497909E-12</c:v>
                </c:pt>
                <c:pt idx="157">
                  <c:v>4.4941245483497909E-12</c:v>
                </c:pt>
                <c:pt idx="158">
                  <c:v>4.4941245483497909E-12</c:v>
                </c:pt>
                <c:pt idx="159">
                  <c:v>4.4941245483497909E-12</c:v>
                </c:pt>
                <c:pt idx="160">
                  <c:v>4.4941245483497909E-12</c:v>
                </c:pt>
                <c:pt idx="161">
                  <c:v>4.4941245483497909E-12</c:v>
                </c:pt>
                <c:pt idx="162">
                  <c:v>4.4941245483497909E-12</c:v>
                </c:pt>
                <c:pt idx="163">
                  <c:v>4.4941245483497909E-12</c:v>
                </c:pt>
                <c:pt idx="164">
                  <c:v>4.4941245483497909E-12</c:v>
                </c:pt>
                <c:pt idx="165">
                  <c:v>4.4941245483497909E-12</c:v>
                </c:pt>
                <c:pt idx="166">
                  <c:v>4.4941245483497909E-12</c:v>
                </c:pt>
                <c:pt idx="167">
                  <c:v>4.4941245483497909E-12</c:v>
                </c:pt>
                <c:pt idx="168">
                  <c:v>4.4941245483497909E-12</c:v>
                </c:pt>
                <c:pt idx="169">
                  <c:v>4.4941245483497909E-12</c:v>
                </c:pt>
                <c:pt idx="170">
                  <c:v>4.4941245483497909E-12</c:v>
                </c:pt>
                <c:pt idx="171">
                  <c:v>4.4941245483497909E-12</c:v>
                </c:pt>
                <c:pt idx="172">
                  <c:v>4.4941245483497909E-12</c:v>
                </c:pt>
                <c:pt idx="173">
                  <c:v>4.4941245483497909E-12</c:v>
                </c:pt>
                <c:pt idx="174">
                  <c:v>4.4941245483497909E-12</c:v>
                </c:pt>
                <c:pt idx="175">
                  <c:v>4.4941245483497909E-12</c:v>
                </c:pt>
                <c:pt idx="176">
                  <c:v>4.4941245483497909E-12</c:v>
                </c:pt>
                <c:pt idx="177">
                  <c:v>4.4941245483497909E-12</c:v>
                </c:pt>
                <c:pt idx="178">
                  <c:v>4.4941245483497909E-12</c:v>
                </c:pt>
                <c:pt idx="179">
                  <c:v>4.4941245483497909E-12</c:v>
                </c:pt>
                <c:pt idx="180">
                  <c:v>4.4941245483497909E-12</c:v>
                </c:pt>
                <c:pt idx="181">
                  <c:v>4.4941245483497909E-12</c:v>
                </c:pt>
                <c:pt idx="182">
                  <c:v>4.4941245483497909E-12</c:v>
                </c:pt>
                <c:pt idx="183">
                  <c:v>4.4941245483497909E-12</c:v>
                </c:pt>
                <c:pt idx="184">
                  <c:v>4.4941245483497909E-12</c:v>
                </c:pt>
                <c:pt idx="185">
                  <c:v>4.4941245483497909E-12</c:v>
                </c:pt>
                <c:pt idx="186">
                  <c:v>4.4941245483497909E-12</c:v>
                </c:pt>
                <c:pt idx="187">
                  <c:v>4.4941245483497909E-12</c:v>
                </c:pt>
                <c:pt idx="188">
                  <c:v>4.4941245483497909E-12</c:v>
                </c:pt>
                <c:pt idx="189">
                  <c:v>4.4941245483497909E-12</c:v>
                </c:pt>
                <c:pt idx="190">
                  <c:v>4.4941245483497909E-12</c:v>
                </c:pt>
                <c:pt idx="191">
                  <c:v>4.4941245483497909E-12</c:v>
                </c:pt>
                <c:pt idx="192">
                  <c:v>4.4941245483497909E-12</c:v>
                </c:pt>
                <c:pt idx="193">
                  <c:v>4.4941245483497909E-12</c:v>
                </c:pt>
                <c:pt idx="194">
                  <c:v>4.4941245483497909E-12</c:v>
                </c:pt>
                <c:pt idx="195">
                  <c:v>4.4941245483497909E-12</c:v>
                </c:pt>
                <c:pt idx="196">
                  <c:v>4.4941245483497909E-12</c:v>
                </c:pt>
                <c:pt idx="197">
                  <c:v>4.4941245483497909E-12</c:v>
                </c:pt>
                <c:pt idx="198">
                  <c:v>4.4941245483497909E-12</c:v>
                </c:pt>
                <c:pt idx="199">
                  <c:v>4.4941245483497909E-12</c:v>
                </c:pt>
                <c:pt idx="200">
                  <c:v>4.4941245483497909E-12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226.38614537674326</c:v>
                </c:pt>
                <c:pt idx="33">
                  <c:v>245.42235893237435</c:v>
                </c:pt>
                <c:pt idx="34">
                  <c:v>264.42503341914323</c:v>
                </c:pt>
                <c:pt idx="35">
                  <c:v>283.39691776161254</c:v>
                </c:pt>
                <c:pt idx="36">
                  <c:v>302.34036268238674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391.9890127427073</c:v>
                </c:pt>
                <c:pt idx="54">
                  <c:v>407.75965962237683</c:v>
                </c:pt>
                <c:pt idx="55">
                  <c:v>423.51713321926735</c:v>
                </c:pt>
                <c:pt idx="56">
                  <c:v>439.26199254204636</c:v>
                </c:pt>
                <c:pt idx="57">
                  <c:v>454.99475326719272</c:v>
                </c:pt>
                <c:pt idx="58">
                  <c:v>470.71589251122253</c:v>
                </c:pt>
                <c:pt idx="59">
                  <c:v>486.42585293226904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6" zoomScale="35" zoomScaleNormal="92" workbookViewId="0">
      <selection activeCell="G20" sqref="G2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3.23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188</v>
      </c>
      <c r="C9" s="32">
        <v>0.106145369760743</v>
      </c>
      <c r="D9" s="33">
        <f t="shared" ref="D9:D18" si="0">C9*$C$5</f>
        <v>0.34284954432719988</v>
      </c>
      <c r="E9" s="34">
        <v>69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">
        <v>171</v>
      </c>
      <c r="C10" s="32">
        <v>5.82622649828217E-2</v>
      </c>
      <c r="D10" s="33">
        <f t="shared" si="0"/>
        <v>0.18818711589451409</v>
      </c>
      <c r="E10" s="34">
        <v>125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 t="s">
        <v>180</v>
      </c>
      <c r="C11" s="32">
        <v>0.22220956877169201</v>
      </c>
      <c r="D11" s="33">
        <f t="shared" si="0"/>
        <v>0.71773690713256522</v>
      </c>
      <c r="E11" s="34">
        <v>42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 t="s">
        <v>130</v>
      </c>
      <c r="C12" s="32">
        <v>0.16553256310521799</v>
      </c>
      <c r="D12" s="33">
        <f t="shared" si="0"/>
        <v>0.53467017882985413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 t="s">
        <v>141</v>
      </c>
      <c r="C13" s="32">
        <v>0.13806427752443901</v>
      </c>
      <c r="D13" s="33">
        <f t="shared" si="0"/>
        <v>0.44594761640393799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 t="s">
        <v>184</v>
      </c>
      <c r="C14" s="32">
        <v>0.15830406689974999</v>
      </c>
      <c r="D14" s="33">
        <f t="shared" si="0"/>
        <v>0.51132213608619248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 t="s">
        <v>157</v>
      </c>
      <c r="C15" s="32">
        <v>0.15148188895533601</v>
      </c>
      <c r="D15" s="33">
        <f t="shared" si="0"/>
        <v>0.48928650132573531</v>
      </c>
      <c r="E15" s="34">
        <v>54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0.99999999999999978</v>
      </c>
      <c r="D19" s="38">
        <f>SUM(D9:D18)</f>
        <v>3.2299999999999991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Noyer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40</v>
      </c>
      <c r="C36" s="60">
        <v>1</v>
      </c>
      <c r="D36" s="60">
        <v>3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2.6666666666666665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85</v>
      </c>
      <c r="C37" s="60">
        <v>2</v>
      </c>
      <c r="D37" s="60">
        <v>25</v>
      </c>
      <c r="E37" s="51">
        <v>0</v>
      </c>
      <c r="F37" s="51">
        <v>0.5</v>
      </c>
      <c r="G37" s="51">
        <v>0</v>
      </c>
      <c r="H37" s="51">
        <v>0.5</v>
      </c>
      <c r="I37" s="53">
        <f>IF(A37&lt;&gt;0,(B37-(B36-D36))/(A37-A36),"")</f>
        <v>9.6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113</v>
      </c>
      <c r="C38" s="60">
        <v>3</v>
      </c>
      <c r="D38" s="60">
        <v>27</v>
      </c>
      <c r="E38" s="51">
        <v>0</v>
      </c>
      <c r="F38" s="51">
        <v>0.5</v>
      </c>
      <c r="G38" s="51">
        <v>0</v>
      </c>
      <c r="H38" s="51">
        <v>0.5</v>
      </c>
      <c r="I38" s="53">
        <f>IF(A38&lt;&gt;0,(B38-(B37-D37))/(A38-A37),"")</f>
        <v>10.6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31</v>
      </c>
      <c r="B39" s="60">
        <v>155</v>
      </c>
      <c r="C39" s="60">
        <v>4</v>
      </c>
      <c r="D39" s="60">
        <v>35</v>
      </c>
      <c r="E39" s="51">
        <v>0.3</v>
      </c>
      <c r="F39" s="51">
        <v>0.4</v>
      </c>
      <c r="G39" s="51">
        <v>0</v>
      </c>
      <c r="H39" s="51">
        <v>0.3</v>
      </c>
      <c r="I39" s="49">
        <f t="shared" ref="I39:I55" si="1">IF(A39&lt;&gt;0,(B39-(B38-D38))/(A39-A38),"")</f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37</v>
      </c>
      <c r="B40" s="60">
        <v>188</v>
      </c>
      <c r="C40" s="60">
        <v>5</v>
      </c>
      <c r="D40" s="60">
        <v>36</v>
      </c>
      <c r="E40" s="51">
        <v>0.3</v>
      </c>
      <c r="F40" s="51">
        <v>0.4</v>
      </c>
      <c r="G40" s="51">
        <v>0</v>
      </c>
      <c r="H40" s="51">
        <v>0.3</v>
      </c>
      <c r="I40" s="49">
        <f t="shared" si="1"/>
        <v>11.333333333333334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44</v>
      </c>
      <c r="B41" s="60">
        <v>230</v>
      </c>
      <c r="C41" s="60">
        <v>6</v>
      </c>
      <c r="D41" s="60">
        <v>43</v>
      </c>
      <c r="E41" s="51">
        <v>0.4</v>
      </c>
      <c r="F41" s="51">
        <v>0.4</v>
      </c>
      <c r="G41" s="51">
        <v>0</v>
      </c>
      <c r="H41" s="51">
        <v>0.2</v>
      </c>
      <c r="I41" s="53">
        <f t="shared" si="1"/>
        <v>11.142857142857142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52</v>
      </c>
      <c r="B42" s="60">
        <v>270</v>
      </c>
      <c r="C42" s="60">
        <v>7</v>
      </c>
      <c r="D42" s="60">
        <v>49</v>
      </c>
      <c r="E42" s="51">
        <v>0.4</v>
      </c>
      <c r="F42" s="51">
        <v>0.4</v>
      </c>
      <c r="G42" s="51">
        <v>0</v>
      </c>
      <c r="H42" s="51">
        <v>0.2</v>
      </c>
      <c r="I42" s="53">
        <f t="shared" si="1"/>
        <v>10.375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60</v>
      </c>
      <c r="B43" s="60">
        <v>297</v>
      </c>
      <c r="C43" s="60">
        <v>8</v>
      </c>
      <c r="D43" s="60">
        <v>47</v>
      </c>
      <c r="E43" s="51">
        <v>0.5</v>
      </c>
      <c r="F43" s="51">
        <v>0.4</v>
      </c>
      <c r="G43" s="51">
        <v>0</v>
      </c>
      <c r="H43" s="51">
        <v>0.1</v>
      </c>
      <c r="I43" s="49">
        <f t="shared" si="1"/>
        <v>9.5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69</v>
      </c>
      <c r="B44" s="60">
        <v>328</v>
      </c>
      <c r="C44" s="60" t="s">
        <v>324</v>
      </c>
      <c r="D44" s="60">
        <v>328</v>
      </c>
      <c r="E44" s="51">
        <v>0.5</v>
      </c>
      <c r="F44" s="51">
        <v>0.4</v>
      </c>
      <c r="G44" s="51">
        <v>0</v>
      </c>
      <c r="H44" s="51">
        <v>0.1</v>
      </c>
      <c r="I44" s="49">
        <f t="shared" si="1"/>
        <v>8.6666666666666661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Hêtre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97.28205128205127</v>
      </c>
      <c r="C62" s="60" t="s">
        <v>325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3.2427350427350423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193.06410256410257</v>
      </c>
      <c r="C63" s="60">
        <v>1</v>
      </c>
      <c r="D63" s="60">
        <v>69.141025641025635</v>
      </c>
      <c r="E63" s="51">
        <v>0</v>
      </c>
      <c r="F63" s="51">
        <v>0</v>
      </c>
      <c r="G63" s="51">
        <v>0.5</v>
      </c>
      <c r="H63" s="51">
        <v>0.5</v>
      </c>
      <c r="I63" s="49">
        <f>IF(A63&lt;&gt;0,(B63-(B62-D62))/(A63-A62),"")</f>
        <v>7.9818376068376082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48</v>
      </c>
      <c r="B64" s="60">
        <v>186.62179487179486</v>
      </c>
      <c r="C64" s="60">
        <v>2</v>
      </c>
      <c r="D64" s="60">
        <v>44.737179487179489</v>
      </c>
      <c r="E64" s="51">
        <v>0</v>
      </c>
      <c r="F64" s="51">
        <v>0</v>
      </c>
      <c r="G64" s="51">
        <v>0.5</v>
      </c>
      <c r="H64" s="51">
        <v>0.5</v>
      </c>
      <c r="I64" s="49">
        <f>IF(A64&lt;&gt;0,(B64-(B63-D63))/(A64-A63),"")</f>
        <v>10.449786324786322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54</v>
      </c>
      <c r="B65" s="60">
        <v>203.78846153846155</v>
      </c>
      <c r="C65" s="60">
        <v>3</v>
      </c>
      <c r="D65" s="60">
        <v>47.025641025641022</v>
      </c>
      <c r="E65" s="51">
        <v>0</v>
      </c>
      <c r="F65" s="51">
        <v>0.4</v>
      </c>
      <c r="G65" s="51">
        <v>0.3</v>
      </c>
      <c r="H65" s="51">
        <v>0.3</v>
      </c>
      <c r="I65" s="49">
        <f>IF(A65&lt;&gt;0,(B65-(B64-D64))/(A65-A64),"")</f>
        <v>10.317307692307699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63</v>
      </c>
      <c r="B66" s="60">
        <v>244.41666666666669</v>
      </c>
      <c r="C66" s="60">
        <v>4</v>
      </c>
      <c r="D66" s="60">
        <v>64.628205128205124</v>
      </c>
      <c r="E66" s="51">
        <v>0</v>
      </c>
      <c r="F66" s="51">
        <v>0.4</v>
      </c>
      <c r="G66" s="51">
        <v>0.3</v>
      </c>
      <c r="H66" s="51">
        <v>0.3</v>
      </c>
      <c r="I66" s="49">
        <f t="shared" ref="I66:I81" si="2">IF(A66&lt;&gt;0,(B66-(B65-D65))/(A66-A65),"")</f>
        <v>9.7393162393162402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72</v>
      </c>
      <c r="B67" s="60">
        <v>260.44230769230768</v>
      </c>
      <c r="C67" s="60">
        <v>5</v>
      </c>
      <c r="D67" s="60">
        <v>62.551282051282051</v>
      </c>
      <c r="E67" s="51">
        <v>0.3</v>
      </c>
      <c r="F67" s="51">
        <v>0.3</v>
      </c>
      <c r="G67" s="51">
        <v>0.2</v>
      </c>
      <c r="H67" s="51">
        <v>0.2</v>
      </c>
      <c r="I67" s="49">
        <f t="shared" si="2"/>
        <v>8.9615384615384599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81</v>
      </c>
      <c r="B68" s="60">
        <v>270.05128205128204</v>
      </c>
      <c r="C68" s="60">
        <v>6</v>
      </c>
      <c r="D68" s="60">
        <v>57.38461538461538</v>
      </c>
      <c r="E68" s="51">
        <v>0.3</v>
      </c>
      <c r="F68" s="51">
        <v>0.3</v>
      </c>
      <c r="G68" s="51">
        <v>0.2</v>
      </c>
      <c r="H68" s="51">
        <v>0.2</v>
      </c>
      <c r="I68" s="49">
        <f t="shared" si="2"/>
        <v>8.017806267806268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90</v>
      </c>
      <c r="B69" s="50">
        <v>277.21794871794873</v>
      </c>
      <c r="C69" s="50">
        <v>7</v>
      </c>
      <c r="D69" s="50">
        <v>52.782051282051285</v>
      </c>
      <c r="E69" s="51">
        <v>0.35</v>
      </c>
      <c r="F69" s="51">
        <v>0.35</v>
      </c>
      <c r="G69" s="51">
        <v>0.2</v>
      </c>
      <c r="H69" s="51">
        <v>0.1</v>
      </c>
      <c r="I69" s="49">
        <f t="shared" si="2"/>
        <v>7.172364672364675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99</v>
      </c>
      <c r="B70" s="50">
        <v>282.06410256410254</v>
      </c>
      <c r="C70" s="50">
        <v>8</v>
      </c>
      <c r="D70" s="50">
        <v>53.749999999999993</v>
      </c>
      <c r="E70" s="51">
        <v>0.4</v>
      </c>
      <c r="F70" s="51">
        <v>0.35</v>
      </c>
      <c r="G70" s="51">
        <v>0.2</v>
      </c>
      <c r="H70" s="51">
        <v>0.05</v>
      </c>
      <c r="I70" s="49">
        <f t="shared" si="2"/>
        <v>6.4031339031338979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111</v>
      </c>
      <c r="B71" s="50">
        <v>295.95512820512823</v>
      </c>
      <c r="C71" s="50">
        <v>9</v>
      </c>
      <c r="D71" s="50">
        <v>108.1474358974359</v>
      </c>
      <c r="E71" s="51">
        <v>0.5</v>
      </c>
      <c r="F71" s="51">
        <v>0.35</v>
      </c>
      <c r="G71" s="51">
        <v>0.1</v>
      </c>
      <c r="H71" s="51">
        <v>0.05</v>
      </c>
      <c r="I71" s="49">
        <f t="shared" si="2"/>
        <v>5.6367521367521407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116</v>
      </c>
      <c r="B72" s="50">
        <v>210.82692307692307</v>
      </c>
      <c r="C72" s="50">
        <v>10</v>
      </c>
      <c r="D72" s="50">
        <v>72.698717948717942</v>
      </c>
      <c r="E72" s="51">
        <v>0.5</v>
      </c>
      <c r="F72" s="51">
        <v>0.35</v>
      </c>
      <c r="G72" s="51">
        <v>0.1</v>
      </c>
      <c r="H72" s="51">
        <v>0.05</v>
      </c>
      <c r="I72" s="49">
        <f t="shared" si="2"/>
        <v>4.603846153846149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121</v>
      </c>
      <c r="B73" s="50">
        <v>156.43589743589743</v>
      </c>
      <c r="C73" s="50">
        <v>11</v>
      </c>
      <c r="D73" s="50">
        <v>66.179487179487168</v>
      </c>
      <c r="E73" s="51">
        <v>0.6</v>
      </c>
      <c r="F73" s="51">
        <v>0.35</v>
      </c>
      <c r="G73" s="51">
        <v>0.05</v>
      </c>
      <c r="H73" s="51">
        <v>0</v>
      </c>
      <c r="I73" s="49">
        <f t="shared" si="2"/>
        <v>3.6615384615384583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125</v>
      </c>
      <c r="B74" s="50">
        <v>100.62179487179486</v>
      </c>
      <c r="C74" s="50">
        <v>12</v>
      </c>
      <c r="D74" s="50">
        <v>100.62179487179486</v>
      </c>
      <c r="E74" s="51">
        <v>0.6</v>
      </c>
      <c r="F74" s="51">
        <v>0.35</v>
      </c>
      <c r="G74" s="51">
        <v>0.05</v>
      </c>
      <c r="H74" s="51">
        <v>0</v>
      </c>
      <c r="I74" s="49">
        <f t="shared" si="2"/>
        <v>2.5913461538461497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>Mélèze hybride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12</v>
      </c>
      <c r="B88" s="60">
        <v>116</v>
      </c>
      <c r="C88" s="60">
        <v>1</v>
      </c>
      <c r="D88" s="60">
        <v>21</v>
      </c>
      <c r="E88" s="51">
        <v>0</v>
      </c>
      <c r="F88" s="51">
        <v>0.7</v>
      </c>
      <c r="G88" s="51">
        <v>0</v>
      </c>
      <c r="H88" s="87">
        <v>0.3</v>
      </c>
      <c r="I88" s="53">
        <f>IFERROR(B88/A88,"")</f>
        <v>9.6666666666666661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168</v>
      </c>
      <c r="C89" s="60">
        <v>2</v>
      </c>
      <c r="D89" s="60">
        <v>47</v>
      </c>
      <c r="E89" s="51">
        <v>0</v>
      </c>
      <c r="F89" s="51">
        <v>0.8</v>
      </c>
      <c r="G89" s="51">
        <v>0</v>
      </c>
      <c r="H89" s="87">
        <v>0.2</v>
      </c>
      <c r="I89" s="53">
        <f t="shared" ref="I89:I107" si="3">IF(A89&lt;&gt;0,(B89-(B88-D88))/(A89-A88),"")</f>
        <v>24.333333333333332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18</v>
      </c>
      <c r="B90" s="60">
        <v>185</v>
      </c>
      <c r="C90" s="60">
        <v>3</v>
      </c>
      <c r="D90" s="60">
        <v>61</v>
      </c>
      <c r="E90" s="87">
        <v>0</v>
      </c>
      <c r="F90" s="87">
        <v>0.8</v>
      </c>
      <c r="G90" s="87">
        <v>0</v>
      </c>
      <c r="H90" s="87">
        <v>0.2</v>
      </c>
      <c r="I90" s="53">
        <f t="shared" si="3"/>
        <v>21.333333333333332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24</v>
      </c>
      <c r="B91" s="60">
        <v>239</v>
      </c>
      <c r="C91" s="60">
        <v>4</v>
      </c>
      <c r="D91" s="60">
        <v>84</v>
      </c>
      <c r="E91" s="87">
        <v>0</v>
      </c>
      <c r="F91" s="87">
        <v>0.8</v>
      </c>
      <c r="G91" s="87">
        <v>0</v>
      </c>
      <c r="H91" s="87">
        <v>0.2</v>
      </c>
      <c r="I91" s="53">
        <f t="shared" si="3"/>
        <v>19.166666666666668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255</v>
      </c>
      <c r="C92" s="60">
        <v>5</v>
      </c>
      <c r="D92" s="60">
        <v>76</v>
      </c>
      <c r="E92" s="87">
        <v>0.3</v>
      </c>
      <c r="F92" s="87">
        <v>0.6</v>
      </c>
      <c r="G92" s="87">
        <v>0</v>
      </c>
      <c r="H92" s="87">
        <v>0.1</v>
      </c>
      <c r="I92" s="53">
        <f t="shared" si="3"/>
        <v>16.666666666666668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36</v>
      </c>
      <c r="B93" s="60">
        <v>269</v>
      </c>
      <c r="C93" s="60">
        <v>6</v>
      </c>
      <c r="D93" s="60">
        <v>75</v>
      </c>
      <c r="E93" s="87">
        <v>0.3</v>
      </c>
      <c r="F93" s="87">
        <v>0.6</v>
      </c>
      <c r="G93" s="87">
        <v>0</v>
      </c>
      <c r="H93" s="87">
        <v>0.1</v>
      </c>
      <c r="I93" s="53">
        <f t="shared" si="3"/>
        <v>15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42</v>
      </c>
      <c r="B94" s="60">
        <v>278</v>
      </c>
      <c r="C94" s="60" t="s">
        <v>324</v>
      </c>
      <c r="D94" s="60">
        <v>278</v>
      </c>
      <c r="E94" s="87">
        <v>0.4</v>
      </c>
      <c r="F94" s="87">
        <v>0.6</v>
      </c>
      <c r="G94" s="87">
        <v>0</v>
      </c>
      <c r="H94" s="87">
        <v>0</v>
      </c>
      <c r="I94" s="53">
        <f t="shared" si="3"/>
        <v>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>Châtaignier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11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65</v>
      </c>
      <c r="C115" s="50">
        <v>1</v>
      </c>
      <c r="D115" s="60">
        <v>32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102</v>
      </c>
      <c r="C116" s="50">
        <v>2</v>
      </c>
      <c r="D116" s="60">
        <v>35</v>
      </c>
      <c r="E116" s="51">
        <v>0</v>
      </c>
      <c r="F116" s="51">
        <v>0.03</v>
      </c>
      <c r="G116" s="51">
        <v>0</v>
      </c>
      <c r="H116" s="51">
        <v>0.97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141</v>
      </c>
      <c r="C117" s="50">
        <v>3</v>
      </c>
      <c r="D117" s="60">
        <v>35</v>
      </c>
      <c r="E117" s="51">
        <v>0.03</v>
      </c>
      <c r="F117" s="51">
        <v>0.23</v>
      </c>
      <c r="G117" s="51">
        <v>0</v>
      </c>
      <c r="H117" s="51">
        <v>0.74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177</v>
      </c>
      <c r="C118" s="50">
        <v>4</v>
      </c>
      <c r="D118" s="60">
        <v>35</v>
      </c>
      <c r="E118" s="51">
        <v>0.2</v>
      </c>
      <c r="F118" s="51">
        <v>0.43</v>
      </c>
      <c r="G118" s="51">
        <v>0</v>
      </c>
      <c r="H118" s="51">
        <v>0.37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206</v>
      </c>
      <c r="C119" s="50">
        <v>5</v>
      </c>
      <c r="D119" s="60">
        <v>35</v>
      </c>
      <c r="E119" s="51">
        <v>0.49</v>
      </c>
      <c r="F119" s="51">
        <v>0.34</v>
      </c>
      <c r="G119" s="51">
        <v>0</v>
      </c>
      <c r="H119" s="51">
        <v>0.17</v>
      </c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228</v>
      </c>
      <c r="C120" s="60">
        <v>6</v>
      </c>
      <c r="D120" s="60">
        <v>35</v>
      </c>
      <c r="E120" s="87">
        <v>0.71</v>
      </c>
      <c r="F120" s="87">
        <v>0.2</v>
      </c>
      <c r="G120" s="87">
        <v>0</v>
      </c>
      <c r="H120" s="87">
        <v>0.09</v>
      </c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242</v>
      </c>
      <c r="C121" s="60">
        <v>7</v>
      </c>
      <c r="D121" s="60">
        <v>24</v>
      </c>
      <c r="E121" s="87">
        <v>0.83</v>
      </c>
      <c r="F121" s="87">
        <v>0.13</v>
      </c>
      <c r="G121" s="87">
        <v>0</v>
      </c>
      <c r="H121" s="87">
        <v>0.04</v>
      </c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261</v>
      </c>
      <c r="C122" s="60">
        <v>8</v>
      </c>
      <c r="D122" s="60">
        <v>19</v>
      </c>
      <c r="E122" s="87">
        <v>0.84</v>
      </c>
      <c r="F122" s="87">
        <v>0.11</v>
      </c>
      <c r="G122" s="87">
        <v>0</v>
      </c>
      <c r="H122" s="87">
        <v>0.05</v>
      </c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279</v>
      </c>
      <c r="C123" s="60">
        <v>9</v>
      </c>
      <c r="D123" s="60">
        <v>16</v>
      </c>
      <c r="E123" s="87">
        <v>0.88</v>
      </c>
      <c r="F123" s="87">
        <v>0.06</v>
      </c>
      <c r="G123" s="87">
        <v>0</v>
      </c>
      <c r="H123" s="87">
        <v>0.06</v>
      </c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294</v>
      </c>
      <c r="C124" s="60">
        <v>10</v>
      </c>
      <c r="D124" s="60">
        <v>14</v>
      </c>
      <c r="E124" s="87">
        <v>0.93</v>
      </c>
      <c r="F124" s="87">
        <v>7.0000000000000007E-2</v>
      </c>
      <c r="G124" s="87">
        <v>0</v>
      </c>
      <c r="H124" s="87">
        <v>0</v>
      </c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306</v>
      </c>
      <c r="C125" s="60">
        <v>11</v>
      </c>
      <c r="D125" s="60">
        <v>13</v>
      </c>
      <c r="E125" s="87">
        <v>0.92</v>
      </c>
      <c r="F125" s="87">
        <v>0.08</v>
      </c>
      <c r="G125" s="87">
        <v>0</v>
      </c>
      <c r="H125" s="87">
        <v>0</v>
      </c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316</v>
      </c>
      <c r="C126" s="60">
        <v>12</v>
      </c>
      <c r="D126" s="60">
        <v>13</v>
      </c>
      <c r="E126" s="65">
        <v>0.92</v>
      </c>
      <c r="F126" s="65">
        <v>0</v>
      </c>
      <c r="G126" s="65">
        <v>0</v>
      </c>
      <c r="H126" s="65">
        <v>0.08</v>
      </c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324</v>
      </c>
      <c r="C127" s="60">
        <v>13</v>
      </c>
      <c r="D127" s="60">
        <v>12</v>
      </c>
      <c r="E127" s="65">
        <v>0.92</v>
      </c>
      <c r="F127" s="65">
        <v>0</v>
      </c>
      <c r="G127" s="65">
        <v>0</v>
      </c>
      <c r="H127" s="65">
        <v>0.08</v>
      </c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330</v>
      </c>
      <c r="C128" s="50">
        <v>14</v>
      </c>
      <c r="D128" s="50">
        <v>11</v>
      </c>
      <c r="E128" s="54">
        <v>0.91</v>
      </c>
      <c r="F128" s="54">
        <v>0.09</v>
      </c>
      <c r="G128" s="54">
        <v>0</v>
      </c>
      <c r="H128" s="54">
        <v>0</v>
      </c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>Chêne rouge d'Amérique</v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29</v>
      </c>
      <c r="C140" s="50">
        <v>0</v>
      </c>
      <c r="D140" s="60">
        <v>0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73</v>
      </c>
      <c r="C141" s="50">
        <v>0</v>
      </c>
      <c r="D141" s="60">
        <v>0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8.8000000000000007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129</v>
      </c>
      <c r="C142" s="50">
        <v>1</v>
      </c>
      <c r="D142" s="60" t="s">
        <v>326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11.2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126</v>
      </c>
      <c r="C143" s="50">
        <v>2</v>
      </c>
      <c r="D143" s="60" t="s">
        <v>327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10.199999999999999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149</v>
      </c>
      <c r="C144" s="50">
        <v>3</v>
      </c>
      <c r="D144" s="60" t="s">
        <v>328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9.8000000000000007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168</v>
      </c>
      <c r="C145" s="50">
        <v>4</v>
      </c>
      <c r="D145" s="60" t="s">
        <v>328</v>
      </c>
      <c r="E145" s="51">
        <v>0</v>
      </c>
      <c r="F145" s="51">
        <v>0.5</v>
      </c>
      <c r="G145" s="51">
        <v>0</v>
      </c>
      <c r="H145" s="51">
        <v>0.5</v>
      </c>
      <c r="I145" s="57">
        <f t="shared" si="5"/>
        <v>9.1999999999999993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185</v>
      </c>
      <c r="C146" s="50">
        <v>5</v>
      </c>
      <c r="D146" s="60" t="s">
        <v>328</v>
      </c>
      <c r="E146" s="51">
        <v>0</v>
      </c>
      <c r="F146" s="51">
        <v>0.5</v>
      </c>
      <c r="G146" s="51">
        <v>0</v>
      </c>
      <c r="H146" s="51">
        <v>0.5</v>
      </c>
      <c r="I146" s="57">
        <f t="shared" si="5"/>
        <v>8.8000000000000007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198</v>
      </c>
      <c r="C147" s="50">
        <v>6</v>
      </c>
      <c r="D147" s="60" t="s">
        <v>327</v>
      </c>
      <c r="E147" s="51">
        <v>0.4</v>
      </c>
      <c r="F147" s="51">
        <v>0.4</v>
      </c>
      <c r="G147" s="51">
        <v>0</v>
      </c>
      <c r="H147" s="51">
        <v>0.2</v>
      </c>
      <c r="I147" s="57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209</v>
      </c>
      <c r="C148" s="50">
        <v>7</v>
      </c>
      <c r="D148" s="60" t="s">
        <v>329</v>
      </c>
      <c r="E148" s="51">
        <v>0.4</v>
      </c>
      <c r="F148" s="51">
        <v>0.4</v>
      </c>
      <c r="G148" s="51">
        <v>0</v>
      </c>
      <c r="H148" s="51">
        <v>0.2</v>
      </c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218</v>
      </c>
      <c r="C149" s="50">
        <v>8</v>
      </c>
      <c r="D149" s="60" t="s">
        <v>330</v>
      </c>
      <c r="E149" s="51">
        <v>0.4</v>
      </c>
      <c r="F149" s="51">
        <v>0.4</v>
      </c>
      <c r="G149" s="51">
        <v>0</v>
      </c>
      <c r="H149" s="51">
        <v>0.2</v>
      </c>
      <c r="I149" s="57">
        <f t="shared" si="5"/>
        <v>6.6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225</v>
      </c>
      <c r="C150" s="50">
        <v>9</v>
      </c>
      <c r="D150" s="60" t="s">
        <v>331</v>
      </c>
      <c r="E150" s="51">
        <v>0.5</v>
      </c>
      <c r="F150" s="51">
        <v>0.4</v>
      </c>
      <c r="G150" s="51">
        <v>0</v>
      </c>
      <c r="H150" s="51">
        <v>0.1</v>
      </c>
      <c r="I150" s="57">
        <f t="shared" si="5"/>
        <v>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232</v>
      </c>
      <c r="C151" s="50">
        <v>10</v>
      </c>
      <c r="D151" s="60" t="s">
        <v>332</v>
      </c>
      <c r="E151" s="51">
        <v>0.5</v>
      </c>
      <c r="F151" s="51">
        <v>0.4</v>
      </c>
      <c r="G151" s="51">
        <v>0</v>
      </c>
      <c r="H151" s="51">
        <v>0.1</v>
      </c>
      <c r="I151" s="57">
        <f t="shared" si="5"/>
        <v>5.6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237</v>
      </c>
      <c r="C152" s="50">
        <v>11</v>
      </c>
      <c r="D152" s="60" t="s">
        <v>333</v>
      </c>
      <c r="E152" s="54">
        <v>0.5</v>
      </c>
      <c r="F152" s="54">
        <v>0.4</v>
      </c>
      <c r="G152" s="54">
        <v>0</v>
      </c>
      <c r="H152" s="54">
        <v>0.1</v>
      </c>
      <c r="I152" s="57">
        <f t="shared" si="5"/>
        <v>5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241</v>
      </c>
      <c r="C153" s="50">
        <v>12</v>
      </c>
      <c r="D153" s="60" t="s">
        <v>334</v>
      </c>
      <c r="E153" s="54">
        <v>0.6</v>
      </c>
      <c r="F153" s="54">
        <v>0.3</v>
      </c>
      <c r="G153" s="54">
        <v>0</v>
      </c>
      <c r="H153" s="54">
        <v>0.1</v>
      </c>
      <c r="I153" s="57">
        <f t="shared" si="5"/>
        <v>4.4000000000000004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245</v>
      </c>
      <c r="C154" s="50">
        <v>13</v>
      </c>
      <c r="D154" s="50" t="s">
        <v>335</v>
      </c>
      <c r="E154" s="54">
        <v>0.6</v>
      </c>
      <c r="F154" s="54">
        <v>0.3</v>
      </c>
      <c r="G154" s="54">
        <v>0</v>
      </c>
      <c r="H154" s="54">
        <v>0.1</v>
      </c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85</v>
      </c>
      <c r="B155" s="56">
        <v>248</v>
      </c>
      <c r="C155" s="50">
        <v>14</v>
      </c>
      <c r="D155" s="50" t="s">
        <v>336</v>
      </c>
      <c r="E155" s="54">
        <v>0.6</v>
      </c>
      <c r="F155" s="54">
        <v>0.3</v>
      </c>
      <c r="G155" s="54">
        <v>0</v>
      </c>
      <c r="H155" s="54">
        <v>0.1</v>
      </c>
      <c r="I155" s="57">
        <f t="shared" si="5"/>
        <v>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90</v>
      </c>
      <c r="B156" s="56">
        <v>249</v>
      </c>
      <c r="C156" s="50">
        <v>15</v>
      </c>
      <c r="D156" s="50" t="s">
        <v>337</v>
      </c>
      <c r="E156" s="54">
        <v>0.6</v>
      </c>
      <c r="F156" s="54">
        <v>0.3</v>
      </c>
      <c r="G156" s="54">
        <v>0</v>
      </c>
      <c r="H156" s="54">
        <v>0.1</v>
      </c>
      <c r="I156" s="57">
        <f t="shared" si="5"/>
        <v>3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95</v>
      </c>
      <c r="B157" s="56">
        <v>252</v>
      </c>
      <c r="C157" s="50">
        <v>16</v>
      </c>
      <c r="D157" s="50" t="s">
        <v>337</v>
      </c>
      <c r="E157" s="54">
        <v>0.7</v>
      </c>
      <c r="F157" s="54">
        <v>0.2</v>
      </c>
      <c r="G157" s="54">
        <v>0</v>
      </c>
      <c r="H157" s="54">
        <v>0.1</v>
      </c>
      <c r="I157" s="57">
        <f t="shared" si="5"/>
        <v>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100</v>
      </c>
      <c r="B158" s="56">
        <v>255</v>
      </c>
      <c r="C158" s="50">
        <v>17</v>
      </c>
      <c r="D158" s="50">
        <v>255</v>
      </c>
      <c r="E158" s="54">
        <v>0.7</v>
      </c>
      <c r="F158" s="54">
        <v>0.2</v>
      </c>
      <c r="G158" s="54">
        <v>0</v>
      </c>
      <c r="H158" s="54">
        <v>0.1</v>
      </c>
      <c r="I158" s="57">
        <f t="shared" si="5"/>
        <v>3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>Merisier</v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15</v>
      </c>
      <c r="B166" s="60">
        <v>40</v>
      </c>
      <c r="C166" s="60">
        <v>1</v>
      </c>
      <c r="D166" s="60">
        <v>3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2.6666666666666665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20</v>
      </c>
      <c r="B167" s="60">
        <v>85</v>
      </c>
      <c r="C167" s="60">
        <v>2</v>
      </c>
      <c r="D167" s="60">
        <v>25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9.6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25</v>
      </c>
      <c r="B168" s="60">
        <v>113</v>
      </c>
      <c r="C168" s="60">
        <v>3</v>
      </c>
      <c r="D168" s="60">
        <v>27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10.6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31</v>
      </c>
      <c r="B169" s="60">
        <v>155</v>
      </c>
      <c r="C169" s="60">
        <v>4</v>
      </c>
      <c r="D169" s="60">
        <v>35</v>
      </c>
      <c r="E169" s="51">
        <v>0.3</v>
      </c>
      <c r="F169" s="51">
        <v>0.4</v>
      </c>
      <c r="G169" s="51">
        <v>0</v>
      </c>
      <c r="H169" s="51">
        <v>0.3</v>
      </c>
      <c r="I169" s="49">
        <f t="shared" si="6"/>
        <v>11.5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37</v>
      </c>
      <c r="B170" s="60">
        <v>188</v>
      </c>
      <c r="C170" s="60">
        <v>5</v>
      </c>
      <c r="D170" s="60">
        <v>36</v>
      </c>
      <c r="E170" s="51">
        <v>0.3</v>
      </c>
      <c r="F170" s="51">
        <v>0.4</v>
      </c>
      <c r="G170" s="51">
        <v>0</v>
      </c>
      <c r="H170" s="51">
        <v>0.3</v>
      </c>
      <c r="I170" s="49">
        <f t="shared" si="6"/>
        <v>11.333333333333334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44</v>
      </c>
      <c r="B171" s="60">
        <v>230</v>
      </c>
      <c r="C171" s="60">
        <v>6</v>
      </c>
      <c r="D171" s="60">
        <v>43</v>
      </c>
      <c r="E171" s="51">
        <v>0.4</v>
      </c>
      <c r="F171" s="51">
        <v>0.4</v>
      </c>
      <c r="G171" s="51">
        <v>0</v>
      </c>
      <c r="H171" s="51">
        <v>0.2</v>
      </c>
      <c r="I171" s="49">
        <f t="shared" si="6"/>
        <v>11.142857142857142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52</v>
      </c>
      <c r="B172" s="60">
        <v>270</v>
      </c>
      <c r="C172" s="60">
        <v>7</v>
      </c>
      <c r="D172" s="60">
        <v>49</v>
      </c>
      <c r="E172" s="51">
        <v>0.4</v>
      </c>
      <c r="F172" s="51">
        <v>0.4</v>
      </c>
      <c r="G172" s="51">
        <v>0</v>
      </c>
      <c r="H172" s="51">
        <v>0.2</v>
      </c>
      <c r="I172" s="49">
        <f t="shared" si="6"/>
        <v>10.375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60</v>
      </c>
      <c r="B173" s="50">
        <v>297</v>
      </c>
      <c r="C173" s="50">
        <v>8</v>
      </c>
      <c r="D173" s="50">
        <v>47</v>
      </c>
      <c r="E173" s="51">
        <v>0.5</v>
      </c>
      <c r="F173" s="51">
        <v>0.4</v>
      </c>
      <c r="G173" s="51">
        <v>0</v>
      </c>
      <c r="H173" s="51">
        <v>0.1</v>
      </c>
      <c r="I173" s="49">
        <f t="shared" si="6"/>
        <v>9.5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69</v>
      </c>
      <c r="B174" s="50">
        <v>328</v>
      </c>
      <c r="C174" s="50" t="s">
        <v>324</v>
      </c>
      <c r="D174" s="50">
        <v>328</v>
      </c>
      <c r="E174" s="51">
        <v>0.5</v>
      </c>
      <c r="F174" s="51">
        <v>0.4</v>
      </c>
      <c r="G174" s="51">
        <v>0</v>
      </c>
      <c r="H174" s="51">
        <v>0.1</v>
      </c>
      <c r="I174" s="49">
        <f t="shared" si="6"/>
        <v>8.6666666666666661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>Douglas</v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18</v>
      </c>
      <c r="B192" s="60">
        <v>182.89230769230767</v>
      </c>
      <c r="C192" s="60">
        <v>1</v>
      </c>
      <c r="D192" s="60">
        <v>69.284615384615378</v>
      </c>
      <c r="E192" s="51">
        <v>0</v>
      </c>
      <c r="F192" s="51">
        <v>0.56000000000000005</v>
      </c>
      <c r="G192" s="51">
        <v>0.44</v>
      </c>
      <c r="H192" s="51">
        <v>0</v>
      </c>
      <c r="I192" s="49">
        <f>IFERROR(B192/A192,"")</f>
        <v>10.16068376068376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24</v>
      </c>
      <c r="B193" s="60">
        <v>237.56153846153845</v>
      </c>
      <c r="C193" s="60">
        <v>2</v>
      </c>
      <c r="D193" s="60">
        <v>42.661538461538463</v>
      </c>
      <c r="E193" s="51">
        <v>0.7</v>
      </c>
      <c r="F193" s="51">
        <v>0.16800000000000001</v>
      </c>
      <c r="G193" s="51">
        <v>0.13200000000000001</v>
      </c>
      <c r="H193" s="51">
        <v>0</v>
      </c>
      <c r="I193" s="49">
        <f t="shared" ref="I193:I211" si="7">IF(A193&lt;&gt;0,(B193-(B192-D192))/(A193-A192),"")</f>
        <v>20.658974358974358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30</v>
      </c>
      <c r="B194" s="60">
        <v>331.86923076923074</v>
      </c>
      <c r="C194" s="60">
        <v>3</v>
      </c>
      <c r="D194" s="60">
        <v>65.669230769230765</v>
      </c>
      <c r="E194" s="51">
        <v>0.7</v>
      </c>
      <c r="F194" s="51">
        <v>0.16800000000000001</v>
      </c>
      <c r="G194" s="51">
        <v>0.13200000000000001</v>
      </c>
      <c r="H194" s="51">
        <v>0</v>
      </c>
      <c r="I194" s="49">
        <f t="shared" si="7"/>
        <v>22.828205128205127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36</v>
      </c>
      <c r="B195" s="60">
        <v>403.50769230769237</v>
      </c>
      <c r="C195" s="60">
        <v>4</v>
      </c>
      <c r="D195" s="60">
        <v>69.3</v>
      </c>
      <c r="E195" s="51">
        <v>0.7</v>
      </c>
      <c r="F195" s="51">
        <v>0.16800000000000001</v>
      </c>
      <c r="G195" s="51">
        <v>0.13200000000000001</v>
      </c>
      <c r="H195" s="51">
        <v>0</v>
      </c>
      <c r="I195" s="49">
        <f t="shared" si="7"/>
        <v>22.884615384615397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42</v>
      </c>
      <c r="B196" s="60">
        <v>468.72307692307686</v>
      </c>
      <c r="C196" s="60">
        <v>5</v>
      </c>
      <c r="D196" s="60">
        <v>73.392307692307682</v>
      </c>
      <c r="E196" s="51">
        <v>0.7</v>
      </c>
      <c r="F196" s="51">
        <v>0.16800000000000001</v>
      </c>
      <c r="G196" s="51">
        <v>0.13200000000000001</v>
      </c>
      <c r="H196" s="51">
        <v>0</v>
      </c>
      <c r="I196" s="49">
        <f t="shared" si="7"/>
        <v>22.419230769230751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48</v>
      </c>
      <c r="B197" s="60">
        <v>525.0846153846154</v>
      </c>
      <c r="C197" s="60">
        <v>6</v>
      </c>
      <c r="D197" s="60">
        <v>81.330769230769235</v>
      </c>
      <c r="E197" s="51">
        <v>0.7</v>
      </c>
      <c r="F197" s="51">
        <v>0.16800000000000001</v>
      </c>
      <c r="G197" s="51">
        <v>0.13200000000000001</v>
      </c>
      <c r="H197" s="51">
        <v>0</v>
      </c>
      <c r="I197" s="49">
        <f t="shared" si="7"/>
        <v>21.625641025641034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54</v>
      </c>
      <c r="B198" s="60">
        <v>566.79999999999995</v>
      </c>
      <c r="C198" s="60">
        <v>7</v>
      </c>
      <c r="D198" s="60">
        <v>566.79999999999995</v>
      </c>
      <c r="E198" s="51">
        <v>0.7</v>
      </c>
      <c r="F198" s="51">
        <v>0.16800000000000001</v>
      </c>
      <c r="G198" s="51">
        <v>0.13200000000000001</v>
      </c>
      <c r="H198" s="51">
        <v>0</v>
      </c>
      <c r="I198" s="49">
        <f t="shared" si="7"/>
        <v>20.507692307692299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H1" zoomScaleNormal="100" workbookViewId="0">
      <selection activeCell="H13" sqref="H13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Noyer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Hêtre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Châtaignier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rouge d'Amérique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Merisier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Douglas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298.96480270023716</v>
      </c>
      <c r="T3" s="59">
        <f>IF('Données projet'!E9&gt;30,$R$33-$H$33,LOOKUP('Données projet'!$E$9,$A$3:$A$203,R3:R203)-LOOKUP('Données projet'!$E$9,$A$3:$A$203,$H$3:$H$203))</f>
        <v>293.11447542333889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335.02113791949211</v>
      </c>
      <c r="AO3" s="59">
        <f>IF('Données projet'!E10&gt;30,$AM$33-$H$33,LOOKUP('Données projet'!$E$10,$A$3:$A$203,AM3:AM203)-LOOKUP('Données projet'!$E$10,$A$3:$A$203,$H$3:$H$203))</f>
        <v>222.06886429435099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207.02306964567629</v>
      </c>
      <c r="BJ3" s="59">
        <f>IF('Données projet'!E11&gt;30,$BH$33-$H$33,LOOKUP('Données projet'!$E$11,$A$3:$A$203,BH3:BH203)-LOOKUP('Données projet'!$E$11,$A$3:$A$203,$H$3:$H$203))</f>
        <v>342.06887933351783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328.55201074501201</v>
      </c>
      <c r="CE3" s="59">
        <f>IF('Données projet'!E12&gt;30,$CC$33-$H$33,LOOKUP('Données projet'!$E$12,$A$3:$A$203,CC3:CC203)-LOOKUP('Données projet'!$E$12,$A$3:$A$203,$H$3:$H$203))</f>
        <v>321.81422611044985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354.24684313982857</v>
      </c>
      <c r="CZ3" s="59">
        <f>IF('Données projet'!E13&gt;30,$CX$33-$H$33,LOOKUP('Données projet'!$E$13,$A$3:$A$203,CX3:CX203)-LOOKUP('Données projet'!$E$13,$A$3:$A$203,$H$3:$H$203))</f>
        <v>322.65043486962185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288.80569134263209</v>
      </c>
      <c r="DU3" s="59">
        <f>IF('Données projet'!E14&gt;30,$DS$33-$H$33,LOOKUP('Données projet'!$E$14,$A$3:$A$203,DS3:DS203)-LOOKUP('Données projet'!$E$14,$A$3:$A$203,$H$3:$H$203))</f>
        <v>283.48738729114024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335.04906256888819</v>
      </c>
      <c r="EP3" s="59">
        <f>IF('Données projet'!E15&gt;30,$EN$33-$H$33,LOOKUP('Données projet'!$E$15,$A$3:$A$203,EN3:EN203)-LOOKUP('Données projet'!$E$15,$A$3:$A$203,$H$3:$H$203))</f>
        <v>440.84111898279554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2.6666666666666665</v>
      </c>
      <c r="N4" s="13">
        <f>IF('Données projet'!$A$36&gt;35,N3+M4-V3,IF(A4&lt;'Données projet'!$A$36,$K$205^A4,IF(A4='Données projet'!$A$36,'Données projet'!$B$36,N3+M4-V3)))</f>
        <v>1.2788040393997409</v>
      </c>
      <c r="O4" s="13">
        <f>N4*VLOOKUP('Données projet'!$B$9,Paramètres!$A$1:$I$89,3,0)*VLOOKUP('Données projet'!$B$9,Paramètres!$A$1:$I$89,5,0)</f>
        <v>1.0373658367610699</v>
      </c>
      <c r="P4" s="13">
        <f>EXP(-1.0587+0.8836*LN(O4)+0.284)</f>
        <v>0.47602474416737472</v>
      </c>
      <c r="Q4" s="20">
        <f t="shared" ref="Q4:Q34" si="2">(O4+P4)*0.475*44/12</f>
        <v>2.6358219284503748</v>
      </c>
      <c r="R4" s="59">
        <f t="shared" si="0"/>
        <v>260.52471081733921</v>
      </c>
      <c r="S4" s="59">
        <f ca="1">AVERAGE(OFFSET($R$3,0,0,'Données projet'!$E$9+1,1))-AVERAGE(OFFSET($H$3,0,0,'Données projet'!$E$9+1,1))</f>
        <v>298.96480270023716</v>
      </c>
      <c r="T4" s="59">
        <f>$T$3</f>
        <v>293.11447542333889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3.2427350427350423</v>
      </c>
      <c r="AI4" s="13">
        <f>IF('Données projet'!$A$62&gt;35,AI3+AH4-AQ3,IF(A4&lt;'Données projet'!$A$62,$AF$205^A4,IF(A4='Données projet'!$A$62,'Données projet'!$B$62,AI3+AH4-AQ3)))</f>
        <v>1.1648439739929921</v>
      </c>
      <c r="AJ4" s="13">
        <f>AI4*VLOOKUP('Données projet'!$B$10,Paramètres!$A$1:$I$89,3,0)*VLOOKUP('Données projet'!$B$10,Paramètres!$A$1:$I$89,5,0)</f>
        <v>0.99943612968598727</v>
      </c>
      <c r="AK4" s="13">
        <f>EXP(-1.0587+0.8836*LN(AJ4)+0.284)</f>
        <v>0.46061239733700926</v>
      </c>
      <c r="AL4" s="20">
        <f t="shared" ref="AL4:AL67" si="4">(AJ4+AK4)*0.475*44/12</f>
        <v>2.542917851231719</v>
      </c>
      <c r="AM4" s="59">
        <f t="shared" ref="AM4:AM67" si="5">AL4+(AD4+AE4)*44/12</f>
        <v>260.43180674012058</v>
      </c>
      <c r="AN4" s="59">
        <f ca="1">AVERAGE(OFFSET($AM$3,0,0,'Données projet'!$E$10+1,1))-AVERAGE(OFFSET($H$3,0,0,'Données projet'!$E$10+1,1))</f>
        <v>335.02113791949211</v>
      </c>
      <c r="AO4" s="59">
        <f>$AO$3</f>
        <v>222.06886429435099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9.6666666666666661</v>
      </c>
      <c r="BD4" s="12">
        <f>IF('Données projet'!$A$88&gt;35,BD3+BC4-BL3,IF(A4&lt;'Données projet'!$A$88,$BA$205^A4,IF(A4='Données projet'!$A$88,'Données projet'!$B$88,BD3+BC4-BL3)))</f>
        <v>1.4860662319460807</v>
      </c>
      <c r="BE4" s="13">
        <f>BD4*VLOOKUP('Données projet'!$B$11,Paramètres!$A$1:$I$89,3,0)*VLOOKUP('Données projet'!$B$11,Paramètres!$A$1:$I$89,5,0)</f>
        <v>0.81139216264255998</v>
      </c>
      <c r="BF4" s="13">
        <f>EXP(-1.0587+0.8836*LN(BE4)+0.284)</f>
        <v>0.38313198283208655</v>
      </c>
      <c r="BG4" s="20">
        <f t="shared" ref="BG4:BG67" si="7">(BE4+BF4)*0.475*44/12</f>
        <v>2.0804628867016759</v>
      </c>
      <c r="BH4" s="59">
        <f t="shared" ref="BH4:BH67" si="8">BG4+(AY4+AZ4)*44/12</f>
        <v>259.96935177559055</v>
      </c>
      <c r="BI4" s="59">
        <f ca="1">AVERAGE(OFFSET($BH$3,0,0,'Données projet'!$E$11+1,1))-AVERAGE(OFFSET($H$3,0,0,'Données projet'!$E$11+1,1))</f>
        <v>207.02306964567629</v>
      </c>
      <c r="BJ4" s="59">
        <f>$BJ$3</f>
        <v>342.06887933351783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0.93188372027207511</v>
      </c>
      <c r="CA4" s="13">
        <f>EXP(-1.0587+0.8836*LN(BZ4)+0.284)</f>
        <v>0.43299221190803017</v>
      </c>
      <c r="CB4" s="20">
        <f t="shared" ref="CB4:CB67" si="10">(BZ4+CA4)*0.475*44/12</f>
        <v>2.3771589152136832</v>
      </c>
      <c r="CC4" s="59">
        <f t="shared" ref="CC4:CC67" si="11">CB4+(BT4+BU4)*44/12</f>
        <v>260.26604780410253</v>
      </c>
      <c r="CD4" s="59">
        <f ca="1">AVERAGE(OFFSET($CC$3,0,0,'Données projet'!$E$12+1,1))-AVERAGE(OFFSET($H$3,0,0,'Données projet'!$E$12+1,1))</f>
        <v>328.55201074501201</v>
      </c>
      <c r="CE4" s="59">
        <f>$CE$3</f>
        <v>321.81422611044985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</v>
      </c>
      <c r="CT4" s="12">
        <f>IF('Données projet'!$A$140&gt;35,CT3+CS4-DB3,IF(A4&lt;'Données projet'!$A$140,$CQ$205^A4,IF(A4='Données projet'!$A$140,'Données projet'!$B$140,CT3+CS4-DB3)))</f>
        <v>1.4003603312913959</v>
      </c>
      <c r="CU4" s="17">
        <f>CT4*VLOOKUP('Données projet'!$B$13,Paramètres!$A$1:$I$89,3,0)*VLOOKUP('Données projet'!$B$13,Paramètres!$A$1:$I$89,5,0)</f>
        <v>1.2233547854161635</v>
      </c>
      <c r="CV4" s="13">
        <f>EXP(-1.0587+0.8836*LN(CU4)+0.284)</f>
        <v>0.55069785861405296</v>
      </c>
      <c r="CW4" s="20">
        <f t="shared" ref="CW4:CW67" si="13">(CU4+CV4)*0.475*44/12</f>
        <v>3.0898083550192936</v>
      </c>
      <c r="CX4" s="59">
        <f t="shared" ref="CX4:CX67" si="14">CW4+(CO4+CP4)*44/12</f>
        <v>260.97869724390813</v>
      </c>
      <c r="CY4" s="59">
        <f ca="1">AVERAGE(OFFSET($CX$3,0,0,'Données projet'!$E$13+1,1))-AVERAGE(OFFSET($H$3,0,0,'Données projet'!$E$13+1,1))</f>
        <v>354.24684313982857</v>
      </c>
      <c r="CZ4" s="59">
        <f>$CZ$3</f>
        <v>322.65043486962185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2.6666666666666665</v>
      </c>
      <c r="DO4" s="12">
        <f>IF('Données projet'!$A$166&gt;35,DO3+DN4-DW3,IF(A4&lt;'Données projet'!$A$166,$DL$205^A4,IF(A4='Données projet'!$A$166,'Données projet'!$B$166,DO3+DN4-DW3)))</f>
        <v>1.2788040393997409</v>
      </c>
      <c r="DP4" s="17">
        <f>DO4*VLOOKUP('Données projet'!$B$14,Paramètres!$A$1:$I$89,3,0)*VLOOKUP('Données projet'!$B$14,Paramètres!$A$1:$I$89,5,0)</f>
        <v>0.99746715073179792</v>
      </c>
      <c r="DQ4" s="13">
        <f>EXP(-1.0587+0.8836*LN(DP4)+0.284)</f>
        <v>0.45981048445793882</v>
      </c>
      <c r="DR4" s="20">
        <f t="shared" ref="DR4:DR67" si="16">(DP4+DQ4)*0.475*44/12</f>
        <v>2.5380918812887914</v>
      </c>
      <c r="DS4" s="59">
        <f t="shared" ref="DS4:DS67" si="17">DR4+(DJ4+DK4)*44/12</f>
        <v>260.42698077017764</v>
      </c>
      <c r="DT4" s="59">
        <f ca="1">AVERAGE(OFFSET($DS$3,0,0,'Données projet'!$E$14+1,1))-AVERAGE(OFFSET($H$3,0,0,'Données projet'!$E$14+1,1))</f>
        <v>288.80569134263209</v>
      </c>
      <c r="DU4" s="59">
        <f>$DU$3</f>
        <v>283.48738729114024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10.16068376068376</v>
      </c>
      <c r="EJ4" s="12">
        <f>IF('Données projet'!$A$192&gt;35,EJ3+EI4-ER3,IF(A4&lt;'Données projet'!$A$192,$EG$205^A4,IF(A4='Données projet'!$A$192,'Données projet'!$B$192,EJ3+EI4-ER3)))</f>
        <v>1.3356034260773062</v>
      </c>
      <c r="EK4" s="17">
        <f>EJ4*VLOOKUP('Données projet'!$B$15,Paramètres!$A$1:$I$89,3,0)*VLOOKUP('Données projet'!$B$15,Paramètres!$A$1:$I$89,5,0)</f>
        <v>0.7466023151772142</v>
      </c>
      <c r="EL4" s="13">
        <f>EXP(-1.0587+0.8836*LN(EK4)+0.284)</f>
        <v>0.35597032812689977</v>
      </c>
      <c r="EM4" s="20">
        <f t="shared" ref="EM4:EM67" si="19">(EK4+EL4)*0.475*44/12</f>
        <v>1.9203140204213316</v>
      </c>
      <c r="EN4" s="59">
        <f t="shared" ref="EN4:EN67" si="20">EM4+(EE4+EF4)*44/12</f>
        <v>259.80920290931022</v>
      </c>
      <c r="EO4" s="59">
        <f ca="1">AVERAGE(OFFSET($EN$3,0,0,'Données projet'!$E$15+1,1))-AVERAGE(OFFSET($H$3,0,0,'Données projet'!$E$15+1,1))</f>
        <v>335.04906256888819</v>
      </c>
      <c r="EP4" s="59">
        <f>$EP$3</f>
        <v>440.84111898279554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2.6666666666666665</v>
      </c>
      <c r="N5" s="13">
        <f>IF('Données projet'!$A$36&gt;35,N4+M5-V4,IF(A5&lt;'Données projet'!$A$36,$K$205^A5,IF(A5='Données projet'!$A$36,'Données projet'!$B$36,N4+M5-V4)))</f>
        <v>1.6353397711850939</v>
      </c>
      <c r="O5" s="13">
        <f>N5*VLOOKUP('Données projet'!$B$9,Paramètres!$A$1:$I$89,3,0)*VLOOKUP('Données projet'!$B$9,Paramètres!$A$1:$I$89,5,0)</f>
        <v>1.3265876223853483</v>
      </c>
      <c r="P5" s="13">
        <f t="shared" ref="P5:P68" si="33">EXP(-1.0587+0.8836*LN(O5)+0.284)</f>
        <v>0.59156373482801727</v>
      </c>
      <c r="Q5" s="20">
        <f t="shared" si="2"/>
        <v>3.3407802804799442</v>
      </c>
      <c r="R5" s="59">
        <f t="shared" si="0"/>
        <v>262.45189139159106</v>
      </c>
      <c r="S5" s="59">
        <f ca="1">AVERAGE(OFFSET($R$3,0,0,'Données projet'!$E$9+1,1))-AVERAGE(OFFSET($H$3,0,0,'Données projet'!$E$9+1,1))</f>
        <v>298.96480270023716</v>
      </c>
      <c r="T5" s="59">
        <f t="shared" ref="T5:T68" si="34">$T$3</f>
        <v>293.11447542333889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3.2427350427350423</v>
      </c>
      <c r="AI5" s="13">
        <f>IF('Données projet'!$A$62&gt;35,AI4+AH5-AQ4,IF(A5&lt;'Données projet'!$A$62,$AF$205^A5,IF(A5='Données projet'!$A$62,'Données projet'!$B$62,AI4+AH5-AQ4)))</f>
        <v>1.3568614837477866</v>
      </c>
      <c r="AJ5" s="13">
        <f>AI5*VLOOKUP('Données projet'!$B$10,Paramètres!$A$1:$I$89,3,0)*VLOOKUP('Données projet'!$B$10,Paramètres!$A$1:$I$89,5,0)</f>
        <v>1.1641871530556012</v>
      </c>
      <c r="AK5" s="13">
        <f t="shared" ref="AK5:AK68" si="35">EXP(-1.0587+0.8836*LN(AJ5)+0.284)</f>
        <v>0.52709611247107713</v>
      </c>
      <c r="AL5" s="20">
        <f t="shared" si="4"/>
        <v>2.9456516874589642</v>
      </c>
      <c r="AM5" s="59">
        <f t="shared" si="5"/>
        <v>262.05676279857011</v>
      </c>
      <c r="AN5" s="59">
        <f ca="1">AVERAGE(OFFSET($AM$3,0,0,'Données projet'!$E$10+1,1))-AVERAGE(OFFSET($H$3,0,0,'Données projet'!$E$10+1,1))</f>
        <v>335.02113791949211</v>
      </c>
      <c r="AO5" s="59">
        <f t="shared" ref="AO5:AO68" si="36">$AO$3</f>
        <v>222.06886429435099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9.6666666666666661</v>
      </c>
      <c r="BD5" s="12">
        <f>IF('Données projet'!$A$88&gt;35,BD4+BC5-BL4,IF(A5&lt;'Données projet'!$A$88,$BA$205^A5,IF(A5='Données projet'!$A$88,'Données projet'!$B$88,BD4+BC5-BL4)))</f>
        <v>2.2083928457304225</v>
      </c>
      <c r="BE5" s="13">
        <f>BD5*VLOOKUP('Données projet'!$B$11,Paramètres!$A$1:$I$89,3,0)*VLOOKUP('Données projet'!$B$11,Paramètres!$A$1:$I$89,5,0)</f>
        <v>1.2057824937688106</v>
      </c>
      <c r="BF5" s="13">
        <f t="shared" ref="BF5:BF68" si="37">EXP(-1.0587+0.8836*LN(BE5)+0.284)</f>
        <v>0.54370250071771287</v>
      </c>
      <c r="BG5" s="20">
        <f t="shared" si="7"/>
        <v>3.0470196987306952</v>
      </c>
      <c r="BH5" s="59">
        <f t="shared" si="8"/>
        <v>262.15813080984185</v>
      </c>
      <c r="BI5" s="59">
        <f ca="1">AVERAGE(OFFSET($BH$3,0,0,'Données projet'!$E$11+1,1))-AVERAGE(OFFSET($H$3,0,0,'Données projet'!$E$11+1,1))</f>
        <v>207.02306964567629</v>
      </c>
      <c r="BJ5" s="59">
        <f t="shared" ref="BJ5:BJ68" si="38">$BJ$3</f>
        <v>342.06887933351783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1.1844070759794372</v>
      </c>
      <c r="CA5" s="13">
        <f t="shared" ref="CA5:CA68" si="39">EXP(-1.0587+0.8836*LN(BZ5)+0.284)</f>
        <v>0.53517712549257934</v>
      </c>
      <c r="CB5" s="20">
        <f t="shared" si="10"/>
        <v>2.9949424842304286</v>
      </c>
      <c r="CC5" s="59">
        <f t="shared" si="11"/>
        <v>262.10605359534156</v>
      </c>
      <c r="CD5" s="59">
        <f ca="1">AVERAGE(OFFSET($CC$3,0,0,'Données projet'!$E$12+1,1))-AVERAGE(OFFSET($H$3,0,0,'Données projet'!$E$12+1,1))</f>
        <v>328.55201074501201</v>
      </c>
      <c r="CE5" s="59">
        <f t="shared" ref="CE5:CE68" si="40">$CE$3</f>
        <v>321.81422611044985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</v>
      </c>
      <c r="CT5" s="12">
        <f>IF('Données projet'!$A$140&gt;35,CT4+CS5-DB4,IF(A5&lt;'Données projet'!$A$140,$CQ$205^A5,IF(A5='Données projet'!$A$140,'Données projet'!$B$140,CT4+CS5-DB4)))</f>
        <v>1.9610090574545482</v>
      </c>
      <c r="CU5" s="17">
        <f>CT5*VLOOKUP('Données projet'!$B$13,Paramètres!$A$1:$I$89,3,0)*VLOOKUP('Données projet'!$B$13,Paramètres!$A$1:$I$89,5,0)</f>
        <v>1.7131375125922934</v>
      </c>
      <c r="CV5" s="13">
        <f t="shared" ref="CV5:CV68" si="41">EXP(-1.0587+0.8836*LN(CU5)+0.284)</f>
        <v>0.74153366912094132</v>
      </c>
      <c r="CW5" s="20">
        <f t="shared" si="13"/>
        <v>4.2752189748172169</v>
      </c>
      <c r="CX5" s="59">
        <f t="shared" si="14"/>
        <v>263.38633008592836</v>
      </c>
      <c r="CY5" s="59">
        <f ca="1">AVERAGE(OFFSET($CX$3,0,0,'Données projet'!$E$13+1,1))-AVERAGE(OFFSET($H$3,0,0,'Données projet'!$E$13+1,1))</f>
        <v>354.24684313982857</v>
      </c>
      <c r="CZ5" s="59">
        <f t="shared" ref="CZ5:CZ68" si="42">$CZ$3</f>
        <v>322.65043486962185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2.6666666666666665</v>
      </c>
      <c r="DO5" s="12">
        <f>IF('Données projet'!$A$166&gt;35,DO4+DN5-DW4,IF(A5&lt;'Données projet'!$A$166,$DL$205^A5,IF(A5='Données projet'!$A$166,'Données projet'!$B$166,DO4+DN5-DW4)))</f>
        <v>1.6353397711850939</v>
      </c>
      <c r="DP5" s="17">
        <f>DO5*VLOOKUP('Données projet'!$B$14,Paramètres!$A$1:$I$89,3,0)*VLOOKUP('Données projet'!$B$14,Paramètres!$A$1:$I$89,5,0)</f>
        <v>1.2755650215243732</v>
      </c>
      <c r="DQ5" s="13">
        <f t="shared" ref="DQ5:DQ68" si="43">EXP(-1.0587+0.8836*LN(DP5)+0.284)</f>
        <v>0.57141400910743001</v>
      </c>
      <c r="DR5" s="20">
        <f t="shared" si="16"/>
        <v>3.2168218116837237</v>
      </c>
      <c r="DS5" s="59">
        <f t="shared" si="17"/>
        <v>262.32793292279484</v>
      </c>
      <c r="DT5" s="59">
        <f ca="1">AVERAGE(OFFSET($DS$3,0,0,'Données projet'!$E$14+1,1))-AVERAGE(OFFSET($H$3,0,0,'Données projet'!$E$14+1,1))</f>
        <v>288.80569134263209</v>
      </c>
      <c r="DU5" s="59">
        <f t="shared" ref="DU5:DU68" si="44">$DU$3</f>
        <v>283.48738729114024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10.16068376068376</v>
      </c>
      <c r="EJ5" s="12">
        <f>IF('Données projet'!$A$192&gt;35,EJ4+EI5-ER4,IF(A5&lt;'Données projet'!$A$192,$EG$205^A5,IF(A5='Données projet'!$A$192,'Données projet'!$B$192,EJ4+EI5-ER4)))</f>
        <v>1.7838365117494384</v>
      </c>
      <c r="EK5" s="17">
        <f>EJ5*VLOOKUP('Données projet'!$B$15,Paramètres!$A$1:$I$89,3,0)*VLOOKUP('Données projet'!$B$15,Paramètres!$A$1:$I$89,5,0)</f>
        <v>0.99716461006793611</v>
      </c>
      <c r="EL5" s="13">
        <f t="shared" ref="EL5:EL68" si="45">EXP(-1.0587+0.8836*LN(EK5)+0.284)</f>
        <v>0.4596872513511342</v>
      </c>
      <c r="EM5" s="20">
        <f t="shared" si="19"/>
        <v>2.5373503253048804</v>
      </c>
      <c r="EN5" s="59">
        <f t="shared" si="20"/>
        <v>261.64846143641603</v>
      </c>
      <c r="EO5" s="59">
        <f ca="1">AVERAGE(OFFSET($EN$3,0,0,'Données projet'!$E$15+1,1))-AVERAGE(OFFSET($H$3,0,0,'Données projet'!$E$15+1,1))</f>
        <v>335.04906256888819</v>
      </c>
      <c r="EP5" s="59">
        <f t="shared" ref="EP5:EP68" si="46">$EP$3</f>
        <v>440.84111898279554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2.6666666666666665</v>
      </c>
      <c r="N6" s="13">
        <f>IF('Données projet'!$A$36&gt;35,N5+M6-V5,IF(A6&lt;'Données projet'!$A$36,$K$205^A6,IF(A6='Données projet'!$A$36,'Données projet'!$B$36,N5+M6-V5)))</f>
        <v>2.0912791051825459</v>
      </c>
      <c r="O6" s="13">
        <f>N6*VLOOKUP('Données projet'!$B$9,Paramètres!$A$1:$I$89,3,0)*VLOOKUP('Données projet'!$B$9,Paramètres!$A$1:$I$89,5,0)</f>
        <v>1.6964456101240815</v>
      </c>
      <c r="P6" s="13">
        <f t="shared" si="33"/>
        <v>0.73514592812979451</v>
      </c>
      <c r="Q6" s="20">
        <f t="shared" si="2"/>
        <v>4.2350219291255007</v>
      </c>
      <c r="R6" s="59">
        <f t="shared" si="0"/>
        <v>264.56835526245879</v>
      </c>
      <c r="S6" s="59">
        <f ca="1">AVERAGE(OFFSET($R$3,0,0,'Données projet'!$E$9+1,1))-AVERAGE(OFFSET($H$3,0,0,'Données projet'!$E$9+1,1))</f>
        <v>298.96480270023716</v>
      </c>
      <c r="T6" s="59">
        <f t="shared" si="34"/>
        <v>293.11447542333889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3.2427350427350423</v>
      </c>
      <c r="AI6" s="13">
        <f>IF('Données projet'!$A$62&gt;35,AI5+AH6-AQ5,IF(A6&lt;'Données projet'!$A$62,$AF$205^A6,IF(A6='Données projet'!$A$62,'Données projet'!$B$62,AI5+AH6-AQ5)))</f>
        <v>1.5805319228867993</v>
      </c>
      <c r="AJ6" s="13">
        <f>AI6*VLOOKUP('Données projet'!$B$10,Paramètres!$A$1:$I$89,3,0)*VLOOKUP('Données projet'!$B$10,Paramètres!$A$1:$I$89,5,0)</f>
        <v>1.3560963898368741</v>
      </c>
      <c r="AK6" s="13">
        <f t="shared" si="35"/>
        <v>0.60317593140865144</v>
      </c>
      <c r="AL6" s="20">
        <f t="shared" si="4"/>
        <v>3.412399292835957</v>
      </c>
      <c r="AM6" s="59">
        <f t="shared" si="5"/>
        <v>263.74573262616929</v>
      </c>
      <c r="AN6" s="59">
        <f ca="1">AVERAGE(OFFSET($AM$3,0,0,'Données projet'!$E$10+1,1))-AVERAGE(OFFSET($H$3,0,0,'Données projet'!$E$10+1,1))</f>
        <v>335.02113791949211</v>
      </c>
      <c r="AO6" s="59">
        <f t="shared" si="36"/>
        <v>222.06886429435099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9.6666666666666661</v>
      </c>
      <c r="BD6" s="12">
        <f>IF('Données projet'!$A$88&gt;35,BD5+BC6-BL5,IF(A6&lt;'Données projet'!$A$88,$BA$205^A6,IF(A6='Données projet'!$A$88,'Données projet'!$B$88,BD5+BC6-BL5)))</f>
        <v>3.2818180349112911</v>
      </c>
      <c r="BE6" s="13">
        <f>BD6*VLOOKUP('Données projet'!$B$11,Paramètres!$A$1:$I$89,3,0)*VLOOKUP('Données projet'!$B$11,Paramètres!$A$1:$I$89,5,0)</f>
        <v>1.7918726470615651</v>
      </c>
      <c r="BF6" s="13">
        <f t="shared" si="37"/>
        <v>0.77156808236563035</v>
      </c>
      <c r="BG6" s="20">
        <f t="shared" si="7"/>
        <v>4.4646592704190313</v>
      </c>
      <c r="BH6" s="59">
        <f t="shared" si="8"/>
        <v>264.79799260375233</v>
      </c>
      <c r="BI6" s="59">
        <f ca="1">AVERAGE(OFFSET($BH$3,0,0,'Données projet'!$E$11+1,1))-AVERAGE(OFFSET($H$3,0,0,'Données projet'!$E$11+1,1))</f>
        <v>207.02306964567629</v>
      </c>
      <c r="BJ6" s="59">
        <f t="shared" si="38"/>
        <v>342.06887933351783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1.5053596184946649</v>
      </c>
      <c r="CA6" s="13">
        <f t="shared" si="39"/>
        <v>0.66147738405820555</v>
      </c>
      <c r="CB6" s="20">
        <f t="shared" si="10"/>
        <v>3.7739077794462492</v>
      </c>
      <c r="CC6" s="59">
        <f t="shared" si="11"/>
        <v>264.10724111277955</v>
      </c>
      <c r="CD6" s="59">
        <f ca="1">AVERAGE(OFFSET($CC$3,0,0,'Données projet'!$E$12+1,1))-AVERAGE(OFFSET($H$3,0,0,'Données projet'!$E$12+1,1))</f>
        <v>328.55201074501201</v>
      </c>
      <c r="CE6" s="59">
        <f t="shared" si="40"/>
        <v>321.81422611044985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</v>
      </c>
      <c r="CT6" s="12">
        <f>IF('Données projet'!$A$140&gt;35,CT5+CS6-DB5,IF(A6&lt;'Données projet'!$A$140,$CQ$205^A6,IF(A6='Données projet'!$A$140,'Données projet'!$B$140,CT5+CS6-DB5)))</f>
        <v>2.7461192933624794</v>
      </c>
      <c r="CU6" s="17">
        <f>CT6*VLOOKUP('Données projet'!$B$13,Paramètres!$A$1:$I$89,3,0)*VLOOKUP('Données projet'!$B$13,Paramètres!$A$1:$I$89,5,0)</f>
        <v>2.3990098146814622</v>
      </c>
      <c r="CV6" s="13">
        <f t="shared" si="41"/>
        <v>0.99850067298942213</v>
      </c>
      <c r="CW6" s="20">
        <f t="shared" si="13"/>
        <v>5.9173307660267902</v>
      </c>
      <c r="CX6" s="59">
        <f t="shared" si="14"/>
        <v>266.25066409936011</v>
      </c>
      <c r="CY6" s="59">
        <f ca="1">AVERAGE(OFFSET($CX$3,0,0,'Données projet'!$E$13+1,1))-AVERAGE(OFFSET($H$3,0,0,'Données projet'!$E$13+1,1))</f>
        <v>354.24684313982857</v>
      </c>
      <c r="CZ6" s="59">
        <f t="shared" si="42"/>
        <v>322.65043486962185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2.6666666666666665</v>
      </c>
      <c r="DO6" s="12">
        <f>IF('Données projet'!$A$166&gt;35,DO5+DN6-DW5,IF(A6&lt;'Données projet'!$A$166,$DL$205^A6,IF(A6='Données projet'!$A$166,'Données projet'!$B$166,DO5+DN6-DW5)))</f>
        <v>2.0912791051825459</v>
      </c>
      <c r="DP6" s="17">
        <f>DO6*VLOOKUP('Données projet'!$B$14,Paramètres!$A$1:$I$89,3,0)*VLOOKUP('Données projet'!$B$14,Paramètres!$A$1:$I$89,5,0)</f>
        <v>1.6311977020423858</v>
      </c>
      <c r="DQ6" s="13">
        <f t="shared" si="43"/>
        <v>0.71010553443370616</v>
      </c>
      <c r="DR6" s="20">
        <f t="shared" si="16"/>
        <v>4.0777698035291934</v>
      </c>
      <c r="DS6" s="59">
        <f t="shared" si="17"/>
        <v>264.41110313686249</v>
      </c>
      <c r="DT6" s="59">
        <f ca="1">AVERAGE(OFFSET($DS$3,0,0,'Données projet'!$E$14+1,1))-AVERAGE(OFFSET($H$3,0,0,'Données projet'!$E$14+1,1))</f>
        <v>288.80569134263209</v>
      </c>
      <c r="DU6" s="59">
        <f t="shared" si="44"/>
        <v>283.48738729114024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10.16068376068376</v>
      </c>
      <c r="EJ6" s="12">
        <f>IF('Données projet'!$A$192&gt;35,EJ5+EI6-ER5,IF(A6&lt;'Données projet'!$A$192,$EG$205^A6,IF(A6='Données projet'!$A$192,'Données projet'!$B$192,EJ5+EI6-ER5)))</f>
        <v>2.3824981566543406</v>
      </c>
      <c r="EK6" s="17">
        <f>EJ6*VLOOKUP('Données projet'!$B$15,Paramètres!$A$1:$I$89,3,0)*VLOOKUP('Données projet'!$B$15,Paramètres!$A$1:$I$89,5,0)</f>
        <v>1.3318164695697763</v>
      </c>
      <c r="EL6" s="13">
        <f t="shared" si="45"/>
        <v>0.59362354768914927</v>
      </c>
      <c r="EM6" s="20">
        <f t="shared" si="19"/>
        <v>3.3534746967259621</v>
      </c>
      <c r="EN6" s="59">
        <f t="shared" si="20"/>
        <v>263.6868080300593</v>
      </c>
      <c r="EO6" s="59">
        <f ca="1">AVERAGE(OFFSET($EN$3,0,0,'Données projet'!$E$15+1,1))-AVERAGE(OFFSET($H$3,0,0,'Données projet'!$E$15+1,1))</f>
        <v>335.04906256888819</v>
      </c>
      <c r="EP6" s="59">
        <f t="shared" si="46"/>
        <v>440.84111898279554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2.6666666666666665</v>
      </c>
      <c r="N7" s="13">
        <f>IF('Données projet'!$A$36&gt;35,N6+M7-V6,IF(A7&lt;'Données projet'!$A$36,$K$205^A7,IF(A7='Données projet'!$A$36,'Données projet'!$B$36,N6+M7-V6)))</f>
        <v>2.6743361672197152</v>
      </c>
      <c r="O7" s="13">
        <f>N7*VLOOKUP('Données projet'!$B$9,Paramètres!$A$1:$I$89,3,0)*VLOOKUP('Données projet'!$B$9,Paramètres!$A$1:$I$89,5,0)</f>
        <v>2.1694214988486329</v>
      </c>
      <c r="P7" s="13">
        <f t="shared" si="33"/>
        <v>0.91357786799242624</v>
      </c>
      <c r="Q7" s="20">
        <f t="shared" si="2"/>
        <v>5.3695572305815107</v>
      </c>
      <c r="R7" s="59">
        <f t="shared" si="0"/>
        <v>266.92511278613705</v>
      </c>
      <c r="S7" s="59">
        <f ca="1">AVERAGE(OFFSET($R$3,0,0,'Données projet'!$E$9+1,1))-AVERAGE(OFFSET($H$3,0,0,'Données projet'!$E$9+1,1))</f>
        <v>298.96480270023716</v>
      </c>
      <c r="T7" s="59">
        <f t="shared" si="34"/>
        <v>293.11447542333889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3.2427350427350423</v>
      </c>
      <c r="AI7" s="13">
        <f>IF('Données projet'!$A$62&gt;35,AI6+AH7-AQ6,IF(A7&lt;'Données projet'!$A$62,$AF$205^A7,IF(A7='Données projet'!$A$62,'Données projet'!$B$62,AI6+AH7-AQ6)))</f>
        <v>1.8410730860782449</v>
      </c>
      <c r="AJ7" s="13">
        <f>AI7*VLOOKUP('Données projet'!$B$10,Paramètres!$A$1:$I$89,3,0)*VLOOKUP('Données projet'!$B$10,Paramètres!$A$1:$I$89,5,0)</f>
        <v>1.5796407078551344</v>
      </c>
      <c r="AK7" s="13">
        <f t="shared" si="35"/>
        <v>0.69023693330816926</v>
      </c>
      <c r="AL7" s="20">
        <f t="shared" si="4"/>
        <v>3.9533702250260876</v>
      </c>
      <c r="AM7" s="59">
        <f t="shared" si="5"/>
        <v>265.50892578058165</v>
      </c>
      <c r="AN7" s="59">
        <f ca="1">AVERAGE(OFFSET($AM$3,0,0,'Données projet'!$E$10+1,1))-AVERAGE(OFFSET($H$3,0,0,'Données projet'!$E$10+1,1))</f>
        <v>335.02113791949211</v>
      </c>
      <c r="AO7" s="59">
        <f t="shared" si="36"/>
        <v>222.06886429435099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9.6666666666666661</v>
      </c>
      <c r="BD7" s="12">
        <f>IF('Données projet'!$A$88&gt;35,BD6+BC7-BL6,IF(A7&lt;'Données projet'!$A$88,$BA$205^A7,IF(A7='Données projet'!$A$88,'Données projet'!$B$88,BD6+BC7-BL6)))</f>
        <v>4.8769989610733138</v>
      </c>
      <c r="BE7" s="13">
        <f>BD7*VLOOKUP('Données projet'!$B$11,Paramètres!$A$1:$I$89,3,0)*VLOOKUP('Données projet'!$B$11,Paramètres!$A$1:$I$89,5,0)</f>
        <v>2.6628414327460295</v>
      </c>
      <c r="BF7" s="13">
        <f t="shared" si="37"/>
        <v>1.0949320721157787</v>
      </c>
      <c r="BG7" s="20">
        <f t="shared" si="7"/>
        <v>6.5447888543009825</v>
      </c>
      <c r="BH7" s="59">
        <f t="shared" si="8"/>
        <v>268.10034440985652</v>
      </c>
      <c r="BI7" s="59">
        <f ca="1">AVERAGE(OFFSET($BH$3,0,0,'Données projet'!$E$11+1,1))-AVERAGE(OFFSET($H$3,0,0,'Données projet'!$E$11+1,1))</f>
        <v>207.02306964567629</v>
      </c>
      <c r="BJ7" s="59">
        <f t="shared" si="38"/>
        <v>342.06887933351783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1.9132843993864705</v>
      </c>
      <c r="CA7" s="13">
        <f t="shared" si="39"/>
        <v>0.81758413948982178</v>
      </c>
      <c r="CB7" s="20">
        <f t="shared" si="10"/>
        <v>4.7562627052095419</v>
      </c>
      <c r="CC7" s="59">
        <f t="shared" si="11"/>
        <v>266.31181826076511</v>
      </c>
      <c r="CD7" s="59">
        <f ca="1">AVERAGE(OFFSET($CC$3,0,0,'Données projet'!$E$12+1,1))-AVERAGE(OFFSET($H$3,0,0,'Données projet'!$E$12+1,1))</f>
        <v>328.55201074501201</v>
      </c>
      <c r="CE7" s="59">
        <f t="shared" si="40"/>
        <v>321.81422611044985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</v>
      </c>
      <c r="CT7" s="12">
        <f>IF('Données projet'!$A$140&gt;35,CT6+CS7-DB6,IF(A7&lt;'Données projet'!$A$140,$CQ$205^A7,IF(A7='Données projet'!$A$140,'Données projet'!$B$140,CT6+CS7-DB6)))</f>
        <v>3.8455565234187756</v>
      </c>
      <c r="CU7" s="17">
        <f>CT7*VLOOKUP('Données projet'!$B$13,Paramètres!$A$1:$I$89,3,0)*VLOOKUP('Données projet'!$B$13,Paramètres!$A$1:$I$89,5,0)</f>
        <v>3.3594781788586427</v>
      </c>
      <c r="CV7" s="13">
        <f t="shared" si="41"/>
        <v>1.3445156106562728</v>
      </c>
      <c r="CW7" s="20">
        <f t="shared" si="13"/>
        <v>8.1927891834051447</v>
      </c>
      <c r="CX7" s="59">
        <f t="shared" si="14"/>
        <v>269.74834473896067</v>
      </c>
      <c r="CY7" s="59">
        <f ca="1">AVERAGE(OFFSET($CX$3,0,0,'Données projet'!$E$13+1,1))-AVERAGE(OFFSET($H$3,0,0,'Données projet'!$E$13+1,1))</f>
        <v>354.24684313982857</v>
      </c>
      <c r="CZ7" s="59">
        <f t="shared" si="42"/>
        <v>322.65043486962185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2.6666666666666665</v>
      </c>
      <c r="DO7" s="12">
        <f>IF('Données projet'!$A$166&gt;35,DO6+DN7-DW6,IF(A7&lt;'Données projet'!$A$166,$DL$205^A7,IF(A7='Données projet'!$A$166,'Données projet'!$B$166,DO6+DN7-DW6)))</f>
        <v>2.6743361672197152</v>
      </c>
      <c r="DP7" s="17">
        <f>DO7*VLOOKUP('Données projet'!$B$14,Paramètres!$A$1:$I$89,3,0)*VLOOKUP('Données projet'!$B$14,Paramètres!$A$1:$I$89,5,0)</f>
        <v>2.0859822104313781</v>
      </c>
      <c r="DQ7" s="13">
        <f t="shared" si="43"/>
        <v>0.88245976121767966</v>
      </c>
      <c r="DR7" s="20">
        <f t="shared" si="16"/>
        <v>5.1700364339554419</v>
      </c>
      <c r="DS7" s="59">
        <f t="shared" si="17"/>
        <v>266.72559198951097</v>
      </c>
      <c r="DT7" s="59">
        <f ca="1">AVERAGE(OFFSET($DS$3,0,0,'Données projet'!$E$14+1,1))-AVERAGE(OFFSET($H$3,0,0,'Données projet'!$E$14+1,1))</f>
        <v>288.80569134263209</v>
      </c>
      <c r="DU7" s="59">
        <f t="shared" si="44"/>
        <v>283.48738729114024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10.16068376068376</v>
      </c>
      <c r="EJ7" s="12">
        <f>IF('Données projet'!$A$192&gt;35,EJ6+EI7-ER6,IF(A7&lt;'Données projet'!$A$192,$EG$205^A7,IF(A7='Données projet'!$A$192,'Données projet'!$B$192,EJ6+EI7-ER6)))</f>
        <v>3.1820727006504042</v>
      </c>
      <c r="EK7" s="17">
        <f>EJ7*VLOOKUP('Données projet'!$B$15,Paramètres!$A$1:$I$89,3,0)*VLOOKUP('Données projet'!$B$15,Paramètres!$A$1:$I$89,5,0)</f>
        <v>1.7787786396635761</v>
      </c>
      <c r="EL7" s="13">
        <f t="shared" si="45"/>
        <v>0.76658405325641277</v>
      </c>
      <c r="EM7" s="20">
        <f t="shared" si="19"/>
        <v>4.4331733568356464</v>
      </c>
      <c r="EN7" s="59">
        <f t="shared" si="20"/>
        <v>265.9887289123912</v>
      </c>
      <c r="EO7" s="59">
        <f ca="1">AVERAGE(OFFSET($EN$3,0,0,'Données projet'!$E$15+1,1))-AVERAGE(OFFSET($H$3,0,0,'Données projet'!$E$15+1,1))</f>
        <v>335.04906256888819</v>
      </c>
      <c r="EP7" s="59">
        <f t="shared" si="46"/>
        <v>440.84111898279554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2.6666666666666665</v>
      </c>
      <c r="N8" s="13">
        <f>IF('Données projet'!$A$36&gt;35,N7+M8-V7,IF(A8&lt;'Données projet'!$A$36,$K$205^A8,IF(A8='Données projet'!$A$36,'Données projet'!$B$36,N7+M8-V7)))</f>
        <v>3.4199518933533928</v>
      </c>
      <c r="O8" s="13">
        <f>N8*VLOOKUP('Données projet'!$B$9,Paramètres!$A$1:$I$89,3,0)*VLOOKUP('Données projet'!$B$9,Paramètres!$A$1:$I$89,5,0)</f>
        <v>2.7742649758882725</v>
      </c>
      <c r="P8" s="13">
        <f t="shared" si="33"/>
        <v>1.1353181578640659</v>
      </c>
      <c r="Q8" s="20">
        <f t="shared" si="2"/>
        <v>6.8091906246186555</v>
      </c>
      <c r="R8" s="59">
        <f t="shared" si="0"/>
        <v>269.58696840239645</v>
      </c>
      <c r="S8" s="59">
        <f ca="1">AVERAGE(OFFSET($R$3,0,0,'Données projet'!$E$9+1,1))-AVERAGE(OFFSET($H$3,0,0,'Données projet'!$E$9+1,1))</f>
        <v>298.96480270023716</v>
      </c>
      <c r="T8" s="59">
        <f t="shared" si="34"/>
        <v>293.11447542333889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3.2427350427350423</v>
      </c>
      <c r="AI8" s="13">
        <f>IF('Données projet'!$A$62&gt;35,AI7+AH8-AQ7,IF(A8&lt;'Données projet'!$A$62,$AF$205^A8,IF(A8='Données projet'!$A$62,'Données projet'!$B$62,AI7+AH8-AQ7)))</f>
        <v>2.1445628899989249</v>
      </c>
      <c r="AJ8" s="13">
        <f>AI8*VLOOKUP('Données projet'!$B$10,Paramètres!$A$1:$I$89,3,0)*VLOOKUP('Données projet'!$B$10,Paramètres!$A$1:$I$89,5,0)</f>
        <v>1.8400349596190777</v>
      </c>
      <c r="AK8" s="13">
        <f t="shared" si="35"/>
        <v>0.78986411641131449</v>
      </c>
      <c r="AL8" s="20">
        <f t="shared" si="4"/>
        <v>4.5804075574196004</v>
      </c>
      <c r="AM8" s="59">
        <f t="shared" si="5"/>
        <v>267.35818533519739</v>
      </c>
      <c r="AN8" s="59">
        <f ca="1">AVERAGE(OFFSET($AM$3,0,0,'Données projet'!$E$10+1,1))-AVERAGE(OFFSET($H$3,0,0,'Données projet'!$E$10+1,1))</f>
        <v>335.02113791949211</v>
      </c>
      <c r="AO8" s="59">
        <f t="shared" si="36"/>
        <v>222.06886429435099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9.6666666666666661</v>
      </c>
      <c r="BD8" s="12">
        <f>IF('Données projet'!$A$88&gt;35,BD7+BC8-BL7,IF(A8&lt;'Données projet'!$A$88,$BA$205^A8,IF(A8='Données projet'!$A$88,'Données projet'!$B$88,BD7+BC8-BL7)))</f>
        <v>7.2475434692871694</v>
      </c>
      <c r="BE8" s="13">
        <f>BD8*VLOOKUP('Données projet'!$B$11,Paramètres!$A$1:$I$89,3,0)*VLOOKUP('Données projet'!$B$11,Paramètres!$A$1:$I$89,5,0)</f>
        <v>3.9571587342307946</v>
      </c>
      <c r="BF8" s="13">
        <f t="shared" si="37"/>
        <v>1.5538178288453746</v>
      </c>
      <c r="BG8" s="20">
        <f t="shared" si="7"/>
        <v>9.5982841806909942</v>
      </c>
      <c r="BH8" s="59">
        <f t="shared" si="8"/>
        <v>272.37606195846877</v>
      </c>
      <c r="BI8" s="59">
        <f ca="1">AVERAGE(OFFSET($BH$3,0,0,'Données projet'!$E$11+1,1))-AVERAGE(OFFSET($H$3,0,0,'Données projet'!$E$11+1,1))</f>
        <v>207.02306964567629</v>
      </c>
      <c r="BJ8" s="59">
        <f t="shared" si="38"/>
        <v>342.06887933351783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2.4317492962885807</v>
      </c>
      <c r="CA8" s="13">
        <f t="shared" si="39"/>
        <v>1.010531639108154</v>
      </c>
      <c r="CB8" s="20">
        <f t="shared" si="10"/>
        <v>5.9953059624826457</v>
      </c>
      <c r="CC8" s="59">
        <f t="shared" si="11"/>
        <v>268.7730837402604</v>
      </c>
      <c r="CD8" s="59">
        <f ca="1">AVERAGE(OFFSET($CC$3,0,0,'Données projet'!$E$12+1,1))-AVERAGE(OFFSET($H$3,0,0,'Données projet'!$E$12+1,1))</f>
        <v>328.55201074501201</v>
      </c>
      <c r="CE8" s="59">
        <f t="shared" si="40"/>
        <v>321.81422611044985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</v>
      </c>
      <c r="CT8" s="12">
        <f>IF('Données projet'!$A$140&gt;35,CT7+CS8-DB7,IF(A8&lt;'Données projet'!$A$140,$CQ$205^A8,IF(A8='Données projet'!$A$140,'Données projet'!$B$140,CT7+CS8-DB7)))</f>
        <v>5.3851648071345055</v>
      </c>
      <c r="CU8" s="17">
        <f>CT8*VLOOKUP('Données projet'!$B$13,Paramètres!$A$1:$I$89,3,0)*VLOOKUP('Données projet'!$B$13,Paramètres!$A$1:$I$89,5,0)</f>
        <v>4.7044799755127045</v>
      </c>
      <c r="CV8" s="13">
        <f t="shared" si="41"/>
        <v>1.8104366638895204</v>
      </c>
      <c r="CW8" s="20">
        <f t="shared" si="13"/>
        <v>11.346813146958874</v>
      </c>
      <c r="CX8" s="59">
        <f t="shared" si="14"/>
        <v>274.12459092473665</v>
      </c>
      <c r="CY8" s="59">
        <f ca="1">AVERAGE(OFFSET($CX$3,0,0,'Données projet'!$E$13+1,1))-AVERAGE(OFFSET($H$3,0,0,'Données projet'!$E$13+1,1))</f>
        <v>354.24684313982857</v>
      </c>
      <c r="CZ8" s="59">
        <f t="shared" si="42"/>
        <v>322.65043486962185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2.6666666666666665</v>
      </c>
      <c r="DO8" s="12">
        <f>IF('Données projet'!$A$166&gt;35,DO7+DN8-DW7,IF(A8&lt;'Données projet'!$A$166,$DL$205^A8,IF(A8='Données projet'!$A$166,'Données projet'!$B$166,DO7+DN8-DW7)))</f>
        <v>3.4199518933533928</v>
      </c>
      <c r="DP8" s="17">
        <f>DO8*VLOOKUP('Données projet'!$B$14,Paramètres!$A$1:$I$89,3,0)*VLOOKUP('Données projet'!$B$14,Paramètres!$A$1:$I$89,5,0)</f>
        <v>2.6675624768156463</v>
      </c>
      <c r="DQ8" s="13">
        <f t="shared" si="43"/>
        <v>1.0966471776471767</v>
      </c>
      <c r="DR8" s="20">
        <f t="shared" si="16"/>
        <v>6.5559984815227494</v>
      </c>
      <c r="DS8" s="59">
        <f t="shared" si="17"/>
        <v>269.33377625930052</v>
      </c>
      <c r="DT8" s="59">
        <f ca="1">AVERAGE(OFFSET($DS$3,0,0,'Données projet'!$E$14+1,1))-AVERAGE(OFFSET($H$3,0,0,'Données projet'!$E$14+1,1))</f>
        <v>288.80569134263209</v>
      </c>
      <c r="DU8" s="59">
        <f t="shared" si="44"/>
        <v>283.48738729114024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10.16068376068376</v>
      </c>
      <c r="EJ8" s="12">
        <f>IF('Données projet'!$A$192&gt;35,EJ7+EI8-ER7,IF(A8&lt;'Données projet'!$A$192,$EG$205^A8,IF(A8='Données projet'!$A$192,'Données projet'!$B$192,EJ7+EI8-ER7)))</f>
        <v>4.2499872010157462</v>
      </c>
      <c r="EK8" s="17">
        <f>EJ8*VLOOKUP('Données projet'!$B$15,Paramètres!$A$1:$I$89,3,0)*VLOOKUP('Données projet'!$B$15,Paramètres!$A$1:$I$89,5,0)</f>
        <v>2.3757428453678022</v>
      </c>
      <c r="EL8" s="13">
        <f t="shared" si="45"/>
        <v>0.98993901605593615</v>
      </c>
      <c r="EM8" s="20">
        <f t="shared" si="19"/>
        <v>5.8618959086463436</v>
      </c>
      <c r="EN8" s="59">
        <f t="shared" si="20"/>
        <v>268.63967368642409</v>
      </c>
      <c r="EO8" s="59">
        <f ca="1">AVERAGE(OFFSET($EN$3,0,0,'Données projet'!$E$15+1,1))-AVERAGE(OFFSET($H$3,0,0,'Données projet'!$E$15+1,1))</f>
        <v>335.04906256888819</v>
      </c>
      <c r="EP8" s="59">
        <f t="shared" si="46"/>
        <v>440.84111898279554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2.6666666666666665</v>
      </c>
      <c r="N9" s="13">
        <f>IF('Données projet'!$A$36&gt;35,N8+M9-V8,IF(A9&lt;'Données projet'!$A$36,$K$205^A9,IF(A9='Données projet'!$A$36,'Données projet'!$B$36,N8+M9-V8)))</f>
        <v>4.3734482957731098</v>
      </c>
      <c r="O9" s="13">
        <f>N9*VLOOKUP('Données projet'!$B$9,Paramètres!$A$1:$I$89,3,0)*VLOOKUP('Données projet'!$B$9,Paramètres!$A$1:$I$89,5,0)</f>
        <v>3.5477412575311469</v>
      </c>
      <c r="P9" s="13">
        <f t="shared" si="33"/>
        <v>1.4108784425878202</v>
      </c>
      <c r="Q9" s="20">
        <f t="shared" si="2"/>
        <v>8.6362626443738666</v>
      </c>
      <c r="R9" s="59">
        <f t="shared" si="0"/>
        <v>272.63626264437386</v>
      </c>
      <c r="S9" s="59">
        <f ca="1">AVERAGE(OFFSET($R$3,0,0,'Données projet'!$E$9+1,1))-AVERAGE(OFFSET($H$3,0,0,'Données projet'!$E$9+1,1))</f>
        <v>298.96480270023716</v>
      </c>
      <c r="T9" s="59">
        <f t="shared" si="34"/>
        <v>293.11447542333889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3.2427350427350423</v>
      </c>
      <c r="AI9" s="13">
        <f>IF('Données projet'!$A$62&gt;35,AI8+AH9-AQ8,IF(A9&lt;'Données projet'!$A$62,$AF$205^A9,IF(A9='Données projet'!$A$62,'Données projet'!$B$62,AI8+AH9-AQ8)))</f>
        <v>2.498081159264244</v>
      </c>
      <c r="AJ9" s="13">
        <f>AI9*VLOOKUP('Données projet'!$B$10,Paramètres!$A$1:$I$89,3,0)*VLOOKUP('Données projet'!$B$10,Paramètres!$A$1:$I$89,5,0)</f>
        <v>2.1433536346487219</v>
      </c>
      <c r="AK9" s="13">
        <f t="shared" si="35"/>
        <v>0.9038712538954814</v>
      </c>
      <c r="AL9" s="20">
        <f t="shared" si="4"/>
        <v>5.3072500142144872</v>
      </c>
      <c r="AM9" s="59">
        <f t="shared" si="5"/>
        <v>269.3072500142145</v>
      </c>
      <c r="AN9" s="59">
        <f ca="1">AVERAGE(OFFSET($AM$3,0,0,'Données projet'!$E$10+1,1))-AVERAGE(OFFSET($H$3,0,0,'Données projet'!$E$10+1,1))</f>
        <v>335.02113791949211</v>
      </c>
      <c r="AO9" s="59">
        <f t="shared" si="36"/>
        <v>222.06886429435099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9.6666666666666661</v>
      </c>
      <c r="BD9" s="12">
        <f>IF('Données projet'!$A$88&gt;35,BD8+BC9-BL8,IF(A9&lt;'Données projet'!$A$88,$BA$205^A9,IF(A9='Données projet'!$A$88,'Données projet'!$B$88,BD8+BC9-BL8)))</f>
        <v>10.770329614269009</v>
      </c>
      <c r="BE9" s="13">
        <f>BD9*VLOOKUP('Données projet'!$B$11,Paramètres!$A$1:$I$89,3,0)*VLOOKUP('Données projet'!$B$11,Paramètres!$A$1:$I$89,5,0)</f>
        <v>5.8805999693908788</v>
      </c>
      <c r="BF9" s="13">
        <f t="shared" si="37"/>
        <v>2.2050224910961043</v>
      </c>
      <c r="BG9" s="20">
        <f t="shared" si="7"/>
        <v>14.082459118681493</v>
      </c>
      <c r="BH9" s="59">
        <f t="shared" si="8"/>
        <v>278.08245911868147</v>
      </c>
      <c r="BI9" s="59">
        <f ca="1">AVERAGE(OFFSET($BH$3,0,0,'Données projet'!$E$11+1,1))-AVERAGE(OFFSET($H$3,0,0,'Données projet'!$E$11+1,1))</f>
        <v>207.02306964567629</v>
      </c>
      <c r="BJ9" s="59">
        <f t="shared" si="38"/>
        <v>342.06887933351783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3.0907086483829831</v>
      </c>
      <c r="CA9" s="13">
        <f t="shared" si="39"/>
        <v>1.2490141923201104</v>
      </c>
      <c r="CB9" s="20">
        <f t="shared" si="10"/>
        <v>7.5583506142245538</v>
      </c>
      <c r="CC9" s="59">
        <f t="shared" si="11"/>
        <v>271.55835061422454</v>
      </c>
      <c r="CD9" s="59">
        <f ca="1">AVERAGE(OFFSET($CC$3,0,0,'Données projet'!$E$12+1,1))-AVERAGE(OFFSET($H$3,0,0,'Données projet'!$E$12+1,1))</f>
        <v>328.55201074501201</v>
      </c>
      <c r="CE9" s="59">
        <f t="shared" si="40"/>
        <v>321.81422611044985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</v>
      </c>
      <c r="CT9" s="12">
        <f>IF('Données projet'!$A$140&gt;35,CT8+CS9-DB8,IF(A9&lt;'Données projet'!$A$140,$CQ$205^A9,IF(A9='Données projet'!$A$140,'Données projet'!$B$140,CT8+CS9-DB8)))</f>
        <v>7.5411711733776423</v>
      </c>
      <c r="CU9" s="17">
        <f>CT9*VLOOKUP('Données projet'!$B$13,Paramètres!$A$1:$I$89,3,0)*VLOOKUP('Données projet'!$B$13,Paramètres!$A$1:$I$89,5,0)</f>
        <v>6.5879671370627086</v>
      </c>
      <c r="CV9" s="13">
        <f t="shared" si="41"/>
        <v>2.4378154392387783</v>
      </c>
      <c r="CW9" s="20">
        <f t="shared" si="13"/>
        <v>15.71990465372509</v>
      </c>
      <c r="CX9" s="59">
        <f t="shared" si="14"/>
        <v>279.71990465372511</v>
      </c>
      <c r="CY9" s="59">
        <f ca="1">AVERAGE(OFFSET($CX$3,0,0,'Données projet'!$E$13+1,1))-AVERAGE(OFFSET($H$3,0,0,'Données projet'!$E$13+1,1))</f>
        <v>354.24684313982857</v>
      </c>
      <c r="CZ9" s="59">
        <f t="shared" si="42"/>
        <v>322.65043486962185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2.6666666666666665</v>
      </c>
      <c r="DO9" s="12">
        <f>IF('Données projet'!$A$166&gt;35,DO8+DN9-DW8,IF(A9&lt;'Données projet'!$A$166,$DL$205^A9,IF(A9='Données projet'!$A$166,'Données projet'!$B$166,DO8+DN9-DW8)))</f>
        <v>4.3734482957731098</v>
      </c>
      <c r="DP9" s="17">
        <f>DO9*VLOOKUP('Données projet'!$B$14,Paramètres!$A$1:$I$89,3,0)*VLOOKUP('Données projet'!$B$14,Paramètres!$A$1:$I$89,5,0)</f>
        <v>3.4112896707030256</v>
      </c>
      <c r="DQ9" s="13">
        <f t="shared" si="43"/>
        <v>1.3628213830192535</v>
      </c>
      <c r="DR9" s="20">
        <f t="shared" si="16"/>
        <v>8.3149100852329703</v>
      </c>
      <c r="DS9" s="59">
        <f t="shared" si="17"/>
        <v>272.31491008523295</v>
      </c>
      <c r="DT9" s="59">
        <f ca="1">AVERAGE(OFFSET($DS$3,0,0,'Données projet'!$E$14+1,1))-AVERAGE(OFFSET($H$3,0,0,'Données projet'!$E$14+1,1))</f>
        <v>288.80569134263209</v>
      </c>
      <c r="DU9" s="59">
        <f t="shared" si="44"/>
        <v>283.48738729114024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10.16068376068376</v>
      </c>
      <c r="EJ9" s="12">
        <f>IF('Données projet'!$A$192&gt;35,EJ8+EI9-ER8,IF(A9&lt;'Données projet'!$A$192,$EG$205^A9,IF(A9='Données projet'!$A$192,'Données projet'!$B$192,EJ8+EI9-ER8)))</f>
        <v>5.6762974664613317</v>
      </c>
      <c r="EK9" s="17">
        <f>EJ9*VLOOKUP('Données projet'!$B$15,Paramètres!$A$1:$I$89,3,0)*VLOOKUP('Données projet'!$B$15,Paramètres!$A$1:$I$89,5,0)</f>
        <v>3.1730502837518846</v>
      </c>
      <c r="EL9" s="13">
        <f t="shared" si="45"/>
        <v>1.27837156453606</v>
      </c>
      <c r="EM9" s="20">
        <f t="shared" si="19"/>
        <v>7.7528930524348363</v>
      </c>
      <c r="EN9" s="59">
        <f t="shared" si="20"/>
        <v>271.75289305243484</v>
      </c>
      <c r="EO9" s="59">
        <f ca="1">AVERAGE(OFFSET($EN$3,0,0,'Données projet'!$E$15+1,1))-AVERAGE(OFFSET($H$3,0,0,'Données projet'!$E$15+1,1))</f>
        <v>335.04906256888819</v>
      </c>
      <c r="EP9" s="59">
        <f t="shared" si="46"/>
        <v>440.84111898279554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2.6666666666666665</v>
      </c>
      <c r="N10" s="13">
        <f>IF('Données projet'!$A$36&gt;35,N9+M10-V9,IF(A10&lt;'Données projet'!$A$36,$K$205^A10,IF(A10='Données projet'!$A$36,'Données projet'!$B$36,N9+M10-V9)))</f>
        <v>5.5927833467405659</v>
      </c>
      <c r="O10" s="13">
        <f>N10*VLOOKUP('Données projet'!$B$9,Paramètres!$A$1:$I$89,3,0)*VLOOKUP('Données projet'!$B$9,Paramètres!$A$1:$I$89,5,0)</f>
        <v>4.5368658508759481</v>
      </c>
      <c r="P10" s="13">
        <f t="shared" si="33"/>
        <v>1.7533217151252238</v>
      </c>
      <c r="Q10" s="20">
        <f t="shared" si="2"/>
        <v>10.955410010785373</v>
      </c>
      <c r="R10" s="59">
        <f t="shared" si="0"/>
        <v>276.17763223300761</v>
      </c>
      <c r="S10" s="59">
        <f ca="1">AVERAGE(OFFSET($R$3,0,0,'Données projet'!$E$9+1,1))-AVERAGE(OFFSET($H$3,0,0,'Données projet'!$E$9+1,1))</f>
        <v>298.96480270023716</v>
      </c>
      <c r="T10" s="59">
        <f t="shared" si="34"/>
        <v>293.11447542333889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3.2427350427350423</v>
      </c>
      <c r="AI10" s="13">
        <f>IF('Données projet'!$A$62&gt;35,AI9+AH10-AQ9,IF(A10&lt;'Données projet'!$A$62,$AF$205^A10,IF(A10='Données projet'!$A$62,'Données projet'!$B$62,AI9+AH10-AQ9)))</f>
        <v>2.9098747849143822</v>
      </c>
      <c r="AJ10" s="13">
        <f>AI10*VLOOKUP('Données projet'!$B$10,Paramètres!$A$1:$I$89,3,0)*VLOOKUP('Données projet'!$B$10,Paramètres!$A$1:$I$89,5,0)</f>
        <v>2.49667256545654</v>
      </c>
      <c r="AK10" s="13">
        <f t="shared" si="35"/>
        <v>1.03433391471243</v>
      </c>
      <c r="AL10" s="20">
        <f t="shared" si="4"/>
        <v>6.1498362862942892</v>
      </c>
      <c r="AM10" s="59">
        <f t="shared" si="5"/>
        <v>271.37205850851655</v>
      </c>
      <c r="AN10" s="59">
        <f ca="1">AVERAGE(OFFSET($AM$3,0,0,'Données projet'!$E$10+1,1))-AVERAGE(OFFSET($H$3,0,0,'Données projet'!$E$10+1,1))</f>
        <v>335.02113791949211</v>
      </c>
      <c r="AO10" s="59">
        <f t="shared" si="36"/>
        <v>222.06886429435099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9.6666666666666661</v>
      </c>
      <c r="BD10" s="12">
        <f>IF('Données projet'!$A$88&gt;35,BD9+BC10-BL9,IF(A10&lt;'Données projet'!$A$88,$BA$205^A10,IF(A10='Données projet'!$A$88,'Données projet'!$B$88,BD9+BC10-BL9)))</f>
        <v>16.005423146694032</v>
      </c>
      <c r="BE10" s="13">
        <f>BD10*VLOOKUP('Données projet'!$B$11,Paramètres!$A$1:$I$89,3,0)*VLOOKUP('Données projet'!$B$11,Paramètres!$A$1:$I$89,5,0)</f>
        <v>8.7389610380949421</v>
      </c>
      <c r="BF10" s="13">
        <f t="shared" si="37"/>
        <v>3.1291468639233355</v>
      </c>
      <c r="BG10" s="20">
        <f t="shared" si="7"/>
        <v>20.6702879293485</v>
      </c>
      <c r="BH10" s="59">
        <f t="shared" si="8"/>
        <v>285.89251015157072</v>
      </c>
      <c r="BI10" s="59">
        <f ca="1">AVERAGE(OFFSET($BH$3,0,0,'Données projet'!$E$11+1,1))-AVERAGE(OFFSET($H$3,0,0,'Données projet'!$E$11+1,1))</f>
        <v>207.02306964567629</v>
      </c>
      <c r="BJ10" s="59">
        <f t="shared" si="38"/>
        <v>342.06887933351783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3.9282338700657551</v>
      </c>
      <c r="CA10" s="13">
        <f t="shared" si="39"/>
        <v>1.5437779404847436</v>
      </c>
      <c r="CB10" s="20">
        <f t="shared" si="10"/>
        <v>9.5304205700421178</v>
      </c>
      <c r="CC10" s="59">
        <f t="shared" si="11"/>
        <v>274.75264279226434</v>
      </c>
      <c r="CD10" s="59">
        <f ca="1">AVERAGE(OFFSET($CC$3,0,0,'Données projet'!$E$12+1,1))-AVERAGE(OFFSET($H$3,0,0,'Données projet'!$E$12+1,1))</f>
        <v>328.55201074501201</v>
      </c>
      <c r="CE10" s="59">
        <f t="shared" si="40"/>
        <v>321.81422611044985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</v>
      </c>
      <c r="CT10" s="12">
        <f>IF('Données projet'!$A$140&gt;35,CT9+CS10-DB9,IF(A10&lt;'Données projet'!$A$140,$CQ$205^A10,IF(A10='Données projet'!$A$140,'Données projet'!$B$140,CT9+CS10-DB9)))</f>
        <v>10.560356962676241</v>
      </c>
      <c r="CU10" s="17">
        <f>CT10*VLOOKUP('Données projet'!$B$13,Paramètres!$A$1:$I$89,3,0)*VLOOKUP('Données projet'!$B$13,Paramètres!$A$1:$I$89,5,0)</f>
        <v>9.2255278425939657</v>
      </c>
      <c r="CV10" s="13">
        <f t="shared" si="41"/>
        <v>3.282602608711652</v>
      </c>
      <c r="CW10" s="20">
        <f t="shared" si="13"/>
        <v>21.784993869357283</v>
      </c>
      <c r="CX10" s="59">
        <f t="shared" si="14"/>
        <v>287.00721609157949</v>
      </c>
      <c r="CY10" s="59">
        <f ca="1">AVERAGE(OFFSET($CX$3,0,0,'Données projet'!$E$13+1,1))-AVERAGE(OFFSET($H$3,0,0,'Données projet'!$E$13+1,1))</f>
        <v>354.24684313982857</v>
      </c>
      <c r="CZ10" s="59">
        <f t="shared" si="42"/>
        <v>322.65043486962185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2.6666666666666665</v>
      </c>
      <c r="DO10" s="12">
        <f>IF('Données projet'!$A$166&gt;35,DO9+DN10-DW9,IF(A10&lt;'Données projet'!$A$166,$DL$205^A10,IF(A10='Données projet'!$A$166,'Données projet'!$B$166,DO9+DN10-DW9)))</f>
        <v>5.5927833467405659</v>
      </c>
      <c r="DP10" s="17">
        <f>DO10*VLOOKUP('Données projet'!$B$14,Paramètres!$A$1:$I$89,3,0)*VLOOKUP('Données projet'!$B$14,Paramètres!$A$1:$I$89,5,0)</f>
        <v>4.3623710104576414</v>
      </c>
      <c r="DQ10" s="13">
        <f t="shared" si="43"/>
        <v>1.6936004212396314</v>
      </c>
      <c r="DR10" s="20">
        <f t="shared" si="16"/>
        <v>10.54748357687275</v>
      </c>
      <c r="DS10" s="59">
        <f t="shared" si="17"/>
        <v>275.76970579909499</v>
      </c>
      <c r="DT10" s="59">
        <f ca="1">AVERAGE(OFFSET($DS$3,0,0,'Données projet'!$E$14+1,1))-AVERAGE(OFFSET($H$3,0,0,'Données projet'!$E$14+1,1))</f>
        <v>288.80569134263209</v>
      </c>
      <c r="DU10" s="59">
        <f t="shared" si="44"/>
        <v>283.48738729114024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10.16068376068376</v>
      </c>
      <c r="EJ10" s="12">
        <f>IF('Données projet'!$A$192&gt;35,EJ9+EI10-ER9,IF(A10&lt;'Données projet'!$A$192,$EG$205^A10,IF(A10='Données projet'!$A$192,'Données projet'!$B$192,EJ9+EI10-ER9)))</f>
        <v>7.5812823436396872</v>
      </c>
      <c r="EK10" s="17">
        <f>EJ10*VLOOKUP('Données projet'!$B$15,Paramètres!$A$1:$I$89,3,0)*VLOOKUP('Données projet'!$B$15,Paramètres!$A$1:$I$89,5,0)</f>
        <v>4.2379368300945854</v>
      </c>
      <c r="EL10" s="13">
        <f t="shared" si="45"/>
        <v>1.6508429615446465</v>
      </c>
      <c r="EM10" s="20">
        <f t="shared" si="19"/>
        <v>10.256291470438329</v>
      </c>
      <c r="EN10" s="59">
        <f t="shared" si="20"/>
        <v>275.47851369266056</v>
      </c>
      <c r="EO10" s="59">
        <f ca="1">AVERAGE(OFFSET($EN$3,0,0,'Données projet'!$E$15+1,1))-AVERAGE(OFFSET($H$3,0,0,'Données projet'!$E$15+1,1))</f>
        <v>335.04906256888819</v>
      </c>
      <c r="EP10" s="59">
        <f t="shared" si="46"/>
        <v>440.84111898279554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2.6666666666666665</v>
      </c>
      <c r="N11" s="13">
        <f>IF('Données projet'!$A$36&gt;35,N10+M11-V10,IF(A11&lt;'Données projet'!$A$36,$K$205^A11,IF(A11='Données projet'!$A$36,'Données projet'!$B$36,N10+M11-V10)))</f>
        <v>7.1520739352994367</v>
      </c>
      <c r="O11" s="13">
        <f>N11*VLOOKUP('Données projet'!$B$9,Paramètres!$A$1:$I$89,3,0)*VLOOKUP('Données projet'!$B$9,Paramètres!$A$1:$I$89,5,0)</f>
        <v>5.8017623763149038</v>
      </c>
      <c r="P11" s="13">
        <f t="shared" si="33"/>
        <v>2.1788815704711619</v>
      </c>
      <c r="Q11" s="20">
        <f t="shared" si="2"/>
        <v>13.899621540652397</v>
      </c>
      <c r="R11" s="59">
        <f t="shared" si="0"/>
        <v>280.34406598509685</v>
      </c>
      <c r="S11" s="59">
        <f ca="1">AVERAGE(OFFSET($R$3,0,0,'Données projet'!$E$9+1,1))-AVERAGE(OFFSET($H$3,0,0,'Données projet'!$E$9+1,1))</f>
        <v>298.96480270023716</v>
      </c>
      <c r="T11" s="59">
        <f t="shared" si="34"/>
        <v>293.11447542333889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3.2427350427350423</v>
      </c>
      <c r="AI11" s="13">
        <f>IF('Données projet'!$A$62&gt;35,AI10+AH11-AQ10,IF(A11&lt;'Données projet'!$A$62,$AF$205^A11,IF(A11='Données projet'!$A$62,'Données projet'!$B$62,AI10+AH11-AQ10)))</f>
        <v>3.3895501082816728</v>
      </c>
      <c r="AJ11" s="13">
        <f>AI11*VLOOKUP('Données projet'!$B$10,Paramètres!$A$1:$I$89,3,0)*VLOOKUP('Données projet'!$B$10,Paramètres!$A$1:$I$89,5,0)</f>
        <v>2.9082339929056755</v>
      </c>
      <c r="AK11" s="13">
        <f t="shared" si="35"/>
        <v>1.1836272505774941</v>
      </c>
      <c r="AL11" s="20">
        <f t="shared" si="4"/>
        <v>7.1266583323998525</v>
      </c>
      <c r="AM11" s="59">
        <f t="shared" si="5"/>
        <v>273.57110277684433</v>
      </c>
      <c r="AN11" s="59">
        <f ca="1">AVERAGE(OFFSET($AM$3,0,0,'Données projet'!$E$10+1,1))-AVERAGE(OFFSET($H$3,0,0,'Données projet'!$E$10+1,1))</f>
        <v>335.02113791949211</v>
      </c>
      <c r="AO11" s="59">
        <f t="shared" si="36"/>
        <v>222.06886429435099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9.6666666666666661</v>
      </c>
      <c r="BD11" s="12">
        <f>IF('Données projet'!$A$88&gt;35,BD10+BC11-BL10,IF(A11&lt;'Données projet'!$A$88,$BA$205^A11,IF(A11='Données projet'!$A$88,'Données projet'!$B$88,BD10+BC11-BL10)))</f>
        <v>23.785118866310182</v>
      </c>
      <c r="BE11" s="13">
        <f>BD11*VLOOKUP('Données projet'!$B$11,Paramètres!$A$1:$I$89,3,0)*VLOOKUP('Données projet'!$B$11,Paramètres!$A$1:$I$89,5,0)</f>
        <v>12.98667490100536</v>
      </c>
      <c r="BF11" s="13">
        <f t="shared" si="37"/>
        <v>4.4405715295601897</v>
      </c>
      <c r="BG11" s="20">
        <f t="shared" si="7"/>
        <v>30.352454199901668</v>
      </c>
      <c r="BH11" s="59">
        <f t="shared" si="8"/>
        <v>296.79689864434613</v>
      </c>
      <c r="BI11" s="59">
        <f ca="1">AVERAGE(OFFSET($BH$3,0,0,'Données projet'!$E$11+1,1))-AVERAGE(OFFSET($H$3,0,0,'Données projet'!$E$11+1,1))</f>
        <v>207.02306964567629</v>
      </c>
      <c r="BJ11" s="59">
        <f t="shared" si="38"/>
        <v>342.06887933351783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4.9927130290993551</v>
      </c>
      <c r="CA11" s="13">
        <f t="shared" si="39"/>
        <v>1.9081050833380053</v>
      </c>
      <c r="CB11" s="20">
        <f t="shared" si="10"/>
        <v>12.018924879161736</v>
      </c>
      <c r="CC11" s="59">
        <f t="shared" si="11"/>
        <v>278.46336932360617</v>
      </c>
      <c r="CD11" s="59">
        <f ca="1">AVERAGE(OFFSET($CC$3,0,0,'Données projet'!$E$12+1,1))-AVERAGE(OFFSET($H$3,0,0,'Données projet'!$E$12+1,1))</f>
        <v>328.55201074501201</v>
      </c>
      <c r="CE11" s="59">
        <f t="shared" si="40"/>
        <v>321.81422611044985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</v>
      </c>
      <c r="CT11" s="12">
        <f>IF('Données projet'!$A$140&gt;35,CT10+CS11-DB10,IF(A11&lt;'Données projet'!$A$140,$CQ$205^A11,IF(A11='Données projet'!$A$140,'Données projet'!$B$140,CT10+CS11-DB10)))</f>
        <v>14.7883049748087</v>
      </c>
      <c r="CU11" s="17">
        <f>CT11*VLOOKUP('Données projet'!$B$13,Paramètres!$A$1:$I$89,3,0)*VLOOKUP('Données projet'!$B$13,Paramètres!$A$1:$I$89,5,0)</f>
        <v>12.919063225992881</v>
      </c>
      <c r="CV11" s="13">
        <f t="shared" si="41"/>
        <v>4.4201376828121335</v>
      </c>
      <c r="CW11" s="20">
        <f t="shared" si="13"/>
        <v>30.199108249502064</v>
      </c>
      <c r="CX11" s="59">
        <f t="shared" si="14"/>
        <v>296.6435526939465</v>
      </c>
      <c r="CY11" s="59">
        <f ca="1">AVERAGE(OFFSET($CX$3,0,0,'Données projet'!$E$13+1,1))-AVERAGE(OFFSET($H$3,0,0,'Données projet'!$E$13+1,1))</f>
        <v>354.24684313982857</v>
      </c>
      <c r="CZ11" s="59">
        <f t="shared" si="42"/>
        <v>322.65043486962185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2.6666666666666665</v>
      </c>
      <c r="DO11" s="12">
        <f>IF('Données projet'!$A$166&gt;35,DO10+DN11-DW10,IF(A11&lt;'Données projet'!$A$166,$DL$205^A11,IF(A11='Données projet'!$A$166,'Données projet'!$B$166,DO10+DN11-DW10)))</f>
        <v>7.1520739352994367</v>
      </c>
      <c r="DP11" s="17">
        <f>DO11*VLOOKUP('Données projet'!$B$14,Paramètres!$A$1:$I$89,3,0)*VLOOKUP('Données projet'!$B$14,Paramètres!$A$1:$I$89,5,0)</f>
        <v>5.5786176695335605</v>
      </c>
      <c r="DQ11" s="13">
        <f t="shared" si="43"/>
        <v>2.1046649418345189</v>
      </c>
      <c r="DR11" s="20">
        <f t="shared" si="16"/>
        <v>13.381717214799407</v>
      </c>
      <c r="DS11" s="59">
        <f t="shared" si="17"/>
        <v>279.82616165924384</v>
      </c>
      <c r="DT11" s="59">
        <f ca="1">AVERAGE(OFFSET($DS$3,0,0,'Données projet'!$E$14+1,1))-AVERAGE(OFFSET($H$3,0,0,'Données projet'!$E$14+1,1))</f>
        <v>288.80569134263209</v>
      </c>
      <c r="DU11" s="59">
        <f t="shared" si="44"/>
        <v>283.48738729114024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10.16068376068376</v>
      </c>
      <c r="EJ11" s="12">
        <f>IF('Données projet'!$A$192&gt;35,EJ10+EI11-ER10,IF(A11&lt;'Données projet'!$A$192,$EG$205^A11,IF(A11='Données projet'!$A$192,'Données projet'!$B$192,EJ10+EI11-ER10)))</f>
        <v>10.125586672224557</v>
      </c>
      <c r="EK11" s="17">
        <f>EJ11*VLOOKUP('Données projet'!$B$15,Paramètres!$A$1:$I$89,3,0)*VLOOKUP('Données projet'!$B$15,Paramètres!$A$1:$I$89,5,0)</f>
        <v>5.6602029497735273</v>
      </c>
      <c r="EL11" s="13">
        <f t="shared" si="45"/>
        <v>2.1318390984944533</v>
      </c>
      <c r="EM11" s="20">
        <f t="shared" si="19"/>
        <v>13.571139900733398</v>
      </c>
      <c r="EN11" s="59">
        <f t="shared" si="20"/>
        <v>280.01558434517784</v>
      </c>
      <c r="EO11" s="59">
        <f ca="1">AVERAGE(OFFSET($EN$3,0,0,'Données projet'!$E$15+1,1))-AVERAGE(OFFSET($H$3,0,0,'Données projet'!$E$15+1,1))</f>
        <v>335.04906256888819</v>
      </c>
      <c r="EP11" s="59">
        <f t="shared" si="46"/>
        <v>440.84111898279554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2.6666666666666665</v>
      </c>
      <c r="N12" s="13">
        <f>IF('Données projet'!$A$36&gt;35,N11+M12-V11,IF(A12&lt;'Données projet'!$A$36,$K$205^A12,IF(A12='Données projet'!$A$36,'Données projet'!$B$36,N11+M12-V11)))</f>
        <v>9.1461010385465205</v>
      </c>
      <c r="O12" s="13">
        <f>N12*VLOOKUP('Données projet'!$B$9,Paramètres!$A$1:$I$89,3,0)*VLOOKUP('Données projet'!$B$9,Paramètres!$A$1:$I$89,5,0)</f>
        <v>7.4193171624689374</v>
      </c>
      <c r="P12" s="13">
        <f t="shared" si="33"/>
        <v>2.7077317626216724</v>
      </c>
      <c r="Q12" s="20">
        <f t="shared" si="2"/>
        <v>17.637943544532806</v>
      </c>
      <c r="R12" s="59">
        <f t="shared" si="0"/>
        <v>285.30461021119947</v>
      </c>
      <c r="S12" s="59">
        <f ca="1">AVERAGE(OFFSET($R$3,0,0,'Données projet'!$E$9+1,1))-AVERAGE(OFFSET($H$3,0,0,'Données projet'!$E$9+1,1))</f>
        <v>298.96480270023716</v>
      </c>
      <c r="T12" s="59">
        <f t="shared" si="34"/>
        <v>293.11447542333889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3.2427350427350423</v>
      </c>
      <c r="AI12" s="13">
        <f>IF('Données projet'!$A$62&gt;35,AI11+AH12-AQ11,IF(A12&lt;'Données projet'!$A$62,$AF$205^A12,IF(A12='Données projet'!$A$62,'Données projet'!$B$62,AI11+AH12-AQ11)))</f>
        <v>3.9482970181792005</v>
      </c>
      <c r="AJ12" s="13">
        <f>AI12*VLOOKUP('Données projet'!$B$10,Paramètres!$A$1:$I$89,3,0)*VLOOKUP('Données projet'!$B$10,Paramètres!$A$1:$I$89,5,0)</f>
        <v>3.3876388415977545</v>
      </c>
      <c r="AK12" s="13">
        <f t="shared" si="35"/>
        <v>1.3544692370443472</v>
      </c>
      <c r="AL12" s="20">
        <f t="shared" si="4"/>
        <v>8.2591715703016604</v>
      </c>
      <c r="AM12" s="59">
        <f t="shared" si="5"/>
        <v>275.92583823696833</v>
      </c>
      <c r="AN12" s="59">
        <f ca="1">AVERAGE(OFFSET($AM$3,0,0,'Données projet'!$E$10+1,1))-AVERAGE(OFFSET($H$3,0,0,'Données projet'!$E$10+1,1))</f>
        <v>335.02113791949211</v>
      </c>
      <c r="AO12" s="59">
        <f t="shared" si="36"/>
        <v>222.06886429435099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9.6666666666666661</v>
      </c>
      <c r="BD12" s="12">
        <f>IF('Données projet'!$A$88&gt;35,BD11+BC12-BL11,IF(A12&lt;'Données projet'!$A$88,$BA$205^A12,IF(A12='Données projet'!$A$88,'Données projet'!$B$88,BD11+BC12-BL11)))</f>
        <v>35.346261970047209</v>
      </c>
      <c r="BE12" s="13">
        <f>BD12*VLOOKUP('Données projet'!$B$11,Paramètres!$A$1:$I$89,3,0)*VLOOKUP('Données projet'!$B$11,Paramètres!$A$1:$I$89,5,0)</f>
        <v>19.299059035645776</v>
      </c>
      <c r="BF12" s="13">
        <f t="shared" si="37"/>
        <v>6.301613943558138</v>
      </c>
      <c r="BG12" s="20">
        <f t="shared" si="7"/>
        <v>44.587838772113486</v>
      </c>
      <c r="BH12" s="59">
        <f t="shared" si="8"/>
        <v>312.25450543878014</v>
      </c>
      <c r="BI12" s="59">
        <f ca="1">AVERAGE(OFFSET($BH$3,0,0,'Données projet'!$E$11+1,1))-AVERAGE(OFFSET($H$3,0,0,'Données projet'!$E$11+1,1))</f>
        <v>207.02306964567629</v>
      </c>
      <c r="BJ12" s="59">
        <f t="shared" si="38"/>
        <v>342.06887933351783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6.3456464700054127</v>
      </c>
      <c r="CA12" s="13">
        <f t="shared" si="39"/>
        <v>2.3584123814576028</v>
      </c>
      <c r="CB12" s="20">
        <f t="shared" si="10"/>
        <v>15.159569166298086</v>
      </c>
      <c r="CC12" s="59">
        <f t="shared" si="11"/>
        <v>282.82623583296476</v>
      </c>
      <c r="CD12" s="59">
        <f ca="1">AVERAGE(OFFSET($CC$3,0,0,'Données projet'!$E$12+1,1))-AVERAGE(OFFSET($H$3,0,0,'Données projet'!$E$12+1,1))</f>
        <v>328.55201074501201</v>
      </c>
      <c r="CE12" s="59">
        <f t="shared" si="40"/>
        <v>321.81422611044985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</v>
      </c>
      <c r="CT12" s="12">
        <f>IF('Données projet'!$A$140&gt;35,CT11+CS12-DB11,IF(A12&lt;'Données projet'!$A$140,$CQ$205^A12,IF(A12='Données projet'!$A$140,'Données projet'!$B$140,CT11+CS12-DB11)))</f>
        <v>20.708955653761308</v>
      </c>
      <c r="CU12" s="17">
        <f>CT12*VLOOKUP('Données projet'!$B$13,Paramètres!$A$1:$I$89,3,0)*VLOOKUP('Données projet'!$B$13,Paramètres!$A$1:$I$89,5,0)</f>
        <v>18.091343659125879</v>
      </c>
      <c r="CV12" s="13">
        <f t="shared" si="41"/>
        <v>5.9518679121149844</v>
      </c>
      <c r="CW12" s="20">
        <f t="shared" si="13"/>
        <v>41.875260153244504</v>
      </c>
      <c r="CX12" s="59">
        <f t="shared" si="14"/>
        <v>309.54192681991117</v>
      </c>
      <c r="CY12" s="59">
        <f ca="1">AVERAGE(OFFSET($CX$3,0,0,'Données projet'!$E$13+1,1))-AVERAGE(OFFSET($H$3,0,0,'Données projet'!$E$13+1,1))</f>
        <v>354.24684313982857</v>
      </c>
      <c r="CZ12" s="59">
        <f t="shared" si="42"/>
        <v>322.65043486962185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2.6666666666666665</v>
      </c>
      <c r="DO12" s="12">
        <f>IF('Données projet'!$A$166&gt;35,DO11+DN12-DW11,IF(A12&lt;'Données projet'!$A$166,$DL$205^A12,IF(A12='Données projet'!$A$166,'Données projet'!$B$166,DO11+DN12-DW11)))</f>
        <v>9.1461010385465205</v>
      </c>
      <c r="DP12" s="17">
        <f>DO12*VLOOKUP('Données projet'!$B$14,Paramètres!$A$1:$I$89,3,0)*VLOOKUP('Données projet'!$B$14,Paramètres!$A$1:$I$89,5,0)</f>
        <v>7.1339588100662858</v>
      </c>
      <c r="DQ12" s="13">
        <f t="shared" si="43"/>
        <v>2.6155015444227643</v>
      </c>
      <c r="DR12" s="20">
        <f t="shared" si="16"/>
        <v>16.980310117401761</v>
      </c>
      <c r="DS12" s="59">
        <f t="shared" si="17"/>
        <v>284.64697678406844</v>
      </c>
      <c r="DT12" s="59">
        <f ca="1">AVERAGE(OFFSET($DS$3,0,0,'Données projet'!$E$14+1,1))-AVERAGE(OFFSET($H$3,0,0,'Données projet'!$E$14+1,1))</f>
        <v>288.80569134263209</v>
      </c>
      <c r="DU12" s="59">
        <f t="shared" si="44"/>
        <v>283.48738729114024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10.16068376068376</v>
      </c>
      <c r="EJ12" s="12">
        <f>IF('Données projet'!$A$192&gt;35,EJ11+EI12-ER11,IF(A12&lt;'Données projet'!$A$192,$EG$205^A12,IF(A12='Données projet'!$A$192,'Données projet'!$B$192,EJ11+EI12-ER11)))</f>
        <v>13.523768250465828</v>
      </c>
      <c r="EK12" s="17">
        <f>EJ12*VLOOKUP('Données projet'!$B$15,Paramètres!$A$1:$I$89,3,0)*VLOOKUP('Données projet'!$B$15,Paramètres!$A$1:$I$89,5,0)</f>
        <v>7.5597864520103979</v>
      </c>
      <c r="EL12" s="13">
        <f t="shared" si="45"/>
        <v>2.7529801730003816</v>
      </c>
      <c r="EM12" s="20">
        <f t="shared" si="19"/>
        <v>17.961401871893774</v>
      </c>
      <c r="EN12" s="59">
        <f t="shared" si="20"/>
        <v>285.62806853856046</v>
      </c>
      <c r="EO12" s="59">
        <f ca="1">AVERAGE(OFFSET($EN$3,0,0,'Données projet'!$E$15+1,1))-AVERAGE(OFFSET($H$3,0,0,'Données projet'!$E$15+1,1))</f>
        <v>335.04906256888819</v>
      </c>
      <c r="EP12" s="59">
        <f t="shared" si="46"/>
        <v>440.84111898279554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2.6666666666666665</v>
      </c>
      <c r="N13" s="13">
        <f>IF('Données projet'!$A$36&gt;35,N12+M13-V12,IF(A13&lt;'Données projet'!$A$36,$K$205^A13,IF(A13='Données projet'!$A$36,'Données projet'!$B$36,N12+M13-V12)))</f>
        <v>11.696070952851455</v>
      </c>
      <c r="O13" s="13">
        <f>N13*VLOOKUP('Données projet'!$B$9,Paramètres!$A$1:$I$89,3,0)*VLOOKUP('Données projet'!$B$9,Paramètres!$A$1:$I$89,5,0)</f>
        <v>9.4878527569531013</v>
      </c>
      <c r="P13" s="13">
        <f t="shared" si="33"/>
        <v>3.3649425456037227</v>
      </c>
      <c r="Q13" s="20">
        <f t="shared" si="2"/>
        <v>22.385285151953138</v>
      </c>
      <c r="R13" s="59">
        <f t="shared" si="0"/>
        <v>291.27417404084201</v>
      </c>
      <c r="S13" s="59">
        <f ca="1">AVERAGE(OFFSET($R$3,0,0,'Données projet'!$E$9+1,1))-AVERAGE(OFFSET($H$3,0,0,'Données projet'!$E$9+1,1))</f>
        <v>298.96480270023716</v>
      </c>
      <c r="T13" s="59">
        <f t="shared" si="34"/>
        <v>293.11447542333889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3.2427350427350423</v>
      </c>
      <c r="AI13" s="13">
        <f>IF('Données projet'!$A$62&gt;35,AI12+AH13-AQ12,IF(A13&lt;'Données projet'!$A$62,$AF$205^A13,IF(A13='Données projet'!$A$62,'Données projet'!$B$62,AI12+AH13-AQ12)))</f>
        <v>4.5991499891605416</v>
      </c>
      <c r="AJ13" s="13">
        <f>AI13*VLOOKUP('Données projet'!$B$10,Paramètres!$A$1:$I$89,3,0)*VLOOKUP('Données projet'!$B$10,Paramètres!$A$1:$I$89,5,0)</f>
        <v>3.9460706906997451</v>
      </c>
      <c r="AK13" s="13">
        <f t="shared" si="35"/>
        <v>1.5499701558952765</v>
      </c>
      <c r="AL13" s="20">
        <f t="shared" si="4"/>
        <v>9.5722711411529939</v>
      </c>
      <c r="AM13" s="59">
        <f t="shared" si="5"/>
        <v>278.46116003004187</v>
      </c>
      <c r="AN13" s="59">
        <f ca="1">AVERAGE(OFFSET($AM$3,0,0,'Données projet'!$E$10+1,1))-AVERAGE(OFFSET($H$3,0,0,'Données projet'!$E$10+1,1))</f>
        <v>335.02113791949211</v>
      </c>
      <c r="AO13" s="59">
        <f t="shared" si="36"/>
        <v>222.06886429435099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9.6666666666666661</v>
      </c>
      <c r="BD13" s="12">
        <f>IF('Données projet'!$A$88&gt;35,BD12+BC13-BL12,IF(A13&lt;'Données projet'!$A$88,$BA$205^A13,IF(A13='Données projet'!$A$88,'Données projet'!$B$88,BD12+BC13-BL12)))</f>
        <v>52.526886339207103</v>
      </c>
      <c r="BE13" s="13">
        <f>BD13*VLOOKUP('Données projet'!$B$11,Paramètres!$A$1:$I$89,3,0)*VLOOKUP('Données projet'!$B$11,Paramètres!$A$1:$I$89,5,0)</f>
        <v>28.679679941207077</v>
      </c>
      <c r="BF13" s="13">
        <f t="shared" si="37"/>
        <v>8.9426187663684367</v>
      </c>
      <c r="BG13" s="20">
        <f t="shared" si="7"/>
        <v>65.525503582360685</v>
      </c>
      <c r="BH13" s="59">
        <f t="shared" si="8"/>
        <v>334.41439247124953</v>
      </c>
      <c r="BI13" s="59">
        <f ca="1">AVERAGE(OFFSET($BH$3,0,0,'Données projet'!$E$11+1,1))-AVERAGE(OFFSET($H$3,0,0,'Données projet'!$E$11+1,1))</f>
        <v>207.02306964567629</v>
      </c>
      <c r="BJ13" s="59">
        <f t="shared" si="38"/>
        <v>342.06887933351783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8.0652000000000008</v>
      </c>
      <c r="CA13" s="13">
        <f t="shared" si="39"/>
        <v>2.9149909035839161</v>
      </c>
      <c r="CB13" s="20">
        <f t="shared" si="10"/>
        <v>19.123832490408656</v>
      </c>
      <c r="CC13" s="59">
        <f t="shared" si="11"/>
        <v>288.01272137929749</v>
      </c>
      <c r="CD13" s="59">
        <f ca="1">AVERAGE(OFFSET($CC$3,0,0,'Données projet'!$E$12+1,1))-AVERAGE(OFFSET($H$3,0,0,'Données projet'!$E$12+1,1))</f>
        <v>328.55201074501201</v>
      </c>
      <c r="CE13" s="59">
        <f t="shared" si="40"/>
        <v>321.81422611044985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29</v>
      </c>
      <c r="CR13" s="12">
        <f>VLOOKUP(A13,'Données projet'!$A$139:$I$159,9,0)</f>
        <v>2.9</v>
      </c>
      <c r="CS13" s="12">
        <f t="array" ref="CS13">INDEX(CR:CR,MIN(IF(ISNUMBER(CR13:CR209),ROW(CR13:CR209),"")))</f>
        <v>2.9</v>
      </c>
      <c r="CT13" s="12">
        <f>IF('Données projet'!$A$140&gt;35,CT12+CS13-DB12,IF(A13&lt;'Données projet'!$A$140,$CQ$205^A13,IF(A13='Données projet'!$A$140,'Données projet'!$B$140,CT12+CS13-DB12)))</f>
        <v>29</v>
      </c>
      <c r="CU13" s="17">
        <f>CT13*VLOOKUP('Données projet'!$B$13,Paramètres!$A$1:$I$89,3,0)*VLOOKUP('Données projet'!$B$13,Paramètres!$A$1:$I$89,5,0)</f>
        <v>25.334400000000002</v>
      </c>
      <c r="CV13" s="13">
        <f t="shared" si="41"/>
        <v>8.0143955200794572</v>
      </c>
      <c r="CW13" s="20">
        <f t="shared" si="13"/>
        <v>58.082485530805059</v>
      </c>
      <c r="CX13" s="59">
        <f t="shared" si="14"/>
        <v>326.97137441969392</v>
      </c>
      <c r="CY13" s="59">
        <f ca="1">AVERAGE(OFFSET($CX$3,0,0,'Données projet'!$E$13+1,1))-AVERAGE(OFFSET($H$3,0,0,'Données projet'!$E$13+1,1))</f>
        <v>354.24684313982857</v>
      </c>
      <c r="CZ13" s="59">
        <f t="shared" si="42"/>
        <v>322.65043486962185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2.6666666666666665</v>
      </c>
      <c r="DO13" s="12">
        <f>IF('Données projet'!$A$166&gt;35,DO12+DN13-DW12,IF(A13&lt;'Données projet'!$A$166,$DL$205^A13,IF(A13='Données projet'!$A$166,'Données projet'!$B$166,DO12+DN13-DW12)))</f>
        <v>11.696070952851455</v>
      </c>
      <c r="DP13" s="17">
        <f>DO13*VLOOKUP('Données projet'!$B$14,Paramètres!$A$1:$I$89,3,0)*VLOOKUP('Données projet'!$B$14,Paramètres!$A$1:$I$89,5,0)</f>
        <v>9.1229353432241354</v>
      </c>
      <c r="DQ13" s="13">
        <f t="shared" si="43"/>
        <v>3.2503265450485803</v>
      </c>
      <c r="DR13" s="20">
        <f t="shared" si="16"/>
        <v>21.550097788741649</v>
      </c>
      <c r="DS13" s="59">
        <f t="shared" si="17"/>
        <v>290.43898667763051</v>
      </c>
      <c r="DT13" s="59">
        <f ca="1">AVERAGE(OFFSET($DS$3,0,0,'Données projet'!$E$14+1,1))-AVERAGE(OFFSET($H$3,0,0,'Données projet'!$E$14+1,1))</f>
        <v>288.80569134263209</v>
      </c>
      <c r="DU13" s="59">
        <f t="shared" si="44"/>
        <v>283.48738729114024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10.16068376068376</v>
      </c>
      <c r="EJ13" s="12">
        <f>IF('Données projet'!$A$192&gt;35,EJ12+EI13-ER12,IF(A13&lt;'Données projet'!$A$192,$EG$205^A13,IF(A13='Données projet'!$A$192,'Données projet'!$B$192,EJ12+EI13-ER12)))</f>
        <v>18.062391208797656</v>
      </c>
      <c r="EK13" s="17">
        <f>EJ13*VLOOKUP('Données projet'!$B$15,Paramètres!$A$1:$I$89,3,0)*VLOOKUP('Données projet'!$B$15,Paramètres!$A$1:$I$89,5,0)</f>
        <v>10.09687668571789</v>
      </c>
      <c r="EL13" s="13">
        <f t="shared" si="45"/>
        <v>3.5550993685619052</v>
      </c>
      <c r="EM13" s="20">
        <f t="shared" si="19"/>
        <v>23.777191627870639</v>
      </c>
      <c r="EN13" s="59">
        <f t="shared" si="20"/>
        <v>292.66608051675951</v>
      </c>
      <c r="EO13" s="59">
        <f ca="1">AVERAGE(OFFSET($EN$3,0,0,'Données projet'!$E$15+1,1))-AVERAGE(OFFSET($H$3,0,0,'Données projet'!$E$15+1,1))</f>
        <v>335.04906256888819</v>
      </c>
      <c r="EP13" s="59">
        <f t="shared" si="46"/>
        <v>440.84111898279554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2.6666666666666665</v>
      </c>
      <c r="N14" s="13">
        <f>IF('Données projet'!$A$36&gt;35,N13+M14-V13,IF(A14&lt;'Données projet'!$A$36,$K$205^A14,IF(A14='Données projet'!$A$36,'Données projet'!$B$36,N13+M14-V13)))</f>
        <v>14.956982779612416</v>
      </c>
      <c r="O14" s="13">
        <f>N14*VLOOKUP('Données projet'!$B$9,Paramètres!$A$1:$I$89,3,0)*VLOOKUP('Données projet'!$B$9,Paramètres!$A$1:$I$89,5,0)</f>
        <v>12.133104430821591</v>
      </c>
      <c r="P14" s="13">
        <f t="shared" si="33"/>
        <v>4.1816691341135996</v>
      </c>
      <c r="Q14" s="20">
        <f t="shared" si="2"/>
        <v>28.414897292262125</v>
      </c>
      <c r="R14" s="59">
        <f t="shared" si="0"/>
        <v>298.52600840337328</v>
      </c>
      <c r="S14" s="59">
        <f ca="1">AVERAGE(OFFSET($R$3,0,0,'Données projet'!$E$9+1,1))-AVERAGE(OFFSET($H$3,0,0,'Données projet'!$E$9+1,1))</f>
        <v>298.96480270023716</v>
      </c>
      <c r="T14" s="59">
        <f t="shared" si="34"/>
        <v>293.11447542333889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3.2427350427350423</v>
      </c>
      <c r="AI14" s="13">
        <f>IF('Données projet'!$A$62&gt;35,AI13+AH14-AQ13,IF(A14&lt;'Données projet'!$A$62,$AF$205^A14,IF(A14='Données projet'!$A$62,'Données projet'!$B$62,AI13+AH14-AQ13)))</f>
        <v>5.3572921503635911</v>
      </c>
      <c r="AJ14" s="13">
        <f>AI14*VLOOKUP('Données projet'!$B$10,Paramètres!$A$1:$I$89,3,0)*VLOOKUP('Données projet'!$B$10,Paramètres!$A$1:$I$89,5,0)</f>
        <v>4.5965566650119616</v>
      </c>
      <c r="AK14" s="13">
        <f t="shared" si="35"/>
        <v>1.7736892197038281</v>
      </c>
      <c r="AL14" s="20">
        <f t="shared" si="4"/>
        <v>11.094844915879998</v>
      </c>
      <c r="AM14" s="59">
        <f t="shared" si="5"/>
        <v>281.20595602699115</v>
      </c>
      <c r="AN14" s="59">
        <f ca="1">AVERAGE(OFFSET($AM$3,0,0,'Données projet'!$E$10+1,1))-AVERAGE(OFFSET($H$3,0,0,'Données projet'!$E$10+1,1))</f>
        <v>335.02113791949211</v>
      </c>
      <c r="AO14" s="59">
        <f t="shared" si="36"/>
        <v>222.06886429435099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9.6666666666666661</v>
      </c>
      <c r="BD14" s="12">
        <f>IF('Données projet'!$A$88&gt;35,BD13+BC14-BL13,IF(A14&lt;'Données projet'!$A$88,$BA$205^A14,IF(A14='Données projet'!$A$88,'Données projet'!$B$88,BD13+BC14-BL13)))</f>
        <v>78.058432057965561</v>
      </c>
      <c r="BE14" s="13">
        <f>BD14*VLOOKUP('Données projet'!$B$11,Paramètres!$A$1:$I$89,3,0)*VLOOKUP('Données projet'!$B$11,Paramètres!$A$1:$I$89,5,0)</f>
        <v>42.619903903649202</v>
      </c>
      <c r="BF14" s="13">
        <f t="shared" si="37"/>
        <v>12.690468047849112</v>
      </c>
      <c r="BG14" s="20">
        <f t="shared" si="7"/>
        <v>96.332231148859549</v>
      </c>
      <c r="BH14" s="59">
        <f t="shared" si="8"/>
        <v>366.44334225997068</v>
      </c>
      <c r="BI14" s="59">
        <f ca="1">AVERAGE(OFFSET($BH$3,0,0,'Données projet'!$E$11+1,1))-AVERAGE(OFFSET($H$3,0,0,'Données projet'!$E$11+1,1))</f>
        <v>207.02306964567629</v>
      </c>
      <c r="BJ14" s="59">
        <f t="shared" si="38"/>
        <v>342.06887933351783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15.983760000000002</v>
      </c>
      <c r="CA14" s="13">
        <f t="shared" si="39"/>
        <v>5.3348570279475842</v>
      </c>
      <c r="CB14" s="20">
        <f t="shared" si="10"/>
        <v>37.129924657008708</v>
      </c>
      <c r="CC14" s="59">
        <f t="shared" si="11"/>
        <v>307.24103576811984</v>
      </c>
      <c r="CD14" s="59">
        <f ca="1">AVERAGE(OFFSET($CC$3,0,0,'Données projet'!$E$12+1,1))-AVERAGE(OFFSET($H$3,0,0,'Données projet'!$E$12+1,1))</f>
        <v>328.55201074501201</v>
      </c>
      <c r="CE14" s="59">
        <f t="shared" si="40"/>
        <v>321.81422611044985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8.8000000000000007</v>
      </c>
      <c r="CT14" s="12">
        <f>IF('Données projet'!$A$140&gt;35,CT13+CS14-DB13,IF(A14&lt;'Données projet'!$A$140,$CQ$205^A14,IF(A14='Données projet'!$A$140,'Données projet'!$B$140,CT13+CS14-DB13)))</f>
        <v>37.799999999999997</v>
      </c>
      <c r="CU14" s="17">
        <f>CT14*VLOOKUP('Données projet'!$B$13,Paramètres!$A$1:$I$89,3,0)*VLOOKUP('Données projet'!$B$13,Paramètres!$A$1:$I$89,5,0)</f>
        <v>33.022080000000003</v>
      </c>
      <c r="CV14" s="13">
        <f t="shared" si="41"/>
        <v>10.129025278332465</v>
      </c>
      <c r="CW14" s="20">
        <f t="shared" si="13"/>
        <v>75.154841693095705</v>
      </c>
      <c r="CX14" s="59">
        <f t="shared" si="14"/>
        <v>345.26595280420685</v>
      </c>
      <c r="CY14" s="59">
        <f ca="1">AVERAGE(OFFSET($CX$3,0,0,'Données projet'!$E$13+1,1))-AVERAGE(OFFSET($H$3,0,0,'Données projet'!$E$13+1,1))</f>
        <v>354.24684313982857</v>
      </c>
      <c r="CZ14" s="59">
        <f t="shared" si="42"/>
        <v>322.65043486962185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2.6666666666666665</v>
      </c>
      <c r="DO14" s="12">
        <f>IF('Données projet'!$A$166&gt;35,DO13+DN14-DW13,IF(A14&lt;'Données projet'!$A$166,$DL$205^A14,IF(A14='Données projet'!$A$166,'Données projet'!$B$166,DO13+DN14-DW13)))</f>
        <v>14.956982779612416</v>
      </c>
      <c r="DP14" s="17">
        <f>DO14*VLOOKUP('Données projet'!$B$14,Paramètres!$A$1:$I$89,3,0)*VLOOKUP('Données projet'!$B$14,Paramètres!$A$1:$I$89,5,0)</f>
        <v>11.666446568097685</v>
      </c>
      <c r="DQ14" s="13">
        <f t="shared" si="43"/>
        <v>4.0392339557111736</v>
      </c>
      <c r="DR14" s="20">
        <f t="shared" si="16"/>
        <v>27.354060245633761</v>
      </c>
      <c r="DS14" s="59">
        <f t="shared" si="17"/>
        <v>297.46517135674492</v>
      </c>
      <c r="DT14" s="59">
        <f ca="1">AVERAGE(OFFSET($DS$3,0,0,'Données projet'!$E$14+1,1))-AVERAGE(OFFSET($H$3,0,0,'Données projet'!$E$14+1,1))</f>
        <v>288.80569134263209</v>
      </c>
      <c r="DU14" s="59">
        <f t="shared" si="44"/>
        <v>283.48738729114024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10.16068376068376</v>
      </c>
      <c r="EJ14" s="12">
        <f>IF('Données projet'!$A$192&gt;35,EJ13+EI14-ER13,IF(A14&lt;'Données projet'!$A$192,$EG$205^A14,IF(A14='Données projet'!$A$192,'Données projet'!$B$192,EJ13+EI14-ER13)))</f>
        <v>24.124191581618767</v>
      </c>
      <c r="EK14" s="17">
        <f>EJ14*VLOOKUP('Données projet'!$B$15,Paramètres!$A$1:$I$89,3,0)*VLOOKUP('Données projet'!$B$15,Paramètres!$A$1:$I$89,5,0)</f>
        <v>13.48542309412489</v>
      </c>
      <c r="EL14" s="13">
        <f t="shared" si="45"/>
        <v>4.5909271865822117</v>
      </c>
      <c r="EM14" s="20">
        <f t="shared" si="19"/>
        <v>31.482976738898202</v>
      </c>
      <c r="EN14" s="59">
        <f t="shared" si="20"/>
        <v>301.59408785000937</v>
      </c>
      <c r="EO14" s="59">
        <f ca="1">AVERAGE(OFFSET($EN$3,0,0,'Données projet'!$E$15+1,1))-AVERAGE(OFFSET($H$3,0,0,'Données projet'!$E$15+1,1))</f>
        <v>335.04906256888819</v>
      </c>
      <c r="EP14" s="59">
        <f t="shared" si="46"/>
        <v>440.84111898279554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2.6666666666666665</v>
      </c>
      <c r="N15" s="13">
        <f>IF('Données projet'!$A$36&gt;35,N14+M15-V14,IF(A15&lt;'Données projet'!$A$36,$K$205^A15,IF(A15='Données projet'!$A$36,'Données projet'!$B$36,N14+M15-V14)))</f>
        <v>19.127049995800721</v>
      </c>
      <c r="O15" s="13">
        <f>N15*VLOOKUP('Données projet'!$B$9,Paramètres!$A$1:$I$89,3,0)*VLOOKUP('Données projet'!$B$9,Paramètres!$A$1:$I$89,5,0)</f>
        <v>15.515862956593548</v>
      </c>
      <c r="P15" s="13">
        <f t="shared" si="33"/>
        <v>5.1966286229891843</v>
      </c>
      <c r="Q15" s="20">
        <f t="shared" si="2"/>
        <v>36.074256167773257</v>
      </c>
      <c r="R15" s="59">
        <f t="shared" si="0"/>
        <v>307.4075895011066</v>
      </c>
      <c r="S15" s="59">
        <f ca="1">AVERAGE(OFFSET($R$3,0,0,'Données projet'!$E$9+1,1))-AVERAGE(OFFSET($H$3,0,0,'Données projet'!$E$9+1,1))</f>
        <v>298.96480270023716</v>
      </c>
      <c r="T15" s="59">
        <f t="shared" si="34"/>
        <v>293.11447542333889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3.2427350427350423</v>
      </c>
      <c r="AI15" s="13">
        <f>IF('Données projet'!$A$62&gt;35,AI14+AH15-AQ14,IF(A15&lt;'Données projet'!$A$62,$AF$205^A15,IF(A15='Données projet'!$A$62,'Données projet'!$B$62,AI14+AH15-AQ14)))</f>
        <v>6.2404094782709887</v>
      </c>
      <c r="AJ15" s="13">
        <f>AI15*VLOOKUP('Données projet'!$B$10,Paramètres!$A$1:$I$89,3,0)*VLOOKUP('Données projet'!$B$10,Paramètres!$A$1:$I$89,5,0)</f>
        <v>5.3542713323565092</v>
      </c>
      <c r="AK15" s="13">
        <f t="shared" si="35"/>
        <v>2.0296993694542671</v>
      </c>
      <c r="AL15" s="20">
        <f t="shared" si="4"/>
        <v>12.860415638987101</v>
      </c>
      <c r="AM15" s="59">
        <f t="shared" si="5"/>
        <v>284.19374897232041</v>
      </c>
      <c r="AN15" s="59">
        <f ca="1">AVERAGE(OFFSET($AM$3,0,0,'Données projet'!$E$10+1,1))-AVERAGE(OFFSET($H$3,0,0,'Données projet'!$E$10+1,1))</f>
        <v>335.02113791949211</v>
      </c>
      <c r="AO15" s="59">
        <f t="shared" si="36"/>
        <v>222.06886429435099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116</v>
      </c>
      <c r="BB15" s="12">
        <f>VLOOKUP(A15,'Données projet'!$A$87:$I$107,9,0)</f>
        <v>9.6666666666666661</v>
      </c>
      <c r="BC15" s="12">
        <f t="array" ref="BC15">INDEX(BB:BB,MIN(IF(ISNUMBER(BB15:BB211),ROW(BB15:BB211),"")))</f>
        <v>9.6666666666666661</v>
      </c>
      <c r="BD15" s="12">
        <f>IF('Données projet'!$A$88&gt;35,BD14+BC15-BL14,IF(A15&lt;'Données projet'!$A$88,$BA$205^A15,IF(A15='Données projet'!$A$88,'Données projet'!$B$88,BD14+BC15-BL14)))</f>
        <v>116</v>
      </c>
      <c r="BE15" s="13">
        <f>BD15*VLOOKUP('Données projet'!$B$11,Paramètres!$A$1:$I$89,3,0)*VLOOKUP('Données projet'!$B$11,Paramètres!$A$1:$I$89,5,0)</f>
        <v>63.335999999999999</v>
      </c>
      <c r="BF15" s="13">
        <f t="shared" si="37"/>
        <v>18.009040022946227</v>
      </c>
      <c r="BG15" s="20">
        <f t="shared" si="7"/>
        <v>141.67594470663133</v>
      </c>
      <c r="BH15" s="59">
        <f t="shared" si="8"/>
        <v>413.00927803996467</v>
      </c>
      <c r="BI15" s="59">
        <f ca="1">AVERAGE(OFFSET($BH$3,0,0,'Données projet'!$E$11+1,1))-AVERAGE(OFFSET($H$3,0,0,'Données projet'!$E$11+1,1))</f>
        <v>207.02306964567629</v>
      </c>
      <c r="BJ15" s="59">
        <f t="shared" si="38"/>
        <v>342.06887933351783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21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0.42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6.363209560142475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6.363209560142475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23.90232</v>
      </c>
      <c r="CA15" s="13">
        <f t="shared" si="39"/>
        <v>7.6127522913266521</v>
      </c>
      <c r="CB15" s="20">
        <f t="shared" si="10"/>
        <v>54.88875090739392</v>
      </c>
      <c r="CC15" s="59">
        <f t="shared" si="11"/>
        <v>326.22208424072721</v>
      </c>
      <c r="CD15" s="59">
        <f ca="1">AVERAGE(OFFSET($CC$3,0,0,'Données projet'!$E$12+1,1))-AVERAGE(OFFSET($H$3,0,0,'Données projet'!$E$12+1,1))</f>
        <v>328.55201074501201</v>
      </c>
      <c r="CE15" s="59">
        <f t="shared" si="40"/>
        <v>321.81422611044985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8.8000000000000007</v>
      </c>
      <c r="CT15" s="12">
        <f>IF('Données projet'!$A$140&gt;35,CT14+CS15-DB14,IF(A15&lt;'Données projet'!$A$140,$CQ$205^A15,IF(A15='Données projet'!$A$140,'Données projet'!$B$140,CT14+CS15-DB14)))</f>
        <v>46.599999999999994</v>
      </c>
      <c r="CU15" s="17">
        <f>CT15*VLOOKUP('Données projet'!$B$13,Paramètres!$A$1:$I$89,3,0)*VLOOKUP('Données projet'!$B$13,Paramètres!$A$1:$I$89,5,0)</f>
        <v>40.709760000000003</v>
      </c>
      <c r="CV15" s="13">
        <f t="shared" si="41"/>
        <v>12.186575870088381</v>
      </c>
      <c r="CW15" s="20">
        <f t="shared" si="13"/>
        <v>92.127784973737278</v>
      </c>
      <c r="CX15" s="59">
        <f t="shared" si="14"/>
        <v>363.46111830707059</v>
      </c>
      <c r="CY15" s="59">
        <f ca="1">AVERAGE(OFFSET($CX$3,0,0,'Données projet'!$E$13+1,1))-AVERAGE(OFFSET($H$3,0,0,'Données projet'!$E$13+1,1))</f>
        <v>354.24684313982857</v>
      </c>
      <c r="CZ15" s="59">
        <f t="shared" si="42"/>
        <v>322.65043486962185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2.6666666666666665</v>
      </c>
      <c r="DO15" s="12">
        <f>IF('Données projet'!$A$166&gt;35,DO14+DN15-DW14,IF(A15&lt;'Données projet'!$A$166,$DL$205^A15,IF(A15='Données projet'!$A$166,'Données projet'!$B$166,DO14+DN15-DW14)))</f>
        <v>19.127049995800721</v>
      </c>
      <c r="DP15" s="17">
        <f>DO15*VLOOKUP('Données projet'!$B$14,Paramètres!$A$1:$I$89,3,0)*VLOOKUP('Données projet'!$B$14,Paramètres!$A$1:$I$89,5,0)</f>
        <v>14.919098996724562</v>
      </c>
      <c r="DQ15" s="13">
        <f t="shared" si="43"/>
        <v>5.019622097301081</v>
      </c>
      <c r="DR15" s="20">
        <f t="shared" si="16"/>
        <v>34.726605905427995</v>
      </c>
      <c r="DS15" s="59">
        <f t="shared" si="17"/>
        <v>306.05993923876133</v>
      </c>
      <c r="DT15" s="59">
        <f ca="1">AVERAGE(OFFSET($DS$3,0,0,'Données projet'!$E$14+1,1))-AVERAGE(OFFSET($H$3,0,0,'Données projet'!$E$14+1,1))</f>
        <v>288.80569134263209</v>
      </c>
      <c r="DU15" s="59">
        <f t="shared" si="44"/>
        <v>283.48738729114024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10.16068376068376</v>
      </c>
      <c r="EJ15" s="12">
        <f>IF('Données projet'!$A$192&gt;35,EJ14+EI15-ER14,IF(A15&lt;'Données projet'!$A$192,$EG$205^A15,IF(A15='Données projet'!$A$192,'Données projet'!$B$192,EJ14+EI15-ER14)))</f>
        <v>32.220352927755336</v>
      </c>
      <c r="EK15" s="17">
        <f>EJ15*VLOOKUP('Données projet'!$B$15,Paramètres!$A$1:$I$89,3,0)*VLOOKUP('Données projet'!$B$15,Paramètres!$A$1:$I$89,5,0)</f>
        <v>18.011177286615233</v>
      </c>
      <c r="EL15" s="13">
        <f t="shared" si="45"/>
        <v>5.9285578959851977</v>
      </c>
      <c r="EM15" s="20">
        <f t="shared" si="19"/>
        <v>41.695038776362409</v>
      </c>
      <c r="EN15" s="59">
        <f t="shared" si="20"/>
        <v>313.02837210969574</v>
      </c>
      <c r="EO15" s="59">
        <f ca="1">AVERAGE(OFFSET($EN$3,0,0,'Données projet'!$E$15+1,1))-AVERAGE(OFFSET($H$3,0,0,'Données projet'!$E$15+1,1))</f>
        <v>335.04906256888819</v>
      </c>
      <c r="EP15" s="59">
        <f t="shared" si="46"/>
        <v>440.84111898279554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2.6666666666666665</v>
      </c>
      <c r="N16" s="13">
        <f>IF('Données projet'!$A$36&gt;35,N15+M16-V15,IF(A16&lt;'Données projet'!$A$36,$K$205^A16,IF(A16='Données projet'!$A$36,'Données projet'!$B$36,N15+M16-V15)))</f>
        <v>24.459748796430759</v>
      </c>
      <c r="O16" s="13">
        <f>N16*VLOOKUP('Données projet'!$B$9,Paramètres!$A$1:$I$89,3,0)*VLOOKUP('Données projet'!$B$9,Paramètres!$A$1:$I$89,5,0)</f>
        <v>19.841748223664634</v>
      </c>
      <c r="P16" s="13">
        <f t="shared" si="33"/>
        <v>6.4579353791927296</v>
      </c>
      <c r="Q16" s="20">
        <f t="shared" si="2"/>
        <v>45.805282274976577</v>
      </c>
      <c r="R16" s="59">
        <f t="shared" si="0"/>
        <v>318.36083783053209</v>
      </c>
      <c r="S16" s="59">
        <f ca="1">AVERAGE(OFFSET($R$3,0,0,'Données projet'!$E$9+1,1))-AVERAGE(OFFSET($H$3,0,0,'Données projet'!$E$9+1,1))</f>
        <v>298.96480270023716</v>
      </c>
      <c r="T16" s="59">
        <f t="shared" si="34"/>
        <v>293.11447542333889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3.2427350427350423</v>
      </c>
      <c r="AI16" s="13">
        <f>IF('Données projet'!$A$62&gt;35,AI15+AH16-AQ15,IF(A16&lt;'Données projet'!$A$62,$AF$205^A16,IF(A16='Données projet'!$A$62,'Données projet'!$B$62,AI15+AH16-AQ15)))</f>
        <v>7.2691033760127128</v>
      </c>
      <c r="AJ16" s="13">
        <f>AI16*VLOOKUP('Données projet'!$B$10,Paramètres!$A$1:$I$89,3,0)*VLOOKUP('Données projet'!$B$10,Paramètres!$A$1:$I$89,5,0)</f>
        <v>6.2368906966189082</v>
      </c>
      <c r="AK16" s="13">
        <f t="shared" si="35"/>
        <v>2.3226614248977375</v>
      </c>
      <c r="AL16" s="20">
        <f t="shared" si="4"/>
        <v>14.907886611641489</v>
      </c>
      <c r="AM16" s="59">
        <f t="shared" si="5"/>
        <v>287.46344216719706</v>
      </c>
      <c r="AN16" s="59">
        <f ca="1">AVERAGE(OFFSET($AM$3,0,0,'Données projet'!$E$10+1,1))-AVERAGE(OFFSET($H$3,0,0,'Données projet'!$E$10+1,1))</f>
        <v>335.02113791949211</v>
      </c>
      <c r="AO16" s="59">
        <f t="shared" si="36"/>
        <v>222.06886429435099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24.333333333333332</v>
      </c>
      <c r="BD16" s="12">
        <f>IF('Données projet'!$A$88&gt;35,BD15+BC16-BL15,IF(A16&lt;'Données projet'!$A$88,$BA$205^A16,IF(A16='Données projet'!$A$88,'Données projet'!$B$88,BD15+BC16-BL15)))</f>
        <v>119.33333333333334</v>
      </c>
      <c r="BE16" s="13">
        <f>BD16*VLOOKUP('Données projet'!$B$11,Paramètres!$A$1:$I$89,3,0)*VLOOKUP('Données projet'!$B$11,Paramètres!$A$1:$I$89,5,0)</f>
        <v>65.156000000000006</v>
      </c>
      <c r="BF16" s="13">
        <f t="shared" si="37"/>
        <v>18.465547360043153</v>
      </c>
      <c r="BG16" s="20">
        <f t="shared" si="7"/>
        <v>145.64086165207519</v>
      </c>
      <c r="BH16" s="59">
        <f t="shared" si="8"/>
        <v>418.1964172076307</v>
      </c>
      <c r="BI16" s="59">
        <f ca="1">AVERAGE(OFFSET($BH$3,0,0,'Données projet'!$E$11+1,1))-AVERAGE(OFFSET($H$3,0,0,'Données projet'!$E$11+1,1))</f>
        <v>207.02306964567629</v>
      </c>
      <c r="BJ16" s="59">
        <f t="shared" si="38"/>
        <v>342.06887933351783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6.1892072600937311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6.1892072600937311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31.820880000000006</v>
      </c>
      <c r="CA16" s="13">
        <f t="shared" si="39"/>
        <v>9.8027641140385384</v>
      </c>
      <c r="CB16" s="20">
        <f t="shared" si="10"/>
        <v>72.494513498617124</v>
      </c>
      <c r="CC16" s="59">
        <f t="shared" si="11"/>
        <v>345.0500690541727</v>
      </c>
      <c r="CD16" s="59">
        <f ca="1">AVERAGE(OFFSET($CC$3,0,0,'Données projet'!$E$12+1,1))-AVERAGE(OFFSET($H$3,0,0,'Données projet'!$E$12+1,1))</f>
        <v>328.55201074501201</v>
      </c>
      <c r="CE16" s="59">
        <f t="shared" si="40"/>
        <v>321.81422611044985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8.8000000000000007</v>
      </c>
      <c r="CT16" s="12">
        <f>IF('Données projet'!$A$140&gt;35,CT15+CS16-DB15,IF(A16&lt;'Données projet'!$A$140,$CQ$205^A16,IF(A16='Données projet'!$A$140,'Données projet'!$B$140,CT15+CS16-DB15)))</f>
        <v>55.399999999999991</v>
      </c>
      <c r="CU16" s="17">
        <f>CT16*VLOOKUP('Données projet'!$B$13,Paramètres!$A$1:$I$89,3,0)*VLOOKUP('Données projet'!$B$13,Paramètres!$A$1:$I$89,5,0)</f>
        <v>48.397439999999996</v>
      </c>
      <c r="CV16" s="13">
        <f t="shared" si="41"/>
        <v>14.199110166340073</v>
      </c>
      <c r="CW16" s="20">
        <f t="shared" si="13"/>
        <v>109.02232487304228</v>
      </c>
      <c r="CX16" s="59">
        <f t="shared" si="14"/>
        <v>381.57788042859784</v>
      </c>
      <c r="CY16" s="59">
        <f ca="1">AVERAGE(OFFSET($CX$3,0,0,'Données projet'!$E$13+1,1))-AVERAGE(OFFSET($H$3,0,0,'Données projet'!$E$13+1,1))</f>
        <v>354.24684313982857</v>
      </c>
      <c r="CZ16" s="59">
        <f t="shared" si="42"/>
        <v>322.65043486962185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2.6666666666666665</v>
      </c>
      <c r="DO16" s="12">
        <f>IF('Données projet'!$A$166&gt;35,DO15+DN16-DW15,IF(A16&lt;'Données projet'!$A$166,$DL$205^A16,IF(A16='Données projet'!$A$166,'Données projet'!$B$166,DO15+DN16-DW15)))</f>
        <v>24.459748796430759</v>
      </c>
      <c r="DP16" s="17">
        <f>DO16*VLOOKUP('Données projet'!$B$14,Paramètres!$A$1:$I$89,3,0)*VLOOKUP('Données projet'!$B$14,Paramètres!$A$1:$I$89,5,0)</f>
        <v>19.078604061215994</v>
      </c>
      <c r="DQ16" s="13">
        <f t="shared" si="43"/>
        <v>6.2379664748280286</v>
      </c>
      <c r="DR16" s="20">
        <f t="shared" si="16"/>
        <v>44.093027016943331</v>
      </c>
      <c r="DS16" s="59">
        <f t="shared" si="17"/>
        <v>316.64858257249887</v>
      </c>
      <c r="DT16" s="59">
        <f ca="1">AVERAGE(OFFSET($DS$3,0,0,'Données projet'!$E$14+1,1))-AVERAGE(OFFSET($H$3,0,0,'Données projet'!$E$14+1,1))</f>
        <v>288.80569134263209</v>
      </c>
      <c r="DU16" s="59">
        <f t="shared" si="44"/>
        <v>283.48738729114024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10.16068376068376</v>
      </c>
      <c r="EJ16" s="12">
        <f>IF('Données projet'!$A$192&gt;35,EJ15+EI16-ER15,IF(A16&lt;'Données projet'!$A$192,$EG$205^A16,IF(A16='Données projet'!$A$192,'Données projet'!$B$192,EJ15+EI16-ER15)))</f>
        <v>43.033613759729988</v>
      </c>
      <c r="EK16" s="17">
        <f>EJ16*VLOOKUP('Données projet'!$B$15,Paramètres!$A$1:$I$89,3,0)*VLOOKUP('Données projet'!$B$15,Paramètres!$A$1:$I$89,5,0)</f>
        <v>24.055790091689062</v>
      </c>
      <c r="EL16" s="13">
        <f t="shared" si="45"/>
        <v>7.6559259813080898</v>
      </c>
      <c r="EM16" s="20">
        <f t="shared" si="19"/>
        <v>55.231238827136707</v>
      </c>
      <c r="EN16" s="59">
        <f t="shared" si="20"/>
        <v>327.78679438269228</v>
      </c>
      <c r="EO16" s="59">
        <f ca="1">AVERAGE(OFFSET($EN$3,0,0,'Données projet'!$E$15+1,1))-AVERAGE(OFFSET($H$3,0,0,'Données projet'!$E$15+1,1))</f>
        <v>335.04906256888819</v>
      </c>
      <c r="EP16" s="59">
        <f t="shared" si="46"/>
        <v>440.84111898279554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2.6666666666666665</v>
      </c>
      <c r="N17" s="13">
        <f>IF('Données projet'!$A$36&gt;35,N16+M17-V16,IF(A17&lt;'Données projet'!$A$36,$K$205^A17,IF(A17='Données projet'!$A$36,'Données projet'!$B$36,N16+M17-V16)))</f>
        <v>31.279225563578599</v>
      </c>
      <c r="O17" s="13">
        <f>N17*VLOOKUP('Données projet'!$B$9,Paramètres!$A$1:$I$89,3,0)*VLOOKUP('Données projet'!$B$9,Paramètres!$A$1:$I$89,5,0)</f>
        <v>25.37370777717496</v>
      </c>
      <c r="P17" s="13">
        <f t="shared" si="33"/>
        <v>8.0253819134452193</v>
      </c>
      <c r="Q17" s="20">
        <f t="shared" si="2"/>
        <v>58.170081211163478</v>
      </c>
      <c r="R17" s="59">
        <f t="shared" si="0"/>
        <v>331.94785898894122</v>
      </c>
      <c r="S17" s="59">
        <f ca="1">AVERAGE(OFFSET($R$3,0,0,'Données projet'!$E$9+1,1))-AVERAGE(OFFSET($H$3,0,0,'Données projet'!$E$9+1,1))</f>
        <v>298.96480270023716</v>
      </c>
      <c r="T17" s="59">
        <f t="shared" si="34"/>
        <v>293.11447542333889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3.2427350427350423</v>
      </c>
      <c r="AI17" s="13">
        <f>IF('Données projet'!$A$62&gt;35,AI16+AH17-AQ16,IF(A17&lt;'Données projet'!$A$62,$AF$205^A17,IF(A17='Données projet'!$A$62,'Données projet'!$B$62,AI16+AH17-AQ16)))</f>
        <v>8.4673712638805245</v>
      </c>
      <c r="AJ17" s="13">
        <f>AI17*VLOOKUP('Données projet'!$B$10,Paramètres!$A$1:$I$89,3,0)*VLOOKUP('Données projet'!$B$10,Paramètres!$A$1:$I$89,5,0)</f>
        <v>7.2650045444094911</v>
      </c>
      <c r="AK17" s="13">
        <f t="shared" si="35"/>
        <v>2.6579089375972442</v>
      </c>
      <c r="AL17" s="20">
        <f t="shared" si="4"/>
        <v>17.282407647828396</v>
      </c>
      <c r="AM17" s="59">
        <f t="shared" si="5"/>
        <v>291.06018542560616</v>
      </c>
      <c r="AN17" s="59">
        <f ca="1">AVERAGE(OFFSET($AM$3,0,0,'Données projet'!$E$10+1,1))-AVERAGE(OFFSET($H$3,0,0,'Données projet'!$E$10+1,1))</f>
        <v>335.02113791949211</v>
      </c>
      <c r="AO17" s="59">
        <f t="shared" si="36"/>
        <v>222.06886429435099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24.333333333333332</v>
      </c>
      <c r="BD17" s="12">
        <f>IF('Données projet'!$A$88&gt;35,BD16+BC17-BL16,IF(A17&lt;'Données projet'!$A$88,$BA$205^A17,IF(A17='Données projet'!$A$88,'Données projet'!$B$88,BD16+BC17-BL16)))</f>
        <v>143.66666666666669</v>
      </c>
      <c r="BE17" s="13">
        <f>BD17*VLOOKUP('Données projet'!$B$11,Paramètres!$A$1:$I$89,3,0)*VLOOKUP('Données projet'!$B$11,Paramètres!$A$1:$I$89,5,0)</f>
        <v>78.442000000000007</v>
      </c>
      <c r="BF17" s="13">
        <f t="shared" si="37"/>
        <v>21.755810093736013</v>
      </c>
      <c r="BG17" s="20">
        <f t="shared" si="7"/>
        <v>174.5111859132569</v>
      </c>
      <c r="BH17" s="59">
        <f t="shared" si="8"/>
        <v>448.28896369103467</v>
      </c>
      <c r="BI17" s="59">
        <f ca="1">AVERAGE(OFFSET($BH$3,0,0,'Données projet'!$E$11+1,1))-AVERAGE(OFFSET($H$3,0,0,'Données projet'!$E$11+1,1))</f>
        <v>207.02306964567629</v>
      </c>
      <c r="BJ17" s="59">
        <f t="shared" si="38"/>
        <v>342.06887933351783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6.0199630620902038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6.0199630620902038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39.739440000000002</v>
      </c>
      <c r="CA17" s="13">
        <f t="shared" si="39"/>
        <v>11.929559204083212</v>
      </c>
      <c r="CB17" s="20">
        <f t="shared" si="10"/>
        <v>89.990173613778268</v>
      </c>
      <c r="CC17" s="59">
        <f t="shared" si="11"/>
        <v>363.76795139155604</v>
      </c>
      <c r="CD17" s="59">
        <f ca="1">AVERAGE(OFFSET($CC$3,0,0,'Données projet'!$E$12+1,1))-AVERAGE(OFFSET($H$3,0,0,'Données projet'!$E$12+1,1))</f>
        <v>328.55201074501201</v>
      </c>
      <c r="CE17" s="59">
        <f t="shared" si="40"/>
        <v>321.81422611044985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8.8000000000000007</v>
      </c>
      <c r="CT17" s="12">
        <f>IF('Données projet'!$A$140&gt;35,CT16+CS17-DB16,IF(A17&lt;'Données projet'!$A$140,$CQ$205^A17,IF(A17='Données projet'!$A$140,'Données projet'!$B$140,CT16+CS17-DB16)))</f>
        <v>64.199999999999989</v>
      </c>
      <c r="CU17" s="17">
        <f>CT17*VLOOKUP('Données projet'!$B$13,Paramètres!$A$1:$I$89,3,0)*VLOOKUP('Données projet'!$B$13,Paramètres!$A$1:$I$89,5,0)</f>
        <v>56.085119999999996</v>
      </c>
      <c r="CV17" s="13">
        <f t="shared" si="41"/>
        <v>16.174611252215492</v>
      </c>
      <c r="CW17" s="20">
        <f t="shared" si="13"/>
        <v>125.85236526427531</v>
      </c>
      <c r="CX17" s="59">
        <f t="shared" si="14"/>
        <v>399.63014304205308</v>
      </c>
      <c r="CY17" s="59">
        <f ca="1">AVERAGE(OFFSET($CX$3,0,0,'Données projet'!$E$13+1,1))-AVERAGE(OFFSET($H$3,0,0,'Données projet'!$E$13+1,1))</f>
        <v>354.24684313982857</v>
      </c>
      <c r="CZ17" s="59">
        <f t="shared" si="42"/>
        <v>322.65043486962185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2.6666666666666665</v>
      </c>
      <c r="DO17" s="12">
        <f>IF('Données projet'!$A$166&gt;35,DO16+DN17-DW16,IF(A17&lt;'Données projet'!$A$166,$DL$205^A17,IF(A17='Données projet'!$A$166,'Données projet'!$B$166,DO16+DN17-DW16)))</f>
        <v>31.279225563578599</v>
      </c>
      <c r="DP17" s="17">
        <f>DO17*VLOOKUP('Données projet'!$B$14,Paramètres!$A$1:$I$89,3,0)*VLOOKUP('Données projet'!$B$14,Paramètres!$A$1:$I$89,5,0)</f>
        <v>24.397795939591308</v>
      </c>
      <c r="DQ17" s="13">
        <f t="shared" si="43"/>
        <v>7.75202295846145</v>
      </c>
      <c r="DR17" s="20">
        <f t="shared" si="16"/>
        <v>55.994267914108548</v>
      </c>
      <c r="DS17" s="59">
        <f t="shared" si="17"/>
        <v>329.77204569188632</v>
      </c>
      <c r="DT17" s="59">
        <f ca="1">AVERAGE(OFFSET($DS$3,0,0,'Données projet'!$E$14+1,1))-AVERAGE(OFFSET($H$3,0,0,'Données projet'!$E$14+1,1))</f>
        <v>288.80569134263209</v>
      </c>
      <c r="DU17" s="59">
        <f t="shared" si="44"/>
        <v>283.48738729114024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10.16068376068376</v>
      </c>
      <c r="EJ17" s="12">
        <f>IF('Données projet'!$A$192&gt;35,EJ16+EI17-ER16,IF(A17&lt;'Données projet'!$A$192,$EG$205^A17,IF(A17='Données projet'!$A$192,'Données projet'!$B$192,EJ16+EI17-ER16)))</f>
        <v>57.475841973982881</v>
      </c>
      <c r="EK17" s="17">
        <f>EJ17*VLOOKUP('Données projet'!$B$15,Paramètres!$A$1:$I$89,3,0)*VLOOKUP('Données projet'!$B$15,Paramètres!$A$1:$I$89,5,0)</f>
        <v>32.128995663456436</v>
      </c>
      <c r="EL17" s="13">
        <f t="shared" si="45"/>
        <v>9.8865868664217604</v>
      </c>
      <c r="EM17" s="20">
        <f t="shared" si="19"/>
        <v>73.177139572871184</v>
      </c>
      <c r="EN17" s="59">
        <f t="shared" si="20"/>
        <v>346.95491735064894</v>
      </c>
      <c r="EO17" s="59">
        <f ca="1">AVERAGE(OFFSET($EN$3,0,0,'Données projet'!$E$15+1,1))-AVERAGE(OFFSET($H$3,0,0,'Données projet'!$E$15+1,1))</f>
        <v>335.04906256888819</v>
      </c>
      <c r="EP17" s="59">
        <f t="shared" si="46"/>
        <v>440.84111898279554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40</v>
      </c>
      <c r="L18" s="12">
        <f>VLOOKUP(A18,'Données projet'!$A$35:$I$55,9,0)</f>
        <v>2.6666666666666665</v>
      </c>
      <c r="M18" s="12">
        <f t="array" ref="M18">INDEX(L:L,MIN(IF(ISNUMBER(L18:L214),ROW(L18:L214),"")))</f>
        <v>2.6666666666666665</v>
      </c>
      <c r="N18" s="13">
        <f>IF('Données projet'!$A$36&gt;35,N17+M18-V17,IF(A18&lt;'Données projet'!$A$36,$K$205^A18,IF(A18='Données projet'!$A$36,'Données projet'!$B$36,N17+M18-V17)))</f>
        <v>40</v>
      </c>
      <c r="O18" s="13">
        <f>N18*VLOOKUP('Données projet'!$B$9,Paramètres!$A$1:$I$89,3,0)*VLOOKUP('Données projet'!$B$9,Paramètres!$A$1:$I$89,5,0)</f>
        <v>32.448</v>
      </c>
      <c r="P18" s="13">
        <f t="shared" si="33"/>
        <v>9.9732733567093899</v>
      </c>
      <c r="Q18" s="20">
        <f t="shared" si="2"/>
        <v>73.883717762935518</v>
      </c>
      <c r="R18" s="59">
        <f t="shared" si="0"/>
        <v>348.88371776293553</v>
      </c>
      <c r="S18" s="59">
        <f ca="1">AVERAGE(OFFSET($R$3,0,0,'Données projet'!$E$9+1,1))-AVERAGE(OFFSET($H$3,0,0,'Données projet'!$E$9+1,1))</f>
        <v>298.96480270023716</v>
      </c>
      <c r="T18" s="59">
        <f t="shared" si="34"/>
        <v>293.11447542333889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3.2427350427350423</v>
      </c>
      <c r="AI18" s="13">
        <f>IF('Données projet'!$A$62&gt;35,AI17+AH18-AQ17,IF(A18&lt;'Données projet'!$A$62,$AF$205^A18,IF(A18='Données projet'!$A$62,'Données projet'!$B$62,AI17+AH18-AQ17)))</f>
        <v>9.8631663922926531</v>
      </c>
      <c r="AJ18" s="13">
        <f>AI18*VLOOKUP('Données projet'!$B$10,Paramètres!$A$1:$I$89,3,0)*VLOOKUP('Données projet'!$B$10,Paramètres!$A$1:$I$89,5,0)</f>
        <v>8.4625967645870972</v>
      </c>
      <c r="AK18" s="13">
        <f t="shared" si="35"/>
        <v>3.0415452914625072</v>
      </c>
      <c r="AL18" s="20">
        <f t="shared" si="4"/>
        <v>20.036380747619727</v>
      </c>
      <c r="AM18" s="59">
        <f t="shared" si="5"/>
        <v>295.03638074761972</v>
      </c>
      <c r="AN18" s="59">
        <f ca="1">AVERAGE(OFFSET($AM$3,0,0,'Données projet'!$E$10+1,1))-AVERAGE(OFFSET($H$3,0,0,'Données projet'!$E$10+1,1))</f>
        <v>335.02113791949211</v>
      </c>
      <c r="AO18" s="59">
        <f t="shared" si="36"/>
        <v>222.06886429435099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168</v>
      </c>
      <c r="BB18" s="12">
        <f>VLOOKUP(A18,'Données projet'!$A$87:$I$107,9,0)</f>
        <v>24.333333333333332</v>
      </c>
      <c r="BC18" s="12">
        <f t="array" ref="BC18">INDEX(BB:BB,MIN(IF(ISNUMBER(BB18:BB214),ROW(BB18:BB214),"")))</f>
        <v>24.333333333333332</v>
      </c>
      <c r="BD18" s="12">
        <f>IF('Données projet'!$A$88&gt;35,BD17+BC18-BL17,IF(A18&lt;'Données projet'!$A$88,$BA$205^A18,IF(A18='Données projet'!$A$88,'Données projet'!$B$88,BD17+BC18-BL17)))</f>
        <v>168.00000000000003</v>
      </c>
      <c r="BE18" s="13">
        <f>BD18*VLOOKUP('Données projet'!$B$11,Paramètres!$A$1:$I$89,3,0)*VLOOKUP('Données projet'!$B$11,Paramètres!$A$1:$I$89,5,0)</f>
        <v>91.728000000000009</v>
      </c>
      <c r="BF18" s="13">
        <f t="shared" si="37"/>
        <v>24.981514582386563</v>
      </c>
      <c r="BG18" s="20">
        <f t="shared" si="7"/>
        <v>203.26907123098991</v>
      </c>
      <c r="BH18" s="59">
        <f t="shared" si="8"/>
        <v>478.26907123098988</v>
      </c>
      <c r="BI18" s="59">
        <f ca="1">AVERAGE(OFFSET($BH$3,0,0,'Données projet'!$E$11+1,1))-AVERAGE(OFFSET($H$3,0,0,'Données projet'!$E$11+1,1))</f>
        <v>207.02306964567629</v>
      </c>
      <c r="BJ18" s="59">
        <f t="shared" si="38"/>
        <v>342.06887933351783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47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0.48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22.131311444789212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22.131311444789212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47.657999999999994</v>
      </c>
      <c r="CA18" s="13">
        <f t="shared" si="39"/>
        <v>14.007249652087213</v>
      </c>
      <c r="CB18" s="20">
        <f t="shared" si="10"/>
        <v>107.40030981071855</v>
      </c>
      <c r="CC18" s="59">
        <f t="shared" si="11"/>
        <v>382.40030981071857</v>
      </c>
      <c r="CD18" s="59">
        <f ca="1">AVERAGE(OFFSET($CC$3,0,0,'Données projet'!$E$12+1,1))-AVERAGE(OFFSET($H$3,0,0,'Données projet'!$E$12+1,1))</f>
        <v>328.55201074501201</v>
      </c>
      <c r="CE18" s="59">
        <f t="shared" si="40"/>
        <v>321.81422611044985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73</v>
      </c>
      <c r="CR18" s="12">
        <f>VLOOKUP(A18,'Données projet'!$A$139:$I$159,9,0)</f>
        <v>8.8000000000000007</v>
      </c>
      <c r="CS18" s="12">
        <f t="array" ref="CS18">INDEX(CR:CR,MIN(IF(ISNUMBER(CR18:CR214),ROW(CR18:CR214),"")))</f>
        <v>8.8000000000000007</v>
      </c>
      <c r="CT18" s="12">
        <f>IF('Données projet'!$A$140&gt;35,CT17+CS18-DB17,IF(A18&lt;'Données projet'!$A$140,$CQ$205^A18,IF(A18='Données projet'!$A$140,'Données projet'!$B$140,CT17+CS18-DB17)))</f>
        <v>72.999999999999986</v>
      </c>
      <c r="CU18" s="17">
        <f>CT18*VLOOKUP('Données projet'!$B$13,Paramètres!$A$1:$I$89,3,0)*VLOOKUP('Données projet'!$B$13,Paramètres!$A$1:$I$89,5,0)</f>
        <v>63.772799999999997</v>
      </c>
      <c r="CV18" s="13">
        <f t="shared" si="41"/>
        <v>18.118739450759566</v>
      </c>
      <c r="CW18" s="20">
        <f t="shared" si="13"/>
        <v>142.62776454340624</v>
      </c>
      <c r="CX18" s="59">
        <f t="shared" si="14"/>
        <v>417.62776454340622</v>
      </c>
      <c r="CY18" s="59">
        <f ca="1">AVERAGE(OFFSET($CX$3,0,0,'Données projet'!$E$13+1,1))-AVERAGE(OFFSET($H$3,0,0,'Données projet'!$E$13+1,1))</f>
        <v>354.24684313982857</v>
      </c>
      <c r="CZ18" s="59">
        <f t="shared" si="42"/>
        <v>322.65043486962185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40</v>
      </c>
      <c r="DM18" s="12">
        <f>VLOOKUP(A18,'Données projet'!$A$165:$I$185,9,0)</f>
        <v>2.6666666666666665</v>
      </c>
      <c r="DN18" s="12">
        <f t="array" ref="DN18">INDEX(DM:DM,MIN(IF(ISNUMBER(DM18:DM214),ROW(DM18:DM214),"")))</f>
        <v>2.6666666666666665</v>
      </c>
      <c r="DO18" s="12">
        <f>IF('Données projet'!$A$166&gt;35,DO17+DN18-DW17,IF(A18&lt;'Données projet'!$A$166,$DL$205^A18,IF(A18='Données projet'!$A$166,'Données projet'!$B$166,DO17+DN18-DW17)))</f>
        <v>40</v>
      </c>
      <c r="DP18" s="17">
        <f>DO18*VLOOKUP('Données projet'!$B$14,Paramètres!$A$1:$I$89,3,0)*VLOOKUP('Données projet'!$B$14,Paramètres!$A$1:$I$89,5,0)</f>
        <v>31.200000000000003</v>
      </c>
      <c r="DQ18" s="13">
        <f t="shared" si="43"/>
        <v>9.6335657126419925</v>
      </c>
      <c r="DR18" s="20">
        <f t="shared" si="16"/>
        <v>71.118460282851473</v>
      </c>
      <c r="DS18" s="59">
        <f t="shared" si="17"/>
        <v>346.11846028285146</v>
      </c>
      <c r="DT18" s="59">
        <f ca="1">AVERAGE(OFFSET($DS$3,0,0,'Données projet'!$E$14+1,1))-AVERAGE(OFFSET($H$3,0,0,'Données projet'!$E$14+1,1))</f>
        <v>288.80569134263209</v>
      </c>
      <c r="DU18" s="59">
        <f t="shared" si="44"/>
        <v>283.48738729114024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10.16068376068376</v>
      </c>
      <c r="EJ18" s="12">
        <f>IF('Données projet'!$A$192&gt;35,EJ17+EI18-ER17,IF(A18&lt;'Données projet'!$A$192,$EG$205^A18,IF(A18='Données projet'!$A$192,'Données projet'!$B$192,EJ17+EI18-ER17)))</f>
        <v>76.764931457129379</v>
      </c>
      <c r="EK18" s="17">
        <f>EJ18*VLOOKUP('Données projet'!$B$15,Paramètres!$A$1:$I$89,3,0)*VLOOKUP('Données projet'!$B$15,Paramètres!$A$1:$I$89,5,0)</f>
        <v>42.911596684535326</v>
      </c>
      <c r="EL18" s="13">
        <f t="shared" si="45"/>
        <v>12.767181932785956</v>
      </c>
      <c r="EM18" s="20">
        <f t="shared" si="19"/>
        <v>96.97387275850123</v>
      </c>
      <c r="EN18" s="59">
        <f t="shared" si="20"/>
        <v>371.97387275850122</v>
      </c>
      <c r="EO18" s="59">
        <f ca="1">AVERAGE(OFFSET($EN$3,0,0,'Données projet'!$E$15+1,1))-AVERAGE(OFFSET($H$3,0,0,'Données projet'!$E$15+1,1))</f>
        <v>335.04906256888819</v>
      </c>
      <c r="EP18" s="59">
        <f t="shared" si="46"/>
        <v>440.84111898279554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9.6</v>
      </c>
      <c r="N19" s="13">
        <f>IF('Données projet'!$A$36&gt;35,N18+M19-V18,IF(A19&lt;'Données projet'!$A$36,$K$205^A19,IF(A19='Données projet'!$A$36,'Données projet'!$B$36,N18+M19-V18)))</f>
        <v>46.6</v>
      </c>
      <c r="O19" s="13">
        <f>N19*VLOOKUP('Données projet'!$B$9,Paramètres!$A$1:$I$89,3,0)*VLOOKUP('Données projet'!$B$9,Paramètres!$A$1:$I$89,5,0)</f>
        <v>37.801920000000003</v>
      </c>
      <c r="P19" s="13">
        <f t="shared" si="33"/>
        <v>11.414143030819638</v>
      </c>
      <c r="Q19" s="20">
        <f t="shared" si="2"/>
        <v>85.717976445344206</v>
      </c>
      <c r="R19" s="59">
        <f t="shared" si="0"/>
        <v>361.94019866756645</v>
      </c>
      <c r="S19" s="59">
        <f ca="1">AVERAGE(OFFSET($R$3,0,0,'Données projet'!$E$9+1,1))-AVERAGE(OFFSET($H$3,0,0,'Données projet'!$E$9+1,1))</f>
        <v>298.96480270023716</v>
      </c>
      <c r="T19" s="59">
        <f t="shared" si="34"/>
        <v>293.11447542333889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3.2427350427350423</v>
      </c>
      <c r="AI19" s="13">
        <f>IF('Données projet'!$A$62&gt;35,AI18+AH19-AQ18,IF(A19&lt;'Données projet'!$A$62,$AF$205^A19,IF(A19='Données projet'!$A$62,'Données projet'!$B$62,AI18+AH19-AQ18)))</f>
        <v>11.4890499365523</v>
      </c>
      <c r="AJ19" s="13">
        <f>AI19*VLOOKUP('Données projet'!$B$10,Paramètres!$A$1:$I$89,3,0)*VLOOKUP('Données projet'!$B$10,Paramètres!$A$1:$I$89,5,0)</f>
        <v>9.857604845561875</v>
      </c>
      <c r="AK19" s="13">
        <f t="shared" si="35"/>
        <v>3.4805548185487023</v>
      </c>
      <c r="AL19" s="20">
        <f t="shared" si="4"/>
        <v>23.230628081659251</v>
      </c>
      <c r="AM19" s="59">
        <f t="shared" si="5"/>
        <v>299.45285030388146</v>
      </c>
      <c r="AN19" s="59">
        <f ca="1">AVERAGE(OFFSET($AM$3,0,0,'Données projet'!$E$10+1,1))-AVERAGE(OFFSET($H$3,0,0,'Données projet'!$E$10+1,1))</f>
        <v>335.02113791949211</v>
      </c>
      <c r="AO19" s="59">
        <f t="shared" si="36"/>
        <v>222.06886429435099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21.333333333333332</v>
      </c>
      <c r="BD19" s="12">
        <f>IF('Données projet'!$A$88&gt;35,BD18+BC19-BL18,IF(A19&lt;'Données projet'!$A$88,$BA$205^A19,IF(A19='Données projet'!$A$88,'Données projet'!$B$88,BD18+BC19-BL18)))</f>
        <v>142.33333333333337</v>
      </c>
      <c r="BE19" s="13">
        <f>BD19*VLOOKUP('Données projet'!$B$11,Paramètres!$A$1:$I$89,3,0)*VLOOKUP('Données projet'!$B$11,Paramètres!$A$1:$I$89,5,0)</f>
        <v>77.714000000000027</v>
      </c>
      <c r="BF19" s="13">
        <f t="shared" si="37"/>
        <v>21.577305655991772</v>
      </c>
      <c r="BG19" s="20">
        <f t="shared" si="7"/>
        <v>172.93235735085239</v>
      </c>
      <c r="BH19" s="59">
        <f t="shared" si="8"/>
        <v>449.15457957307461</v>
      </c>
      <c r="BI19" s="59">
        <f ca="1">AVERAGE(OFFSET($BH$3,0,0,'Données projet'!$E$11+1,1))-AVERAGE(OFFSET($H$3,0,0,'Données projet'!$E$11+1,1))</f>
        <v>207.02306964567629</v>
      </c>
      <c r="BJ19" s="59">
        <f t="shared" si="38"/>
        <v>342.06887933351783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21.526129569496362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21.526129569496362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34.313760000000002</v>
      </c>
      <c r="CA19" s="13">
        <f t="shared" si="39"/>
        <v>10.478324962562111</v>
      </c>
      <c r="CB19" s="20">
        <f t="shared" si="10"/>
        <v>78.012881309795674</v>
      </c>
      <c r="CC19" s="59">
        <f t="shared" si="11"/>
        <v>354.23510353201789</v>
      </c>
      <c r="CD19" s="59">
        <f ca="1">AVERAGE(OFFSET($CC$3,0,0,'Données projet'!$E$12+1,1))-AVERAGE(OFFSET($H$3,0,0,'Données projet'!$E$12+1,1))</f>
        <v>328.55201074501201</v>
      </c>
      <c r="CE19" s="59">
        <f t="shared" si="40"/>
        <v>321.81422611044985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11.2</v>
      </c>
      <c r="CT19" s="12">
        <f>IF('Données projet'!$A$140&gt;35,CT18+CS19-DB18,IF(A19&lt;'Données projet'!$A$140,$CQ$205^A19,IF(A19='Données projet'!$A$140,'Données projet'!$B$140,CT18+CS19-DB18)))</f>
        <v>84.199999999999989</v>
      </c>
      <c r="CU19" s="17">
        <f>CT19*VLOOKUP('Données projet'!$B$13,Paramètres!$A$1:$I$89,3,0)*VLOOKUP('Données projet'!$B$13,Paramètres!$A$1:$I$89,5,0)</f>
        <v>73.557119999999998</v>
      </c>
      <c r="CV19" s="13">
        <f t="shared" si="41"/>
        <v>20.554251427792224</v>
      </c>
      <c r="CW19" s="20">
        <f t="shared" si="13"/>
        <v>163.91063857007143</v>
      </c>
      <c r="CX19" s="59">
        <f t="shared" si="14"/>
        <v>440.13286079229363</v>
      </c>
      <c r="CY19" s="59">
        <f ca="1">AVERAGE(OFFSET($CX$3,0,0,'Données projet'!$E$13+1,1))-AVERAGE(OFFSET($H$3,0,0,'Données projet'!$E$13+1,1))</f>
        <v>354.24684313982857</v>
      </c>
      <c r="CZ19" s="59">
        <f t="shared" si="42"/>
        <v>322.65043486962185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46.6</v>
      </c>
      <c r="DP19" s="17">
        <f>DO19*VLOOKUP('Données projet'!$B$14,Paramètres!$A$1:$I$89,3,0)*VLOOKUP('Données projet'!$B$14,Paramètres!$A$1:$I$89,5,0)</f>
        <v>36.347999999999999</v>
      </c>
      <c r="DQ19" s="13">
        <f t="shared" si="43"/>
        <v>11.025356771848859</v>
      </c>
      <c r="DR19" s="20">
        <f t="shared" si="16"/>
        <v>82.508596377636763</v>
      </c>
      <c r="DS19" s="59">
        <f t="shared" si="17"/>
        <v>358.73081859985899</v>
      </c>
      <c r="DT19" s="59">
        <f ca="1">AVERAGE(OFFSET($DS$3,0,0,'Données projet'!$E$14+1,1))-AVERAGE(OFFSET($H$3,0,0,'Données projet'!$E$14+1,1))</f>
        <v>288.80569134263209</v>
      </c>
      <c r="DU19" s="59">
        <f t="shared" si="44"/>
        <v>283.48738729114024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10.16068376068376</v>
      </c>
      <c r="EJ19" s="12">
        <f>IF('Données projet'!$A$192&gt;35,EJ18+EI19-ER18,IF(A19&lt;'Données projet'!$A$192,$EG$205^A19,IF(A19='Données projet'!$A$192,'Données projet'!$B$192,EJ18+EI19-ER18)))</f>
        <v>102.52750545673157</v>
      </c>
      <c r="EK19" s="17">
        <f>EJ19*VLOOKUP('Données projet'!$B$15,Paramètres!$A$1:$I$89,3,0)*VLOOKUP('Données projet'!$B$15,Paramètres!$A$1:$I$89,5,0)</f>
        <v>57.312875550312953</v>
      </c>
      <c r="EL19" s="13">
        <f t="shared" si="45"/>
        <v>16.487078574959277</v>
      </c>
      <c r="EM19" s="20">
        <f t="shared" si="19"/>
        <v>128.53492010151578</v>
      </c>
      <c r="EN19" s="59">
        <f t="shared" si="20"/>
        <v>404.75714232373798</v>
      </c>
      <c r="EO19" s="59">
        <f ca="1">AVERAGE(OFFSET($EN$3,0,0,'Données projet'!$E$15+1,1))-AVERAGE(OFFSET($H$3,0,0,'Données projet'!$E$15+1,1))</f>
        <v>335.04906256888819</v>
      </c>
      <c r="EP19" s="59">
        <f t="shared" si="46"/>
        <v>440.84111898279554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9.6</v>
      </c>
      <c r="N20" s="13">
        <f>IF('Données projet'!$A$36&gt;35,N19+M20-V19,IF(A20&lt;'Données projet'!$A$36,$K$205^A20,IF(A20='Données projet'!$A$36,'Données projet'!$B$36,N19+M20-V19)))</f>
        <v>56.2</v>
      </c>
      <c r="O20" s="13">
        <f>N20*VLOOKUP('Données projet'!$B$9,Paramètres!$A$1:$I$89,3,0)*VLOOKUP('Données projet'!$B$9,Paramètres!$A$1:$I$89,5,0)</f>
        <v>45.58944000000001</v>
      </c>
      <c r="P20" s="13">
        <f t="shared" si="33"/>
        <v>13.468664125659778</v>
      </c>
      <c r="Q20" s="20">
        <f t="shared" si="2"/>
        <v>102.8595313521908</v>
      </c>
      <c r="R20" s="59">
        <f t="shared" si="0"/>
        <v>380.30397579663526</v>
      </c>
      <c r="S20" s="59">
        <f ca="1">AVERAGE(OFFSET($R$3,0,0,'Données projet'!$E$9+1,1))-AVERAGE(OFFSET($H$3,0,0,'Données projet'!$E$9+1,1))</f>
        <v>298.96480270023716</v>
      </c>
      <c r="T20" s="59">
        <f t="shared" si="34"/>
        <v>293.11447542333889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3.2427350427350423</v>
      </c>
      <c r="AI20" s="13">
        <f>IF('Données projet'!$A$62&gt;35,AI19+AH20-AQ19,IF(A20&lt;'Données projet'!$A$62,$AF$205^A20,IF(A20='Données projet'!$A$62,'Données projet'!$B$62,AI19+AH20-AQ19)))</f>
        <v>13.382950585497515</v>
      </c>
      <c r="AJ20" s="13">
        <f>AI20*VLOOKUP('Données projet'!$B$10,Paramètres!$A$1:$I$89,3,0)*VLOOKUP('Données projet'!$B$10,Paramètres!$A$1:$I$89,5,0)</f>
        <v>11.482571602356868</v>
      </c>
      <c r="AK20" s="13">
        <f t="shared" si="35"/>
        <v>3.9829299530494664</v>
      </c>
      <c r="AL20" s="20">
        <f t="shared" si="4"/>
        <v>26.935748542332693</v>
      </c>
      <c r="AM20" s="59">
        <f t="shared" si="5"/>
        <v>304.38019298677716</v>
      </c>
      <c r="AN20" s="59">
        <f ca="1">AVERAGE(OFFSET($AM$3,0,0,'Données projet'!$E$10+1,1))-AVERAGE(OFFSET($H$3,0,0,'Données projet'!$E$10+1,1))</f>
        <v>335.02113791949211</v>
      </c>
      <c r="AO20" s="59">
        <f t="shared" si="36"/>
        <v>222.06886429435099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21.333333333333332</v>
      </c>
      <c r="BD20" s="12">
        <f>IF('Données projet'!$A$88&gt;35,BD19+BC20-BL19,IF(A20&lt;'Données projet'!$A$88,$BA$205^A20,IF(A20='Données projet'!$A$88,'Données projet'!$B$88,BD19+BC20-BL19)))</f>
        <v>163.66666666666671</v>
      </c>
      <c r="BE20" s="13">
        <f>BD20*VLOOKUP('Données projet'!$B$11,Paramètres!$A$1:$I$89,3,0)*VLOOKUP('Données projet'!$B$11,Paramètres!$A$1:$I$89,5,0)</f>
        <v>89.362000000000037</v>
      </c>
      <c r="BF20" s="13">
        <f t="shared" si="37"/>
        <v>24.411291106060958</v>
      </c>
      <c r="BG20" s="20">
        <f t="shared" si="7"/>
        <v>198.15514867638956</v>
      </c>
      <c r="BH20" s="59">
        <f t="shared" si="8"/>
        <v>475.59959312083402</v>
      </c>
      <c r="BI20" s="59">
        <f ca="1">AVERAGE(OFFSET($BH$3,0,0,'Données projet'!$E$11+1,1))-AVERAGE(OFFSET($H$3,0,0,'Données projet'!$E$11+1,1))</f>
        <v>207.02306964567629</v>
      </c>
      <c r="BJ20" s="59">
        <f t="shared" si="38"/>
        <v>342.06887933351783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20.937496424408529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20.937496424408529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44.431919999999998</v>
      </c>
      <c r="CA20" s="13">
        <f t="shared" si="39"/>
        <v>13.166048117528</v>
      </c>
      <c r="CB20" s="20">
        <f t="shared" si="10"/>
        <v>100.31646113802792</v>
      </c>
      <c r="CC20" s="59">
        <f t="shared" si="11"/>
        <v>377.76090558247239</v>
      </c>
      <c r="CD20" s="59">
        <f ca="1">AVERAGE(OFFSET($CC$3,0,0,'Données projet'!$E$12+1,1))-AVERAGE(OFFSET($H$3,0,0,'Données projet'!$E$12+1,1))</f>
        <v>328.55201074501201</v>
      </c>
      <c r="CE20" s="59">
        <f t="shared" si="40"/>
        <v>321.81422611044985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11.2</v>
      </c>
      <c r="CT20" s="12">
        <f>IF('Données projet'!$A$140&gt;35,CT19+CS20-DB19,IF(A20&lt;'Données projet'!$A$140,$CQ$205^A20,IF(A20='Données projet'!$A$140,'Données projet'!$B$140,CT19+CS20-DB19)))</f>
        <v>95.399999999999991</v>
      </c>
      <c r="CU20" s="17">
        <f>CT20*VLOOKUP('Données projet'!$B$13,Paramètres!$A$1:$I$89,3,0)*VLOOKUP('Données projet'!$B$13,Paramètres!$A$1:$I$89,5,0)</f>
        <v>83.341440000000006</v>
      </c>
      <c r="CV20" s="13">
        <f t="shared" si="41"/>
        <v>22.952227742446681</v>
      </c>
      <c r="CW20" s="20">
        <f t="shared" si="13"/>
        <v>185.12813798476131</v>
      </c>
      <c r="CX20" s="59">
        <f t="shared" si="14"/>
        <v>462.5725824292058</v>
      </c>
      <c r="CY20" s="59">
        <f ca="1">AVERAGE(OFFSET($CX$3,0,0,'Données projet'!$E$13+1,1))-AVERAGE(OFFSET($H$3,0,0,'Données projet'!$E$13+1,1))</f>
        <v>354.24684313982857</v>
      </c>
      <c r="CZ20" s="59">
        <f t="shared" si="42"/>
        <v>322.65043486962185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56.2</v>
      </c>
      <c r="DP20" s="17">
        <f>DO20*VLOOKUP('Données projet'!$B$14,Paramètres!$A$1:$I$89,3,0)*VLOOKUP('Données projet'!$B$14,Paramètres!$A$1:$I$89,5,0)</f>
        <v>43.836000000000006</v>
      </c>
      <c r="DQ20" s="13">
        <f t="shared" si="43"/>
        <v>13.009897179721728</v>
      </c>
      <c r="DR20" s="20">
        <f t="shared" si="16"/>
        <v>99.006604254682017</v>
      </c>
      <c r="DS20" s="59">
        <f t="shared" si="17"/>
        <v>376.45104869912649</v>
      </c>
      <c r="DT20" s="59">
        <f ca="1">AVERAGE(OFFSET($DS$3,0,0,'Données projet'!$E$14+1,1))-AVERAGE(OFFSET($H$3,0,0,'Données projet'!$E$14+1,1))</f>
        <v>288.80569134263209</v>
      </c>
      <c r="DU20" s="59">
        <f t="shared" si="44"/>
        <v>283.48738729114024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10.16068376068376</v>
      </c>
      <c r="EJ20" s="12">
        <f>IF('Données projet'!$A$192&gt;35,EJ19+EI20-ER19,IF(A20&lt;'Données projet'!$A$192,$EG$205^A20,IF(A20='Données projet'!$A$192,'Données projet'!$B$192,EJ19+EI20-ER19)))</f>
        <v>136.93608755517039</v>
      </c>
      <c r="EK20" s="17">
        <f>EJ20*VLOOKUP('Données projet'!$B$15,Paramètres!$A$1:$I$89,3,0)*VLOOKUP('Données projet'!$B$15,Paramètres!$A$1:$I$89,5,0)</f>
        <v>76.547272943340246</v>
      </c>
      <c r="EL20" s="13">
        <f t="shared" si="45"/>
        <v>21.290819020824138</v>
      </c>
      <c r="EM20" s="20">
        <f t="shared" si="19"/>
        <v>170.40134350425296</v>
      </c>
      <c r="EN20" s="59">
        <f t="shared" si="20"/>
        <v>447.84578794869742</v>
      </c>
      <c r="EO20" s="59">
        <f ca="1">AVERAGE(OFFSET($EN$3,0,0,'Données projet'!$E$15+1,1))-AVERAGE(OFFSET($H$3,0,0,'Données projet'!$E$15+1,1))</f>
        <v>335.04906256888819</v>
      </c>
      <c r="EP20" s="59">
        <f t="shared" si="46"/>
        <v>440.84111898279554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9.6</v>
      </c>
      <c r="N21" s="13">
        <f>IF('Données projet'!$A$36&gt;35,N20+M21-V20,IF(A21&lt;'Données projet'!$A$36,$K$205^A21,IF(A21='Données projet'!$A$36,'Données projet'!$B$36,N20+M21-V20)))</f>
        <v>65.8</v>
      </c>
      <c r="O21" s="13">
        <f>N21*VLOOKUP('Données projet'!$B$9,Paramètres!$A$1:$I$89,3,0)*VLOOKUP('Données projet'!$B$9,Paramètres!$A$1:$I$89,5,0)</f>
        <v>53.376960000000004</v>
      </c>
      <c r="P21" s="13">
        <f t="shared" si="33"/>
        <v>15.48252942274674</v>
      </c>
      <c r="Q21" s="20">
        <f t="shared" si="2"/>
        <v>119.9302774112839</v>
      </c>
      <c r="R21" s="59">
        <f t="shared" si="0"/>
        <v>398.59694407795058</v>
      </c>
      <c r="S21" s="59">
        <f ca="1">AVERAGE(OFFSET($R$3,0,0,'Données projet'!$E$9+1,1))-AVERAGE(OFFSET($H$3,0,0,'Données projet'!$E$9+1,1))</f>
        <v>298.96480270023716</v>
      </c>
      <c r="T21" s="59">
        <f t="shared" si="34"/>
        <v>293.11447542333889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3.2427350427350423</v>
      </c>
      <c r="AI21" s="13">
        <f>IF('Données projet'!$A$62&gt;35,AI20+AH21-AQ20,IF(A21&lt;'Données projet'!$A$62,$AF$205^A21,IF(A21='Données projet'!$A$62,'Données projet'!$B$62,AI20+AH21-AQ20)))</f>
        <v>15.589049343762767</v>
      </c>
      <c r="AJ21" s="13">
        <f>AI21*VLOOKUP('Données projet'!$B$10,Paramètres!$A$1:$I$89,3,0)*VLOOKUP('Données projet'!$B$10,Paramètres!$A$1:$I$89,5,0)</f>
        <v>13.375404336948456</v>
      </c>
      <c r="AK21" s="13">
        <f t="shared" si="35"/>
        <v>4.5578167383995902</v>
      </c>
      <c r="AL21" s="20">
        <f t="shared" si="4"/>
        <v>31.233693372897847</v>
      </c>
      <c r="AM21" s="59">
        <f t="shared" si="5"/>
        <v>309.90036003956453</v>
      </c>
      <c r="AN21" s="59">
        <f ca="1">AVERAGE(OFFSET($AM$3,0,0,'Données projet'!$E$10+1,1))-AVERAGE(OFFSET($H$3,0,0,'Données projet'!$E$10+1,1))</f>
        <v>335.02113791949211</v>
      </c>
      <c r="AO21" s="59">
        <f t="shared" si="36"/>
        <v>222.06886429435099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185</v>
      </c>
      <c r="BB21" s="12">
        <f>VLOOKUP(A21,'Données projet'!$A$87:$I$107,9,0)</f>
        <v>21.333333333333332</v>
      </c>
      <c r="BC21" s="12">
        <f t="array" ref="BC21">INDEX(BB:BB,MIN(IF(ISNUMBER(BB21:BB217),ROW(BB21:BB217),"")))</f>
        <v>21.333333333333332</v>
      </c>
      <c r="BD21" s="12">
        <f>IF('Données projet'!$A$88&gt;35,BD20+BC21-BL20,IF(A21&lt;'Données projet'!$A$88,$BA$205^A21,IF(A21='Données projet'!$A$88,'Données projet'!$B$88,BD20+BC21-BL20)))</f>
        <v>185.00000000000006</v>
      </c>
      <c r="BE21" s="13">
        <f>BD21*VLOOKUP('Données projet'!$B$11,Paramètres!$A$1:$I$89,3,0)*VLOOKUP('Données projet'!$B$11,Paramètres!$A$1:$I$89,5,0)</f>
        <v>101.01000000000002</v>
      </c>
      <c r="BF21" s="13">
        <f t="shared" si="37"/>
        <v>27.202475209169602</v>
      </c>
      <c r="BG21" s="20">
        <f t="shared" si="7"/>
        <v>223.30339432263705</v>
      </c>
      <c r="BH21" s="59">
        <f t="shared" si="8"/>
        <v>501.97006098930376</v>
      </c>
      <c r="BI21" s="59">
        <f ca="1">AVERAGE(OFFSET($BH$3,0,0,'Données projet'!$E$11+1,1))-AVERAGE(OFFSET($H$3,0,0,'Données projet'!$E$11+1,1))</f>
        <v>207.02306964567629</v>
      </c>
      <c r="BJ21" s="59">
        <f t="shared" si="38"/>
        <v>342.06887933351783</v>
      </c>
      <c r="BK21" s="15">
        <f>IF(ISNA(VLOOKUP(A21,'Données projet'!$A$87:$I$107,3,0)),0,VLOOKUP(A21,'Données projet'!$A$87:$I$107,3,0))</f>
        <v>3</v>
      </c>
      <c r="BL21" s="15">
        <f>IF(ISNA(VLOOKUP(A21,'Données projet'!$A$87:$I$107,4,0)),0,VLOOKUP(A21,'Données projet'!$A$87:$I$107,4,0))</f>
        <v>61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0.48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41.489083737706416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41.489083737706416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54.550079999999994</v>
      </c>
      <c r="CA21" s="13">
        <f t="shared" si="39"/>
        <v>15.782815260920117</v>
      </c>
      <c r="CB21" s="20">
        <f t="shared" si="10"/>
        <v>122.49645924610253</v>
      </c>
      <c r="CC21" s="59">
        <f t="shared" si="11"/>
        <v>401.1631259127692</v>
      </c>
      <c r="CD21" s="59">
        <f ca="1">AVERAGE(OFFSET($CC$3,0,0,'Données projet'!$E$12+1,1))-AVERAGE(OFFSET($H$3,0,0,'Données projet'!$E$12+1,1))</f>
        <v>328.55201074501201</v>
      </c>
      <c r="CE21" s="59">
        <f t="shared" si="40"/>
        <v>321.81422611044985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11.2</v>
      </c>
      <c r="CT21" s="12">
        <f>IF('Données projet'!$A$140&gt;35,CT20+CS21-DB20,IF(A21&lt;'Données projet'!$A$140,$CQ$205^A21,IF(A21='Données projet'!$A$140,'Données projet'!$B$140,CT20+CS21-DB20)))</f>
        <v>106.6</v>
      </c>
      <c r="CU21" s="17">
        <f>CT21*VLOOKUP('Données projet'!$B$13,Paramètres!$A$1:$I$89,3,0)*VLOOKUP('Données projet'!$B$13,Paramètres!$A$1:$I$89,5,0)</f>
        <v>93.125760000000014</v>
      </c>
      <c r="CV21" s="13">
        <f t="shared" si="41"/>
        <v>25.317578585717406</v>
      </c>
      <c r="CW21" s="20">
        <f t="shared" si="13"/>
        <v>206.2888147034578</v>
      </c>
      <c r="CX21" s="59">
        <f t="shared" si="14"/>
        <v>484.95548137012452</v>
      </c>
      <c r="CY21" s="59">
        <f ca="1">AVERAGE(OFFSET($CX$3,0,0,'Données projet'!$E$13+1,1))-AVERAGE(OFFSET($H$3,0,0,'Données projet'!$E$13+1,1))</f>
        <v>354.24684313982857</v>
      </c>
      <c r="CZ21" s="59">
        <f t="shared" si="42"/>
        <v>322.65043486962185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65.8</v>
      </c>
      <c r="DP21" s="17">
        <f>DO21*VLOOKUP('Données projet'!$B$14,Paramètres!$A$1:$I$89,3,0)*VLOOKUP('Données projet'!$B$14,Paramètres!$A$1:$I$89,5,0)</f>
        <v>51.323999999999998</v>
      </c>
      <c r="DQ21" s="13">
        <f t="shared" si="43"/>
        <v>14.95516659950003</v>
      </c>
      <c r="DR21" s="20">
        <f t="shared" si="16"/>
        <v>115.43621516079588</v>
      </c>
      <c r="DS21" s="59">
        <f t="shared" si="17"/>
        <v>394.10288182746257</v>
      </c>
      <c r="DT21" s="59">
        <f ca="1">AVERAGE(OFFSET($DS$3,0,0,'Données projet'!$E$14+1,1))-AVERAGE(OFFSET($H$3,0,0,'Données projet'!$E$14+1,1))</f>
        <v>288.80569134263209</v>
      </c>
      <c r="DU21" s="59">
        <f t="shared" si="44"/>
        <v>283.48738729114024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>
        <f>VLOOKUP(A21,'Données projet'!$A$191:$I$211,2,0)</f>
        <v>182.89230769230767</v>
      </c>
      <c r="EH21" s="12">
        <f>VLOOKUP(A21,'Données projet'!$A$191:$I$211,9,0)</f>
        <v>10.16068376068376</v>
      </c>
      <c r="EI21" s="12">
        <f t="array" ref="EI21">INDEX(EH:EH,MIN(IF(ISNUMBER(EH21:EH217),ROW(EH21:EH217),"")))</f>
        <v>10.16068376068376</v>
      </c>
      <c r="EJ21" s="12">
        <f>IF('Données projet'!$A$192&gt;35,EJ20+EI21-ER20,IF(A21&lt;'Données projet'!$A$192,$EG$205^A21,IF(A21='Données projet'!$A$192,'Données projet'!$B$192,EJ20+EI21-ER20)))</f>
        <v>182.89230769230767</v>
      </c>
      <c r="EK21" s="17">
        <f>EJ21*VLOOKUP('Données projet'!$B$15,Paramètres!$A$1:$I$89,3,0)*VLOOKUP('Données projet'!$B$15,Paramètres!$A$1:$I$89,5,0)</f>
        <v>102.23679999999999</v>
      </c>
      <c r="EL21" s="13">
        <f t="shared" si="45"/>
        <v>27.494196289326943</v>
      </c>
      <c r="EM21" s="20">
        <f t="shared" si="19"/>
        <v>225.9481518705777</v>
      </c>
      <c r="EN21" s="59">
        <f t="shared" si="20"/>
        <v>504.61481853724439</v>
      </c>
      <c r="EO21" s="59">
        <f ca="1">AVERAGE(OFFSET($EN$3,0,0,'Données projet'!$E$15+1,1))-AVERAGE(OFFSET($H$3,0,0,'Données projet'!$E$15+1,1))</f>
        <v>335.04906256888819</v>
      </c>
      <c r="EP21" s="59">
        <f t="shared" si="46"/>
        <v>440.84111898279554</v>
      </c>
      <c r="EQ21" s="15">
        <f>IF(ISNA(VLOOKUP(A21,'Données projet'!$A$191:$I$211,3,0)),0,VLOOKUP(A21,'Données projet'!$A$191:$I$211,3,0))</f>
        <v>1</v>
      </c>
      <c r="ER21" s="15">
        <f>IF(ISNA(VLOOKUP(A21,'Données projet'!$A$191:$I$211,4,0)),0,VLOOKUP(A21,'Données projet'!$A$191:$I$211,4,0))</f>
        <v>69.284615384615378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0.30800000000000005</v>
      </c>
      <c r="EU21" s="16">
        <f>IF(ISNA(VLOOKUP(A21,'Données projet'!$A$191:$I$211,7,0)),0%,VLOOKUP(A21,'Données projet'!$A$191:$I$211,7,0))</f>
        <v>0.44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15.762109241455983</v>
      </c>
      <c r="EX21" s="21">
        <f>EXP(-LN(2)/2)*EX20+(1-EXP(-LN(2)/2))/(LN(2)/2)*ER21*EU21*VLOOKUP('Données projet'!$B$15,Paramètres!$A$1:$I$89,3,0)*0.475*44/12</f>
        <v>19.294646846829099</v>
      </c>
      <c r="EY21" s="22">
        <f t="shared" si="21"/>
        <v>35.056756088285084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9.6</v>
      </c>
      <c r="N22" s="13">
        <f>IF('Données projet'!$A$36&gt;35,N21+M22-V21,IF(A22&lt;'Données projet'!$A$36,$K$205^A22,IF(A22='Données projet'!$A$36,'Données projet'!$B$36,N21+M22-V21)))</f>
        <v>75.399999999999991</v>
      </c>
      <c r="O22" s="13">
        <f>N22*VLOOKUP('Données projet'!$B$9,Paramètres!$A$1:$I$89,3,0)*VLOOKUP('Données projet'!$B$9,Paramètres!$A$1:$I$89,5,0)</f>
        <v>61.164479999999998</v>
      </c>
      <c r="P22" s="13">
        <f t="shared" si="33"/>
        <v>17.462355912011439</v>
      </c>
      <c r="Q22" s="20">
        <f t="shared" si="2"/>
        <v>136.94173921341994</v>
      </c>
      <c r="R22" s="59">
        <f t="shared" si="0"/>
        <v>416.83062810230876</v>
      </c>
      <c r="S22" s="59">
        <f ca="1">AVERAGE(OFFSET($R$3,0,0,'Données projet'!$E$9+1,1))-AVERAGE(OFFSET($H$3,0,0,'Données projet'!$E$9+1,1))</f>
        <v>298.96480270023716</v>
      </c>
      <c r="T22" s="59">
        <f t="shared" si="34"/>
        <v>293.11447542333889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3.2427350427350423</v>
      </c>
      <c r="AI22" s="13">
        <f>IF('Données projet'!$A$62&gt;35,AI21+AH22-AQ21,IF(A22&lt;'Données projet'!$A$62,$AF$205^A22,IF(A22='Données projet'!$A$62,'Données projet'!$B$62,AI21+AH22-AQ21)))</f>
        <v>18.158810188361468</v>
      </c>
      <c r="AJ22" s="13">
        <f>AI22*VLOOKUP('Données projet'!$B$10,Paramètres!$A$1:$I$89,3,0)*VLOOKUP('Données projet'!$B$10,Paramètres!$A$1:$I$89,5,0)</f>
        <v>15.580259141614141</v>
      </c>
      <c r="AK22" s="13">
        <f t="shared" si="35"/>
        <v>5.2156813365322758</v>
      </c>
      <c r="AL22" s="20">
        <f t="shared" si="4"/>
        <v>36.219596332771673</v>
      </c>
      <c r="AM22" s="59">
        <f t="shared" si="5"/>
        <v>316.10848522166054</v>
      </c>
      <c r="AN22" s="59">
        <f ca="1">AVERAGE(OFFSET($AM$3,0,0,'Données projet'!$E$10+1,1))-AVERAGE(OFFSET($H$3,0,0,'Données projet'!$E$10+1,1))</f>
        <v>335.02113791949211</v>
      </c>
      <c r="AO22" s="59">
        <f t="shared" si="36"/>
        <v>222.06886429435099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19.166666666666668</v>
      </c>
      <c r="BD22" s="12">
        <f>IF('Données projet'!$A$88&gt;35,BD21+BC22-BL21,IF(A22&lt;'Données projet'!$A$88,$BA$205^A22,IF(A22='Données projet'!$A$88,'Données projet'!$B$88,BD21+BC22-BL21)))</f>
        <v>143.16666666666671</v>
      </c>
      <c r="BE22" s="13">
        <f>BD22*VLOOKUP('Données projet'!$B$11,Paramètres!$A$1:$I$89,3,0)*VLOOKUP('Données projet'!$B$11,Paramètres!$A$1:$I$89,5,0)</f>
        <v>78.169000000000025</v>
      </c>
      <c r="BF22" s="13">
        <f t="shared" si="37"/>
        <v>21.688893622970639</v>
      </c>
      <c r="BG22" s="20">
        <f t="shared" si="7"/>
        <v>173.9191647266739</v>
      </c>
      <c r="BH22" s="59">
        <f t="shared" si="8"/>
        <v>453.80805361556276</v>
      </c>
      <c r="BI22" s="59">
        <f ca="1">AVERAGE(OFFSET($BH$3,0,0,'Données projet'!$E$11+1,1))-AVERAGE(OFFSET($H$3,0,0,'Données projet'!$E$11+1,1))</f>
        <v>207.02306964567629</v>
      </c>
      <c r="BJ22" s="59">
        <f t="shared" si="38"/>
        <v>342.06887933351783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40.354562561082744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40.354562561082744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64.668239999999997</v>
      </c>
      <c r="CA22" s="13">
        <f t="shared" si="39"/>
        <v>18.34335069187722</v>
      </c>
      <c r="CB22" s="20">
        <f t="shared" si="10"/>
        <v>144.57852045501949</v>
      </c>
      <c r="CC22" s="59">
        <f t="shared" si="11"/>
        <v>424.46740934390834</v>
      </c>
      <c r="CD22" s="59">
        <f ca="1">AVERAGE(OFFSET($CC$3,0,0,'Données projet'!$E$12+1,1))-AVERAGE(OFFSET($H$3,0,0,'Données projet'!$E$12+1,1))</f>
        <v>328.55201074501201</v>
      </c>
      <c r="CE22" s="59">
        <f t="shared" si="40"/>
        <v>321.81422611044985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11.2</v>
      </c>
      <c r="CT22" s="12">
        <f>IF('Données projet'!$A$140&gt;35,CT21+CS22-DB21,IF(A22&lt;'Données projet'!$A$140,$CQ$205^A22,IF(A22='Données projet'!$A$140,'Données projet'!$B$140,CT21+CS22-DB21)))</f>
        <v>117.8</v>
      </c>
      <c r="CU22" s="17">
        <f>CT22*VLOOKUP('Données projet'!$B$13,Paramètres!$A$1:$I$89,3,0)*VLOOKUP('Données projet'!$B$13,Paramètres!$A$1:$I$89,5,0)</f>
        <v>102.91008000000001</v>
      </c>
      <c r="CV22" s="13">
        <f t="shared" si="41"/>
        <v>27.654122306790427</v>
      </c>
      <c r="CW22" s="20">
        <f t="shared" si="13"/>
        <v>227.39931901765999</v>
      </c>
      <c r="CX22" s="59">
        <f t="shared" si="14"/>
        <v>507.28820790654885</v>
      </c>
      <c r="CY22" s="59">
        <f ca="1">AVERAGE(OFFSET($CX$3,0,0,'Données projet'!$E$13+1,1))-AVERAGE(OFFSET($H$3,0,0,'Données projet'!$E$13+1,1))</f>
        <v>354.24684313982857</v>
      </c>
      <c r="CZ22" s="59">
        <f t="shared" si="42"/>
        <v>322.65043486962185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75.399999999999991</v>
      </c>
      <c r="DP22" s="17">
        <f>DO22*VLOOKUP('Données projet'!$B$14,Paramètres!$A$1:$I$89,3,0)*VLOOKUP('Données projet'!$B$14,Paramètres!$A$1:$I$89,5,0)</f>
        <v>58.811999999999998</v>
      </c>
      <c r="DQ22" s="13">
        <f t="shared" si="43"/>
        <v>16.86755663452599</v>
      </c>
      <c r="DR22" s="20">
        <f t="shared" si="16"/>
        <v>131.8085611384661</v>
      </c>
      <c r="DS22" s="59">
        <f t="shared" si="17"/>
        <v>411.69745002735499</v>
      </c>
      <c r="DT22" s="59">
        <f ca="1">AVERAGE(OFFSET($DS$3,0,0,'Données projet'!$E$14+1,1))-AVERAGE(OFFSET($H$3,0,0,'Données projet'!$E$14+1,1))</f>
        <v>288.80569134263209</v>
      </c>
      <c r="DU22" s="59">
        <f t="shared" si="44"/>
        <v>283.48738729114024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20.658974358974358</v>
      </c>
      <c r="EJ22" s="12">
        <f>IF('Données projet'!$A$192&gt;35,EJ21+EI22-ER21,IF(A22&lt;'Données projet'!$A$192,$EG$205^A22,IF(A22='Données projet'!$A$192,'Données projet'!$B$192,EJ21+EI22-ER21)))</f>
        <v>134.26666666666665</v>
      </c>
      <c r="EK22" s="17">
        <f>EJ22*VLOOKUP('Données projet'!$B$15,Paramètres!$A$1:$I$89,3,0)*VLOOKUP('Données projet'!$B$15,Paramètres!$A$1:$I$89,5,0)</f>
        <v>75.055066666666661</v>
      </c>
      <c r="EL22" s="13">
        <f t="shared" si="45"/>
        <v>20.923669242672773</v>
      </c>
      <c r="EM22" s="20">
        <f t="shared" si="19"/>
        <v>167.1629650420995</v>
      </c>
      <c r="EN22" s="59">
        <f t="shared" si="20"/>
        <v>447.05185393098839</v>
      </c>
      <c r="EO22" s="59">
        <f ca="1">AVERAGE(OFFSET($EN$3,0,0,'Données projet'!$E$15+1,1))-AVERAGE(OFFSET($H$3,0,0,'Données projet'!$E$15+1,1))</f>
        <v>335.04906256888819</v>
      </c>
      <c r="EP22" s="59">
        <f t="shared" si="46"/>
        <v>440.84111898279554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15.33109353535507</v>
      </c>
      <c r="EX22" s="21">
        <f>EXP(-LN(2)/2)*EX21+(1-EXP(-LN(2)/2))/(LN(2)/2)*ER22*EU22*VLOOKUP('Données projet'!$B$15,Paramètres!$A$1:$I$89,3,0)*0.475*44/12</f>
        <v>13.643375625992494</v>
      </c>
      <c r="EY22" s="22">
        <f t="shared" si="21"/>
        <v>28.974469161347564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85</v>
      </c>
      <c r="L23" s="12">
        <f>VLOOKUP(A23,'Données projet'!$A$35:$I$55,9,0)</f>
        <v>9.6</v>
      </c>
      <c r="M23" s="12">
        <f t="array" ref="M23">INDEX(L:L,MIN(IF(ISNUMBER(L23:L219),ROW(L23:L219),"")))</f>
        <v>9.6</v>
      </c>
      <c r="N23" s="13">
        <f>IF('Données projet'!$A$36&gt;35,N22+M23-V22,IF(A23&lt;'Données projet'!$A$36,$K$205^A23,IF(A23='Données projet'!$A$36,'Données projet'!$B$36,N22+M23-V22)))</f>
        <v>84.999999999999986</v>
      </c>
      <c r="O23" s="13">
        <f>N23*VLOOKUP('Données projet'!$B$9,Paramètres!$A$1:$I$89,3,0)*VLOOKUP('Données projet'!$B$9,Paramètres!$A$1:$I$89,5,0)</f>
        <v>68.951999999999998</v>
      </c>
      <c r="P23" s="13">
        <f t="shared" si="33"/>
        <v>19.412974191553594</v>
      </c>
      <c r="Q23" s="20">
        <f t="shared" si="2"/>
        <v>153.90233005028915</v>
      </c>
      <c r="R23" s="59">
        <f t="shared" si="0"/>
        <v>435.01344116140029</v>
      </c>
      <c r="S23" s="59">
        <f ca="1">AVERAGE(OFFSET($R$3,0,0,'Données projet'!$E$9+1,1))-AVERAGE(OFFSET($H$3,0,0,'Données projet'!$E$9+1,1))</f>
        <v>298.96480270023716</v>
      </c>
      <c r="T23" s="59">
        <f t="shared" si="34"/>
        <v>293.11447542333889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0.26500000000000001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5.9176268585171217</v>
      </c>
      <c r="AB23" s="21">
        <f>EXP(-LN(2)/2)*AB22+(1-EXP(-LN(2)/2))/(LN(2)/2)*V23*Y23*VLOOKUP('Données projet'!$B$9,Paramètres!$A$1:$I$89,3,0)*0.475*44/12</f>
        <v>0</v>
      </c>
      <c r="AC23" s="22">
        <f t="shared" si="3"/>
        <v>5.9176268585171217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3.2427350427350423</v>
      </c>
      <c r="AI23" s="13">
        <f>IF('Données projet'!$A$62&gt;35,AI22+AH23-AQ22,IF(A23&lt;'Données projet'!$A$62,$AF$205^A23,IF(A23='Données projet'!$A$62,'Données projet'!$B$62,AI22+AH23-AQ22)))</f>
        <v>21.152180622795406</v>
      </c>
      <c r="AJ23" s="13">
        <f>AI23*VLOOKUP('Données projet'!$B$10,Paramètres!$A$1:$I$89,3,0)*VLOOKUP('Données projet'!$B$10,Paramètres!$A$1:$I$89,5,0)</f>
        <v>18.14857097435846</v>
      </c>
      <c r="AK23" s="13">
        <f t="shared" si="35"/>
        <v>5.9685005706927887</v>
      </c>
      <c r="AL23" s="20">
        <f t="shared" si="4"/>
        <v>42.00389960763092</v>
      </c>
      <c r="AM23" s="59">
        <f t="shared" si="5"/>
        <v>323.11501071874204</v>
      </c>
      <c r="AN23" s="59">
        <f ca="1">AVERAGE(OFFSET($AM$3,0,0,'Données projet'!$E$10+1,1))-AVERAGE(OFFSET($H$3,0,0,'Données projet'!$E$10+1,1))</f>
        <v>335.02113791949211</v>
      </c>
      <c r="AO23" s="59">
        <f t="shared" si="36"/>
        <v>222.06886429435099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19.166666666666668</v>
      </c>
      <c r="BD23" s="12">
        <f>IF('Données projet'!$A$88&gt;35,BD22+BC23-BL22,IF(A23&lt;'Données projet'!$A$88,$BA$205^A23,IF(A23='Données projet'!$A$88,'Données projet'!$B$88,BD22+BC23-BL22)))</f>
        <v>162.33333333333337</v>
      </c>
      <c r="BE23" s="13">
        <f>BD23*VLOOKUP('Données projet'!$B$11,Paramètres!$A$1:$I$89,3,0)*VLOOKUP('Données projet'!$B$11,Paramètres!$A$1:$I$89,5,0)</f>
        <v>88.634000000000015</v>
      </c>
      <c r="BF23" s="13">
        <f t="shared" si="37"/>
        <v>24.235486014796273</v>
      </c>
      <c r="BG23" s="20">
        <f t="shared" si="7"/>
        <v>196.58102147577017</v>
      </c>
      <c r="BH23" s="59">
        <f t="shared" si="8"/>
        <v>477.69213258688131</v>
      </c>
      <c r="BI23" s="59">
        <f ca="1">AVERAGE(OFFSET($BH$3,0,0,'Données projet'!$E$11+1,1))-AVERAGE(OFFSET($H$3,0,0,'Données projet'!$E$11+1,1))</f>
        <v>207.02306964567629</v>
      </c>
      <c r="BJ23" s="59">
        <f t="shared" si="38"/>
        <v>342.06887933351783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39.251064925695722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39.251064925695722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74.786399999999986</v>
      </c>
      <c r="CA23" s="13">
        <f t="shared" si="39"/>
        <v>20.857475351088951</v>
      </c>
      <c r="CB23" s="20">
        <f t="shared" si="10"/>
        <v>166.57974956981323</v>
      </c>
      <c r="CC23" s="59">
        <f t="shared" si="11"/>
        <v>447.6908606809244</v>
      </c>
      <c r="CD23" s="59">
        <f ca="1">AVERAGE(OFFSET($CC$3,0,0,'Données projet'!$E$12+1,1))-AVERAGE(OFFSET($H$3,0,0,'Données projet'!$E$12+1,1))</f>
        <v>328.55201074501201</v>
      </c>
      <c r="CE23" s="59">
        <f t="shared" si="40"/>
        <v>321.81422611044985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1.29E-2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0.36451379027913661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0.36451379027913661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129</v>
      </c>
      <c r="CR23" s="12">
        <f>VLOOKUP(A23,'Données projet'!$A$139:$I$159,9,0)</f>
        <v>11.2</v>
      </c>
      <c r="CS23" s="12">
        <f t="array" ref="CS23">INDEX(CR:CR,MIN(IF(ISNUMBER(CR23:CR219),ROW(CR23:CR219),"")))</f>
        <v>11.2</v>
      </c>
      <c r="CT23" s="12">
        <f>IF('Données projet'!$A$140&gt;35,CT22+CS23-DB22,IF(A23&lt;'Données projet'!$A$140,$CQ$205^A23,IF(A23='Données projet'!$A$140,'Données projet'!$B$140,CT22+CS23-DB22)))</f>
        <v>129</v>
      </c>
      <c r="CU23" s="17">
        <f>CT23*VLOOKUP('Données projet'!$B$13,Paramètres!$A$1:$I$89,3,0)*VLOOKUP('Données projet'!$B$13,Paramètres!$A$1:$I$89,5,0)</f>
        <v>112.69440000000002</v>
      </c>
      <c r="CV23" s="13">
        <f t="shared" si="41"/>
        <v>29.964909381330632</v>
      </c>
      <c r="CW23" s="20">
        <f t="shared" si="13"/>
        <v>248.46496383915087</v>
      </c>
      <c r="CX23" s="59">
        <f t="shared" si="14"/>
        <v>529.57607495026195</v>
      </c>
      <c r="CY23" s="59">
        <f ca="1">AVERAGE(OFFSET($CX$3,0,0,'Données projet'!$E$13+1,1))-AVERAGE(OFFSET($H$3,0,0,'Données projet'!$E$13+1,1))</f>
        <v>354.24684313982857</v>
      </c>
      <c r="CZ23" s="59">
        <f t="shared" si="42"/>
        <v>322.65043486962185</v>
      </c>
      <c r="DA23" s="15">
        <f>IF(ISNA(VLOOKUP(A23,'Données projet'!$A$139:$I$159,3,0)),0,VLOOKUP(A23,'Données projet'!$A$139:$I$159,3,0))</f>
        <v>1</v>
      </c>
      <c r="DB23" s="15" t="str">
        <f>IF(ISNA(VLOOKUP(A23,'Données projet'!$A$139:$I$159,4,0)),0,VLOOKUP(A23,'Données projet'!$A$139:$I$159,4,0))</f>
        <v>54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85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84.999999999999986</v>
      </c>
      <c r="DP23" s="17">
        <f>DO23*VLOOKUP('Données projet'!$B$14,Paramètres!$A$1:$I$89,3,0)*VLOOKUP('Données projet'!$B$14,Paramètres!$A$1:$I$89,5,0)</f>
        <v>66.3</v>
      </c>
      <c r="DQ23" s="13">
        <f t="shared" si="43"/>
        <v>18.751733344032118</v>
      </c>
      <c r="DR23" s="20">
        <f t="shared" si="16"/>
        <v>148.13176890752257</v>
      </c>
      <c r="DS23" s="59">
        <f t="shared" si="17"/>
        <v>429.24288001863374</v>
      </c>
      <c r="DT23" s="59">
        <f ca="1">AVERAGE(OFFSET($DS$3,0,0,'Données projet'!$E$14+1,1))-AVERAGE(OFFSET($H$3,0,0,'Données projet'!$E$14+1,1))</f>
        <v>288.80569134263209</v>
      </c>
      <c r="DU23" s="59">
        <f t="shared" si="44"/>
        <v>283.48738729114024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0.215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4.6164360471015273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4.6164360471015273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20.658974358974358</v>
      </c>
      <c r="EJ23" s="12">
        <f>IF('Données projet'!$A$192&gt;35,EJ22+EI23-ER22,IF(A23&lt;'Données projet'!$A$192,$EG$205^A23,IF(A23='Données projet'!$A$192,'Données projet'!$B$192,EJ22+EI23-ER22)))</f>
        <v>154.925641025641</v>
      </c>
      <c r="EK23" s="17">
        <f>EJ23*VLOOKUP('Données projet'!$B$15,Paramètres!$A$1:$I$89,3,0)*VLOOKUP('Données projet'!$B$15,Paramètres!$A$1:$I$89,5,0)</f>
        <v>86.603433333333314</v>
      </c>
      <c r="EL23" s="13">
        <f t="shared" si="45"/>
        <v>23.744229853900279</v>
      </c>
      <c r="EM23" s="20">
        <f t="shared" si="19"/>
        <v>192.18884671776516</v>
      </c>
      <c r="EN23" s="59">
        <f t="shared" si="20"/>
        <v>473.2999578288763</v>
      </c>
      <c r="EO23" s="59">
        <f ca="1">AVERAGE(OFFSET($EN$3,0,0,'Données projet'!$E$15+1,1))-AVERAGE(OFFSET($H$3,0,0,'Données projet'!$E$15+1,1))</f>
        <v>335.04906256888819</v>
      </c>
      <c r="EP23" s="59">
        <f t="shared" si="46"/>
        <v>440.84111898279554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14.911863976403616</v>
      </c>
      <c r="EX23" s="21">
        <f>EXP(-LN(2)/2)*EX22+(1-EXP(-LN(2)/2))/(LN(2)/2)*ER23*EU23*VLOOKUP('Données projet'!$B$15,Paramètres!$A$1:$I$89,3,0)*0.475*44/12</f>
        <v>9.6473234234145515</v>
      </c>
      <c r="EY23" s="22">
        <f t="shared" si="21"/>
        <v>24.559187399818168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70.59999999999998</v>
      </c>
      <c r="O24" s="13">
        <f>N24*VLOOKUP('Données projet'!$B$9,Paramètres!$A$1:$I$89,3,0)*VLOOKUP('Données projet'!$B$9,Paramètres!$A$1:$I$89,5,0)</f>
        <v>57.270719999999983</v>
      </c>
      <c r="P24" s="13">
        <f t="shared" si="33"/>
        <v>16.476362874249581</v>
      </c>
      <c r="Q24" s="20">
        <f t="shared" si="2"/>
        <v>128.44283600598467</v>
      </c>
      <c r="R24" s="59">
        <f t="shared" si="0"/>
        <v>410.77616933931802</v>
      </c>
      <c r="S24" s="59">
        <f ca="1">AVERAGE(OFFSET($R$3,0,0,'Données projet'!$E$9+1,1))-AVERAGE(OFFSET($H$3,0,0,'Données projet'!$E$9+1,1))</f>
        <v>298.96480270023716</v>
      </c>
      <c r="T24" s="59">
        <f t="shared" si="34"/>
        <v>293.11447542333889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5.7558090408764997</v>
      </c>
      <c r="AB24" s="21">
        <f>EXP(-LN(2)/2)*AB23+(1-EXP(-LN(2)/2))/(LN(2)/2)*V24*Y24*VLOOKUP('Données projet'!$B$9,Paramètres!$A$1:$I$89,3,0)*0.475*44/12</f>
        <v>0</v>
      </c>
      <c r="AC24" s="22">
        <f t="shared" si="3"/>
        <v>5.7558090408764997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3.2427350427350423</v>
      </c>
      <c r="AI24" s="13">
        <f>IF('Données projet'!$A$62&gt;35,AI23+AH24-AQ23,IF(A24&lt;'Données projet'!$A$62,$AF$205^A24,IF(A24='Données projet'!$A$62,'Données projet'!$B$62,AI23+AH24-AQ23)))</f>
        <v>24.638990135274565</v>
      </c>
      <c r="AJ24" s="13">
        <f>AI24*VLOOKUP('Données projet'!$B$10,Paramètres!$A$1:$I$89,3,0)*VLOOKUP('Données projet'!$B$10,Paramètres!$A$1:$I$89,5,0)</f>
        <v>21.140253536065579</v>
      </c>
      <c r="AK24" s="13">
        <f t="shared" si="35"/>
        <v>6.829979970755776</v>
      </c>
      <c r="AL24" s="20">
        <f t="shared" si="4"/>
        <v>48.714823357713861</v>
      </c>
      <c r="AM24" s="59">
        <f t="shared" si="5"/>
        <v>331.04815669104715</v>
      </c>
      <c r="AN24" s="59">
        <f ca="1">AVERAGE(OFFSET($AM$3,0,0,'Données projet'!$E$10+1,1))-AVERAGE(OFFSET($H$3,0,0,'Données projet'!$E$10+1,1))</f>
        <v>335.02113791949211</v>
      </c>
      <c r="AO24" s="59">
        <f t="shared" si="36"/>
        <v>222.06886429435099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19.166666666666668</v>
      </c>
      <c r="BD24" s="12">
        <f>IF('Données projet'!$A$88&gt;35,BD23+BC24-BL23,IF(A24&lt;'Données projet'!$A$88,$BA$205^A24,IF(A24='Données projet'!$A$88,'Données projet'!$B$88,BD23+BC24-BL23)))</f>
        <v>181.50000000000003</v>
      </c>
      <c r="BE24" s="13">
        <f>BD24*VLOOKUP('Données projet'!$B$11,Paramètres!$A$1:$I$89,3,0)*VLOOKUP('Données projet'!$B$11,Paramètres!$A$1:$I$89,5,0)</f>
        <v>99.099000000000004</v>
      </c>
      <c r="BF24" s="13">
        <f t="shared" si="37"/>
        <v>26.747233784597075</v>
      </c>
      <c r="BG24" s="20">
        <f t="shared" si="7"/>
        <v>219.18219050817322</v>
      </c>
      <c r="BH24" s="59">
        <f t="shared" si="8"/>
        <v>501.51552384150654</v>
      </c>
      <c r="BI24" s="59">
        <f ca="1">AVERAGE(OFFSET($BH$3,0,0,'Données projet'!$E$11+1,1))-AVERAGE(OFFSET($H$3,0,0,'Données projet'!$E$11+1,1))</f>
        <v>207.02306964567629</v>
      </c>
      <c r="BJ24" s="59">
        <f t="shared" si="38"/>
        <v>342.06887933351783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38.177742491178776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38.177742491178776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59.975759999999987</v>
      </c>
      <c r="CA24" s="13">
        <f t="shared" si="39"/>
        <v>17.162140235844557</v>
      </c>
      <c r="CB24" s="20">
        <f t="shared" si="10"/>
        <v>134.34850957742924</v>
      </c>
      <c r="CC24" s="59">
        <f t="shared" si="11"/>
        <v>416.68184291076255</v>
      </c>
      <c r="CD24" s="59">
        <f ca="1">AVERAGE(OFFSET($CC$3,0,0,'Données projet'!$E$12+1,1))-AVERAGE(OFFSET($H$3,0,0,'Données projet'!$E$12+1,1))</f>
        <v>328.55201074501201</v>
      </c>
      <c r="CE24" s="59">
        <f t="shared" si="40"/>
        <v>321.81422611044985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0.35454614151500652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0.35454614151500652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10.199999999999999</v>
      </c>
      <c r="CT24" s="12">
        <f>IF('Données projet'!$A$140&gt;35,CT23+CS24-DB23,IF(A24&lt;'Données projet'!$A$140,$CQ$205^A24,IF(A24='Données projet'!$A$140,'Données projet'!$B$140,CT23+CS24-DB23)))</f>
        <v>85.199999999999989</v>
      </c>
      <c r="CU24" s="17">
        <f>CT24*VLOOKUP('Données projet'!$B$13,Paramètres!$A$1:$I$89,3,0)*VLOOKUP('Données projet'!$B$13,Paramètres!$A$1:$I$89,5,0)</f>
        <v>74.430719999999994</v>
      </c>
      <c r="CV24" s="13">
        <f t="shared" si="41"/>
        <v>20.76980057385482</v>
      </c>
      <c r="CW24" s="20">
        <f t="shared" si="13"/>
        <v>165.80757333279712</v>
      </c>
      <c r="CX24" s="59">
        <f t="shared" si="14"/>
        <v>448.14090666613043</v>
      </c>
      <c r="CY24" s="59">
        <f ca="1">AVERAGE(OFFSET($CX$3,0,0,'Données projet'!$E$13+1,1))-AVERAGE(OFFSET($H$3,0,0,'Données projet'!$E$13+1,1))</f>
        <v>354.24684313982857</v>
      </c>
      <c r="CZ24" s="59">
        <f t="shared" si="42"/>
        <v>322.65043486962185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10.6</v>
      </c>
      <c r="DO24" s="12">
        <f>IF('Données projet'!$A$166&gt;35,DO23+DN24-DW23,IF(A24&lt;'Données projet'!$A$166,$DL$205^A24,IF(A24='Données projet'!$A$166,'Données projet'!$B$166,DO23+DN24-DW23)))</f>
        <v>70.59999999999998</v>
      </c>
      <c r="DP24" s="17">
        <f>DO24*VLOOKUP('Données projet'!$B$14,Paramètres!$A$1:$I$89,3,0)*VLOOKUP('Données projet'!$B$14,Paramètres!$A$1:$I$89,5,0)</f>
        <v>55.067999999999984</v>
      </c>
      <c r="DQ24" s="13">
        <f t="shared" si="43"/>
        <v>15.915148294580479</v>
      </c>
      <c r="DR24" s="20">
        <f t="shared" si="16"/>
        <v>123.62898327972762</v>
      </c>
      <c r="DS24" s="59">
        <f t="shared" si="17"/>
        <v>405.96231661306092</v>
      </c>
      <c r="DT24" s="59">
        <f ca="1">AVERAGE(OFFSET($DS$3,0,0,'Données projet'!$E$14+1,1))-AVERAGE(OFFSET($H$3,0,0,'Données projet'!$E$14+1,1))</f>
        <v>288.80569134263209</v>
      </c>
      <c r="DU24" s="59">
        <f t="shared" si="44"/>
        <v>283.48738729114024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4.4901993606257156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4.4901993606257156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20.658974358974358</v>
      </c>
      <c r="EJ24" s="12">
        <f>IF('Données projet'!$A$192&gt;35,EJ23+EI24-ER23,IF(A24&lt;'Données projet'!$A$192,$EG$205^A24,IF(A24='Données projet'!$A$192,'Données projet'!$B$192,EJ23+EI24-ER23)))</f>
        <v>175.58461538461535</v>
      </c>
      <c r="EK24" s="17">
        <f>EJ24*VLOOKUP('Données projet'!$B$15,Paramètres!$A$1:$I$89,3,0)*VLOOKUP('Données projet'!$B$15,Paramètres!$A$1:$I$89,5,0)</f>
        <v>98.15179999999998</v>
      </c>
      <c r="EL24" s="13">
        <f t="shared" si="45"/>
        <v>26.52121247620833</v>
      </c>
      <c r="EM24" s="20">
        <f t="shared" si="19"/>
        <v>217.13883006272945</v>
      </c>
      <c r="EN24" s="59">
        <f t="shared" si="20"/>
        <v>499.4721633960628</v>
      </c>
      <c r="EO24" s="59">
        <f ca="1">AVERAGE(OFFSET($EN$3,0,0,'Données projet'!$E$15+1,1))-AVERAGE(OFFSET($H$3,0,0,'Données projet'!$E$15+1,1))</f>
        <v>335.04906256888819</v>
      </c>
      <c r="EP24" s="59">
        <f t="shared" si="46"/>
        <v>440.84111898279554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14.504098271788013</v>
      </c>
      <c r="EX24" s="21">
        <f>EXP(-LN(2)/2)*EX23+(1-EXP(-LN(2)/2))/(LN(2)/2)*ER24*EU24*VLOOKUP('Données projet'!$B$15,Paramètres!$A$1:$I$89,3,0)*0.475*44/12</f>
        <v>6.8216878129962479</v>
      </c>
      <c r="EY24" s="22">
        <f t="shared" si="21"/>
        <v>21.325786084784262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81.199999999999974</v>
      </c>
      <c r="O25" s="13">
        <f>N25*VLOOKUP('Données projet'!$B$9,Paramètres!$A$1:$I$89,3,0)*VLOOKUP('Données projet'!$B$9,Paramètres!$A$1:$I$89,5,0)</f>
        <v>65.869439999999983</v>
      </c>
      <c r="P25" s="13">
        <f t="shared" si="33"/>
        <v>18.644091336301784</v>
      </c>
      <c r="Q25" s="20">
        <f t="shared" si="2"/>
        <v>147.19440041072556</v>
      </c>
      <c r="R25" s="59">
        <f t="shared" si="0"/>
        <v>430.74995596628111</v>
      </c>
      <c r="S25" s="59">
        <f ca="1">AVERAGE(OFFSET($R$3,0,0,'Données projet'!$E$9+1,1))-AVERAGE(OFFSET($H$3,0,0,'Données projet'!$E$9+1,1))</f>
        <v>298.96480270023716</v>
      </c>
      <c r="T25" s="59">
        <f t="shared" si="34"/>
        <v>293.11447542333889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5.5984161399688892</v>
      </c>
      <c r="AB25" s="21">
        <f>EXP(-LN(2)/2)*AB24+(1-EXP(-LN(2)/2))/(LN(2)/2)*V25*Y25*VLOOKUP('Données projet'!$B$9,Paramètres!$A$1:$I$89,3,0)*0.475*44/12</f>
        <v>0</v>
      </c>
      <c r="AC25" s="22">
        <f t="shared" si="3"/>
        <v>5.5984161399688892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3.2427350427350423</v>
      </c>
      <c r="AI25" s="13">
        <f>IF('Données projet'!$A$62&gt;35,AI24+AH25-AQ24,IF(A25&lt;'Données projet'!$A$62,$AF$205^A25,IF(A25='Données projet'!$A$62,'Données projet'!$B$62,AI24+AH25-AQ24)))</f>
        <v>28.700579184347358</v>
      </c>
      <c r="AJ25" s="13">
        <f>AI25*VLOOKUP('Données projet'!$B$10,Paramètres!$A$1:$I$89,3,0)*VLOOKUP('Données projet'!$B$10,Paramètres!$A$1:$I$89,5,0)</f>
        <v>24.625096940170035</v>
      </c>
      <c r="AK25" s="13">
        <f t="shared" si="35"/>
        <v>7.8158032906932196</v>
      </c>
      <c r="AL25" s="20">
        <f t="shared" si="4"/>
        <v>56.501234568753496</v>
      </c>
      <c r="AM25" s="59">
        <f t="shared" si="5"/>
        <v>340.05679012430903</v>
      </c>
      <c r="AN25" s="59">
        <f ca="1">AVERAGE(OFFSET($AM$3,0,0,'Données projet'!$E$10+1,1))-AVERAGE(OFFSET($H$3,0,0,'Données projet'!$E$10+1,1))</f>
        <v>335.02113791949211</v>
      </c>
      <c r="AO25" s="59">
        <f t="shared" si="36"/>
        <v>222.06886429435099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19.166666666666668</v>
      </c>
      <c r="BD25" s="12">
        <f>IF('Données projet'!$A$88&gt;35,BD24+BC25-BL24,IF(A25&lt;'Données projet'!$A$88,$BA$205^A25,IF(A25='Données projet'!$A$88,'Données projet'!$B$88,BD24+BC25-BL24)))</f>
        <v>200.66666666666669</v>
      </c>
      <c r="BE25" s="13">
        <f>BD25*VLOOKUP('Données projet'!$B$11,Paramètres!$A$1:$I$89,3,0)*VLOOKUP('Données projet'!$B$11,Paramètres!$A$1:$I$89,5,0)</f>
        <v>109.56400000000001</v>
      </c>
      <c r="BF25" s="13">
        <f t="shared" si="37"/>
        <v>29.228235839881371</v>
      </c>
      <c r="BG25" s="20">
        <f t="shared" si="7"/>
        <v>241.72981075446003</v>
      </c>
      <c r="BH25" s="59">
        <f t="shared" si="8"/>
        <v>525.28536631001555</v>
      </c>
      <c r="BI25" s="59">
        <f ca="1">AVERAGE(OFFSET($BH$3,0,0,'Données projet'!$E$11+1,1))-AVERAGE(OFFSET($H$3,0,0,'Données projet'!$E$11+1,1))</f>
        <v>207.02306964567629</v>
      </c>
      <c r="BJ25" s="59">
        <f t="shared" si="38"/>
        <v>342.06887933351783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37.133770115077269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37.133770115077269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70.827119999999979</v>
      </c>
      <c r="CA25" s="13">
        <f t="shared" si="39"/>
        <v>19.878719982140016</v>
      </c>
      <c r="CB25" s="20">
        <f t="shared" si="10"/>
        <v>157.97933796889382</v>
      </c>
      <c r="CC25" s="59">
        <f t="shared" si="11"/>
        <v>441.53489352444933</v>
      </c>
      <c r="CD25" s="59">
        <f ca="1">AVERAGE(OFFSET($CC$3,0,0,'Données projet'!$E$12+1,1))-AVERAGE(OFFSET($H$3,0,0,'Données projet'!$E$12+1,1))</f>
        <v>328.55201074501201</v>
      </c>
      <c r="CE25" s="59">
        <f t="shared" si="40"/>
        <v>321.81422611044985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0.34485105863050741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0.34485105863050741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10.199999999999999</v>
      </c>
      <c r="CT25" s="12">
        <f>IF('Données projet'!$A$140&gt;35,CT24+CS25-DB24,IF(A25&lt;'Données projet'!$A$140,$CQ$205^A25,IF(A25='Données projet'!$A$140,'Données projet'!$B$140,CT24+CS25-DB24)))</f>
        <v>95.399999999999991</v>
      </c>
      <c r="CU25" s="17">
        <f>CT25*VLOOKUP('Données projet'!$B$13,Paramètres!$A$1:$I$89,3,0)*VLOOKUP('Données projet'!$B$13,Paramètres!$A$1:$I$89,5,0)</f>
        <v>83.341440000000006</v>
      </c>
      <c r="CV25" s="13">
        <f t="shared" si="41"/>
        <v>22.952227742446681</v>
      </c>
      <c r="CW25" s="20">
        <f t="shared" si="13"/>
        <v>185.12813798476131</v>
      </c>
      <c r="CX25" s="59">
        <f t="shared" si="14"/>
        <v>468.68369354031688</v>
      </c>
      <c r="CY25" s="59">
        <f ca="1">AVERAGE(OFFSET($CX$3,0,0,'Données projet'!$E$13+1,1))-AVERAGE(OFFSET($H$3,0,0,'Données projet'!$E$13+1,1))</f>
        <v>354.24684313982857</v>
      </c>
      <c r="CZ25" s="59">
        <f t="shared" si="42"/>
        <v>322.65043486962185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10.6</v>
      </c>
      <c r="DO25" s="12">
        <f>IF('Données projet'!$A$166&gt;35,DO24+DN25-DW24,IF(A25&lt;'Données projet'!$A$166,$DL$205^A25,IF(A25='Données projet'!$A$166,'Données projet'!$B$166,DO24+DN25-DW24)))</f>
        <v>81.199999999999974</v>
      </c>
      <c r="DP25" s="17">
        <f>DO25*VLOOKUP('Données projet'!$B$14,Paramètres!$A$1:$I$89,3,0)*VLOOKUP('Données projet'!$B$14,Paramètres!$A$1:$I$89,5,0)</f>
        <v>63.335999999999984</v>
      </c>
      <c r="DQ25" s="13">
        <f t="shared" si="43"/>
        <v>18.009040022946227</v>
      </c>
      <c r="DR25" s="20">
        <f t="shared" si="16"/>
        <v>141.67594470663133</v>
      </c>
      <c r="DS25" s="59">
        <f t="shared" si="17"/>
        <v>425.23150026218684</v>
      </c>
      <c r="DT25" s="59">
        <f ca="1">AVERAGE(OFFSET($DS$3,0,0,'Données projet'!$E$14+1,1))-AVERAGE(OFFSET($H$3,0,0,'Données projet'!$E$14+1,1))</f>
        <v>288.80569134263209</v>
      </c>
      <c r="DU25" s="59">
        <f t="shared" si="44"/>
        <v>283.48738729114024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4.3674146229800836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4.3674146229800836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20.658974358974358</v>
      </c>
      <c r="EJ25" s="12">
        <f>IF('Données projet'!$A$192&gt;35,EJ24+EI25-ER24,IF(A25&lt;'Données projet'!$A$192,$EG$205^A25,IF(A25='Données projet'!$A$192,'Données projet'!$B$192,EJ24+EI25-ER24)))</f>
        <v>196.24358974358969</v>
      </c>
      <c r="EK25" s="17">
        <f>EJ25*VLOOKUP('Données projet'!$B$15,Paramètres!$A$1:$I$89,3,0)*VLOOKUP('Données projet'!$B$15,Paramètres!$A$1:$I$89,5,0)</f>
        <v>109.70016666666663</v>
      </c>
      <c r="EL25" s="13">
        <f t="shared" si="45"/>
        <v>29.260330282475415</v>
      </c>
      <c r="EM25" s="20">
        <f t="shared" si="19"/>
        <v>242.02286551975575</v>
      </c>
      <c r="EN25" s="59">
        <f t="shared" si="20"/>
        <v>525.57842107531133</v>
      </c>
      <c r="EO25" s="59">
        <f ca="1">AVERAGE(OFFSET($EN$3,0,0,'Données projet'!$E$15+1,1))-AVERAGE(OFFSET($H$3,0,0,'Données projet'!$E$15+1,1))</f>
        <v>335.04906256888819</v>
      </c>
      <c r="EP25" s="59">
        <f t="shared" si="46"/>
        <v>440.84111898279554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14.107482941808591</v>
      </c>
      <c r="EX25" s="21">
        <f>EXP(-LN(2)/2)*EX24+(1-EXP(-LN(2)/2))/(LN(2)/2)*ER25*EU25*VLOOKUP('Données projet'!$B$15,Paramètres!$A$1:$I$89,3,0)*0.475*44/12</f>
        <v>4.8236617117072758</v>
      </c>
      <c r="EY25" s="22">
        <f t="shared" si="21"/>
        <v>18.931144653515865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91.799999999999969</v>
      </c>
      <c r="O26" s="13">
        <f>N26*VLOOKUP('Données projet'!$B$9,Paramètres!$A$1:$I$89,3,0)*VLOOKUP('Données projet'!$B$9,Paramètres!$A$1:$I$89,5,0)</f>
        <v>74.468159999999969</v>
      </c>
      <c r="P26" s="13">
        <f t="shared" si="33"/>
        <v>20.779031790461993</v>
      </c>
      <c r="Q26" s="20">
        <f t="shared" si="2"/>
        <v>165.88885903505457</v>
      </c>
      <c r="R26" s="59">
        <f t="shared" si="0"/>
        <v>450.66663681283234</v>
      </c>
      <c r="S26" s="59">
        <f ca="1">AVERAGE(OFFSET($R$3,0,0,'Données projet'!$E$9+1,1))-AVERAGE(OFFSET($H$3,0,0,'Données projet'!$E$9+1,1))</f>
        <v>298.96480270023716</v>
      </c>
      <c r="T26" s="59">
        <f t="shared" si="34"/>
        <v>293.11447542333889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5.4453271562135308</v>
      </c>
      <c r="AB26" s="21">
        <f>EXP(-LN(2)/2)*AB25+(1-EXP(-LN(2)/2))/(LN(2)/2)*V26*Y26*VLOOKUP('Données projet'!$B$9,Paramètres!$A$1:$I$89,3,0)*0.475*44/12</f>
        <v>0</v>
      </c>
      <c r="AC26" s="22">
        <f t="shared" si="3"/>
        <v>5.4453271562135308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3.2427350427350423</v>
      </c>
      <c r="AI26" s="13">
        <f>IF('Données projet'!$A$62&gt;35,AI25+AH26-AQ25,IF(A26&lt;'Données projet'!$A$62,$AF$205^A26,IF(A26='Données projet'!$A$62,'Données projet'!$B$62,AI25+AH26-AQ25)))</f>
        <v>33.431696712995723</v>
      </c>
      <c r="AJ26" s="13">
        <f>AI26*VLOOKUP('Données projet'!$B$10,Paramètres!$A$1:$I$89,3,0)*VLOOKUP('Données projet'!$B$10,Paramètres!$A$1:$I$89,5,0)</f>
        <v>28.684395779750336</v>
      </c>
      <c r="AK26" s="13">
        <f t="shared" si="35"/>
        <v>8.9439180408096242</v>
      </c>
      <c r="AL26" s="20">
        <f t="shared" si="4"/>
        <v>65.535979904141939</v>
      </c>
      <c r="AM26" s="59">
        <f t="shared" si="5"/>
        <v>350.3137576819197</v>
      </c>
      <c r="AN26" s="59">
        <f ca="1">AVERAGE(OFFSET($AM$3,0,0,'Données projet'!$E$10+1,1))-AVERAGE(OFFSET($H$3,0,0,'Données projet'!$E$10+1,1))</f>
        <v>335.02113791949211</v>
      </c>
      <c r="AO26" s="59">
        <f t="shared" si="36"/>
        <v>222.06886429435099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19.166666666666668</v>
      </c>
      <c r="BD26" s="12">
        <f>IF('Données projet'!$A$88&gt;35,BD25+BC26-BL25,IF(A26&lt;'Données projet'!$A$88,$BA$205^A26,IF(A26='Données projet'!$A$88,'Données projet'!$B$88,BD25+BC26-BL25)))</f>
        <v>219.83333333333334</v>
      </c>
      <c r="BE26" s="13">
        <f>BD26*VLOOKUP('Données projet'!$B$11,Paramètres!$A$1:$I$89,3,0)*VLOOKUP('Données projet'!$B$11,Paramètres!$A$1:$I$89,5,0)</f>
        <v>120.029</v>
      </c>
      <c r="BF26" s="13">
        <f t="shared" si="37"/>
        <v>31.68176297276506</v>
      </c>
      <c r="BG26" s="20">
        <f t="shared" si="7"/>
        <v>264.22957884423249</v>
      </c>
      <c r="BH26" s="59">
        <f t="shared" si="8"/>
        <v>549.00735662201032</v>
      </c>
      <c r="BI26" s="59">
        <f ca="1">AVERAGE(OFFSET($BH$3,0,0,'Données projet'!$E$11+1,1))-AVERAGE(OFFSET($H$3,0,0,'Données projet'!$E$11+1,1))</f>
        <v>207.02306964567629</v>
      </c>
      <c r="BJ26" s="59">
        <f t="shared" si="38"/>
        <v>342.06887933351783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36.11834521850038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36.11834521850038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81.678479999999993</v>
      </c>
      <c r="CA26" s="13">
        <f t="shared" si="39"/>
        <v>22.547083950915322</v>
      </c>
      <c r="CB26" s="20">
        <f t="shared" si="10"/>
        <v>181.52619054784418</v>
      </c>
      <c r="CC26" s="59">
        <f t="shared" si="11"/>
        <v>466.30396832562195</v>
      </c>
      <c r="CD26" s="59">
        <f ca="1">AVERAGE(OFFSET($CC$3,0,0,'Données projet'!$E$12+1,1))-AVERAGE(OFFSET($H$3,0,0,'Données projet'!$E$12+1,1))</f>
        <v>328.55201074501201</v>
      </c>
      <c r="CE26" s="59">
        <f t="shared" si="40"/>
        <v>321.81422611044985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0.3354210882973272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0.3354210882973272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10.199999999999999</v>
      </c>
      <c r="CT26" s="12">
        <f>IF('Données projet'!$A$140&gt;35,CT25+CS26-DB25,IF(A26&lt;'Données projet'!$A$140,$CQ$205^A26,IF(A26='Données projet'!$A$140,'Données projet'!$B$140,CT25+CS26-DB25)))</f>
        <v>105.6</v>
      </c>
      <c r="CU26" s="17">
        <f>CT26*VLOOKUP('Données projet'!$B$13,Paramètres!$A$1:$I$89,3,0)*VLOOKUP('Données projet'!$B$13,Paramètres!$A$1:$I$89,5,0)</f>
        <v>92.252160000000003</v>
      </c>
      <c r="CV26" s="13">
        <f t="shared" si="41"/>
        <v>25.107607958259987</v>
      </c>
      <c r="CW26" s="20">
        <f t="shared" si="13"/>
        <v>204.40159586063612</v>
      </c>
      <c r="CX26" s="59">
        <f t="shared" si="14"/>
        <v>489.17937363841389</v>
      </c>
      <c r="CY26" s="59">
        <f ca="1">AVERAGE(OFFSET($CX$3,0,0,'Données projet'!$E$13+1,1))-AVERAGE(OFFSET($H$3,0,0,'Données projet'!$E$13+1,1))</f>
        <v>354.24684313982857</v>
      </c>
      <c r="CZ26" s="59">
        <f t="shared" si="42"/>
        <v>322.65043486962185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10.6</v>
      </c>
      <c r="DO26" s="12">
        <f>IF('Données projet'!$A$166&gt;35,DO25+DN26-DW25,IF(A26&lt;'Données projet'!$A$166,$DL$205^A26,IF(A26='Données projet'!$A$166,'Données projet'!$B$166,DO25+DN26-DW25)))</f>
        <v>91.799999999999969</v>
      </c>
      <c r="DP26" s="17">
        <f>DO26*VLOOKUP('Données projet'!$B$14,Paramètres!$A$1:$I$89,3,0)*VLOOKUP('Données projet'!$B$14,Paramètres!$A$1:$I$89,5,0)</f>
        <v>71.603999999999985</v>
      </c>
      <c r="DQ26" s="13">
        <f t="shared" si="43"/>
        <v>20.071260561992585</v>
      </c>
      <c r="DR26" s="20">
        <f t="shared" si="16"/>
        <v>159.66774547880371</v>
      </c>
      <c r="DS26" s="59">
        <f t="shared" si="17"/>
        <v>444.44552325658151</v>
      </c>
      <c r="DT26" s="59">
        <f ca="1">AVERAGE(OFFSET($DS$3,0,0,'Données projet'!$E$14+1,1))-AVERAGE(OFFSET($H$3,0,0,'Données projet'!$E$14+1,1))</f>
        <v>288.80569134263209</v>
      </c>
      <c r="DU26" s="59">
        <f t="shared" si="44"/>
        <v>283.48738729114024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4.2479874404423397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4.2479874404423397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20.658974358974358</v>
      </c>
      <c r="EJ26" s="12">
        <f>IF('Données projet'!$A$192&gt;35,EJ25+EI26-ER25,IF(A26&lt;'Données projet'!$A$192,$EG$205^A26,IF(A26='Données projet'!$A$192,'Données projet'!$B$192,EJ25+EI26-ER25)))</f>
        <v>216.90256410256404</v>
      </c>
      <c r="EK26" s="17">
        <f>EJ26*VLOOKUP('Données projet'!$B$15,Paramètres!$A$1:$I$89,3,0)*VLOOKUP('Données projet'!$B$15,Paramètres!$A$1:$I$89,5,0)</f>
        <v>121.2485333333333</v>
      </c>
      <c r="EL26" s="13">
        <f t="shared" si="45"/>
        <v>31.966023537079113</v>
      </c>
      <c r="EM26" s="20">
        <f t="shared" si="19"/>
        <v>266.84868654930165</v>
      </c>
      <c r="EN26" s="59">
        <f t="shared" si="20"/>
        <v>551.62646432707947</v>
      </c>
      <c r="EO26" s="59">
        <f ca="1">AVERAGE(OFFSET($EN$3,0,0,'Données projet'!$E$15+1,1))-AVERAGE(OFFSET($H$3,0,0,'Données projet'!$E$15+1,1))</f>
        <v>335.04906256888819</v>
      </c>
      <c r="EP26" s="59">
        <f t="shared" si="46"/>
        <v>440.84111898279554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13.72171307888455</v>
      </c>
      <c r="EX26" s="21">
        <f>EXP(-LN(2)/2)*EX25+(1-EXP(-LN(2)/2))/(LN(2)/2)*ER26*EU26*VLOOKUP('Données projet'!$B$15,Paramètres!$A$1:$I$89,3,0)*0.475*44/12</f>
        <v>3.410843906498124</v>
      </c>
      <c r="EY26" s="22">
        <f t="shared" si="21"/>
        <v>17.132556985382674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102.39999999999996</v>
      </c>
      <c r="O27" s="13">
        <f>N27*VLOOKUP('Données projet'!$B$9,Paramètres!$A$1:$I$89,3,0)*VLOOKUP('Données projet'!$B$9,Paramètres!$A$1:$I$89,5,0)</f>
        <v>83.066879999999983</v>
      </c>
      <c r="P27" s="13">
        <f t="shared" si="33"/>
        <v>22.88540255569357</v>
      </c>
      <c r="Q27" s="20">
        <f t="shared" si="2"/>
        <v>184.5335587844996</v>
      </c>
      <c r="R27" s="59">
        <f t="shared" si="0"/>
        <v>470.53355878449963</v>
      </c>
      <c r="S27" s="59">
        <f ca="1">AVERAGE(OFFSET($R$3,0,0,'Données projet'!$E$9+1,1))-AVERAGE(OFFSET($H$3,0,0,'Données projet'!$E$9+1,1))</f>
        <v>298.96480270023716</v>
      </c>
      <c r="T27" s="59">
        <f t="shared" si="34"/>
        <v>293.11447542333889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5.2964243987695623</v>
      </c>
      <c r="AB27" s="21">
        <f>EXP(-LN(2)/2)*AB26+(1-EXP(-LN(2)/2))/(LN(2)/2)*V27*Y27*VLOOKUP('Données projet'!$B$9,Paramètres!$A$1:$I$89,3,0)*0.475*44/12</f>
        <v>0</v>
      </c>
      <c r="AC27" s="22">
        <f t="shared" si="3"/>
        <v>5.2964243987695623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3.2427350427350423</v>
      </c>
      <c r="AI27" s="13">
        <f>IF('Données projet'!$A$62&gt;35,AI26+AH27-AQ26,IF(A27&lt;'Données projet'!$A$62,$AF$205^A27,IF(A27='Données projet'!$A$62,'Données projet'!$B$62,AI26+AH27-AQ26)))</f>
        <v>38.942710456494396</v>
      </c>
      <c r="AJ27" s="13">
        <f>AI27*VLOOKUP('Données projet'!$B$10,Paramètres!$A$1:$I$89,3,0)*VLOOKUP('Données projet'!$B$10,Paramètres!$A$1:$I$89,5,0)</f>
        <v>33.412845571672193</v>
      </c>
      <c r="AK27" s="13">
        <f t="shared" si="35"/>
        <v>10.234862233031567</v>
      </c>
      <c r="AL27" s="20">
        <f t="shared" si="4"/>
        <v>76.019757759859047</v>
      </c>
      <c r="AM27" s="59">
        <f t="shared" si="5"/>
        <v>362.01975775985903</v>
      </c>
      <c r="AN27" s="59">
        <f ca="1">AVERAGE(OFFSET($AM$3,0,0,'Données projet'!$E$10+1,1))-AVERAGE(OFFSET($H$3,0,0,'Données projet'!$E$10+1,1))</f>
        <v>335.02113791949211</v>
      </c>
      <c r="AO27" s="59">
        <f t="shared" si="36"/>
        <v>222.06886429435099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239</v>
      </c>
      <c r="BB27" s="12">
        <f>VLOOKUP(A27,'Données projet'!$A$87:$I$107,9,0)</f>
        <v>19.166666666666668</v>
      </c>
      <c r="BC27" s="12">
        <f t="array" ref="BC27">INDEX(BB:BB,MIN(IF(ISNUMBER(BB27:BB223),ROW(BB27:BB223),"")))</f>
        <v>19.166666666666668</v>
      </c>
      <c r="BD27" s="12">
        <f>IF('Données projet'!$A$88&gt;35,BD26+BC27-BL26,IF(A27&lt;'Données projet'!$A$88,$BA$205^A27,IF(A27='Données projet'!$A$88,'Données projet'!$B$88,BD26+BC27-BL26)))</f>
        <v>239</v>
      </c>
      <c r="BE27" s="13">
        <f>BD27*VLOOKUP('Données projet'!$B$11,Paramètres!$A$1:$I$89,3,0)*VLOOKUP('Données projet'!$B$11,Paramètres!$A$1:$I$89,5,0)</f>
        <v>130.494</v>
      </c>
      <c r="BF27" s="13">
        <f t="shared" si="37"/>
        <v>34.110483018610772</v>
      </c>
      <c r="BG27" s="20">
        <f t="shared" si="7"/>
        <v>286.68614125741374</v>
      </c>
      <c r="BH27" s="59">
        <f t="shared" si="8"/>
        <v>572.68614125741374</v>
      </c>
      <c r="BI27" s="59">
        <f ca="1">AVERAGE(OFFSET($BH$3,0,0,'Données projet'!$E$11+1,1))-AVERAGE(OFFSET($H$3,0,0,'Données projet'!$E$11+1,1))</f>
        <v>207.02306964567629</v>
      </c>
      <c r="BJ27" s="59">
        <f t="shared" si="38"/>
        <v>342.06887933351783</v>
      </c>
      <c r="BK27" s="15">
        <f>IF(ISNA(VLOOKUP(A27,'Données projet'!$A$87:$I$107,3,0)),0,VLOOKUP(A27,'Données projet'!$A$87:$I$107,3,0))</f>
        <v>4</v>
      </c>
      <c r="BL27" s="15">
        <f>IF(ISNA(VLOOKUP(A27,'Données projet'!$A$87:$I$107,4,0)),0,VLOOKUP(A27,'Données projet'!$A$87:$I$107,4,0))</f>
        <v>84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0.48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64.219645158342004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64.219645158342004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92.529839999999979</v>
      </c>
      <c r="CA27" s="13">
        <f t="shared" si="39"/>
        <v>25.174373611210889</v>
      </c>
      <c r="CB27" s="20">
        <f t="shared" si="10"/>
        <v>205.0015053728589</v>
      </c>
      <c r="CC27" s="59">
        <f t="shared" si="11"/>
        <v>491.0015053728589</v>
      </c>
      <c r="CD27" s="59">
        <f ca="1">AVERAGE(OFFSET($CC$3,0,0,'Données projet'!$E$12+1,1))-AVERAGE(OFFSET($H$3,0,0,'Données projet'!$E$12+1,1))</f>
        <v>328.55201074501201</v>
      </c>
      <c r="CE27" s="59">
        <f t="shared" si="40"/>
        <v>321.81422611044985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0.32624898099880839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0.32624898099880839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10.199999999999999</v>
      </c>
      <c r="CT27" s="12">
        <f>IF('Données projet'!$A$140&gt;35,CT26+CS27-DB26,IF(A27&lt;'Données projet'!$A$140,$CQ$205^A27,IF(A27='Données projet'!$A$140,'Données projet'!$B$140,CT26+CS27-DB26)))</f>
        <v>115.8</v>
      </c>
      <c r="CU27" s="17">
        <f>CT27*VLOOKUP('Données projet'!$B$13,Paramètres!$A$1:$I$89,3,0)*VLOOKUP('Données projet'!$B$13,Paramètres!$A$1:$I$89,5,0)</f>
        <v>101.16288</v>
      </c>
      <c r="CV27" s="13">
        <f t="shared" si="41"/>
        <v>27.238850979377386</v>
      </c>
      <c r="CW27" s="20">
        <f t="shared" si="13"/>
        <v>223.63301478908227</v>
      </c>
      <c r="CX27" s="59">
        <f t="shared" si="14"/>
        <v>509.63301478908227</v>
      </c>
      <c r="CY27" s="59">
        <f ca="1">AVERAGE(OFFSET($CX$3,0,0,'Données projet'!$E$13+1,1))-AVERAGE(OFFSET($H$3,0,0,'Données projet'!$E$13+1,1))</f>
        <v>354.24684313982857</v>
      </c>
      <c r="CZ27" s="59">
        <f t="shared" si="42"/>
        <v>322.65043486962185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10.6</v>
      </c>
      <c r="DO27" s="12">
        <f>IF('Données projet'!$A$166&gt;35,DO26+DN27-DW26,IF(A27&lt;'Données projet'!$A$166,$DL$205^A27,IF(A27='Données projet'!$A$166,'Données projet'!$B$166,DO26+DN27-DW26)))</f>
        <v>102.39999999999996</v>
      </c>
      <c r="DP27" s="17">
        <f>DO27*VLOOKUP('Données projet'!$B$14,Paramètres!$A$1:$I$89,3,0)*VLOOKUP('Données projet'!$B$14,Paramètres!$A$1:$I$89,5,0)</f>
        <v>79.871999999999971</v>
      </c>
      <c r="DQ27" s="13">
        <f t="shared" si="43"/>
        <v>22.105884547145401</v>
      </c>
      <c r="DR27" s="20">
        <f t="shared" si="16"/>
        <v>177.61148225294485</v>
      </c>
      <c r="DS27" s="59">
        <f t="shared" si="17"/>
        <v>463.61148225294482</v>
      </c>
      <c r="DT27" s="59">
        <f ca="1">AVERAGE(OFFSET($DS$3,0,0,'Données projet'!$E$14+1,1))-AVERAGE(OFFSET($H$3,0,0,'Données projet'!$E$14+1,1))</f>
        <v>288.80569134263209</v>
      </c>
      <c r="DU27" s="59">
        <f t="shared" si="44"/>
        <v>283.48738729114024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4.1318260004914933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4.1318260004914933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237.56153846153845</v>
      </c>
      <c r="EH27" s="12">
        <f>VLOOKUP(A27,'Données projet'!$A$191:$I$211,9,0)</f>
        <v>20.658974358974358</v>
      </c>
      <c r="EI27" s="12">
        <f t="array" ref="EI27">INDEX(EH:EH,MIN(IF(ISNUMBER(EH27:EH223),ROW(EH27:EH223),"")))</f>
        <v>20.658974358974358</v>
      </c>
      <c r="EJ27" s="12">
        <f>IF('Données projet'!$A$192&gt;35,EJ26+EI27-ER26,IF(A27&lt;'Données projet'!$A$192,$EG$205^A27,IF(A27='Données projet'!$A$192,'Données projet'!$B$192,EJ26+EI27-ER26)))</f>
        <v>237.56153846153839</v>
      </c>
      <c r="EK27" s="17">
        <f>EJ27*VLOOKUP('Données projet'!$B$15,Paramètres!$A$1:$I$89,3,0)*VLOOKUP('Données projet'!$B$15,Paramètres!$A$1:$I$89,5,0)</f>
        <v>132.79689999999997</v>
      </c>
      <c r="EL27" s="13">
        <f t="shared" si="45"/>
        <v>34.641837967861036</v>
      </c>
      <c r="EM27" s="20">
        <f t="shared" si="19"/>
        <v>291.62246862735793</v>
      </c>
      <c r="EN27" s="59">
        <f t="shared" si="20"/>
        <v>577.62246862735788</v>
      </c>
      <c r="EO27" s="59">
        <f ca="1">AVERAGE(OFFSET($EN$3,0,0,'Données projet'!$E$15+1,1))-AVERAGE(OFFSET($H$3,0,0,'Données projet'!$E$15+1,1))</f>
        <v>335.04906256888819</v>
      </c>
      <c r="EP27" s="59">
        <f t="shared" si="46"/>
        <v>440.84111898279554</v>
      </c>
      <c r="EQ27" s="15">
        <f>IF(ISNA(VLOOKUP(A27,'Données projet'!$A$191:$I$211,3,0)),0,VLOOKUP(A27,'Données projet'!$A$191:$I$211,3,0))</f>
        <v>2</v>
      </c>
      <c r="ER27" s="15">
        <f>IF(ISNA(VLOOKUP(A27,'Données projet'!$A$191:$I$211,4,0)),0,VLOOKUP(A27,'Données projet'!$A$191:$I$211,4,0))</f>
        <v>42.661538461538463</v>
      </c>
      <c r="ES27" s="16">
        <f>IF(ISNA(VLOOKUP(A27,'Données projet'!$A$191:$I$211,5,0)),0%,VLOOKUP(A27,'Données projet'!$A$191:$I$211,5,0)*VLOOKUP('Données projet'!$B$15,Paramètres!$A$1:$I$89,7,0))</f>
        <v>0.38500000000000001</v>
      </c>
      <c r="ET27" s="16">
        <f>IF(ISNA(VLOOKUP(A27,'Données projet'!$A$191:$I$211,6,0)),0%,VLOOKUP(A27,'Données projet'!$A$191:$I$211,6,0)*VLOOKUP('Données projet'!$B$15,Paramètres!$A$1:$I$89,7,0))</f>
        <v>9.240000000000001E-2</v>
      </c>
      <c r="EU27" s="16">
        <f>IF(ISNA(VLOOKUP(A27,'Données projet'!$A$191:$I$211,7,0)),0%,VLOOKUP(A27,'Données projet'!$A$191:$I$211,7,0))</f>
        <v>0.13200000000000001</v>
      </c>
      <c r="EV27" s="21">
        <f>EXP(-LN(2)/35)*EV26+(1-EXP(-LN(2)/35))/(LN(2)/35)*ER27*ES27*VLOOKUP('Données projet'!$B$15,Paramètres!$A$1:$I$89,3,0)*0.475*44/12</f>
        <v>12.179722870865961</v>
      </c>
      <c r="EW27" s="21">
        <f>EXP(-LN(2)/25)*EW26+(1-EXP(-LN(2)/25))/(LN(2)/25)*Calculateur!ER27*Calculateur!ET27*VLOOKUP('Données projet'!$B$15,Paramètres!$A$1:$I$89,3,0)*0.475*44/12</f>
        <v>16.25811611180935</v>
      </c>
      <c r="EX27" s="21">
        <f>EXP(-LN(2)/2)*EX26+(1-EXP(-LN(2)/2))/(LN(2)/2)*ER27*EU27*VLOOKUP('Données projet'!$B$15,Paramètres!$A$1:$I$89,3,0)*0.475*44/12</f>
        <v>5.9759957746672558</v>
      </c>
      <c r="EY27" s="22">
        <f t="shared" si="21"/>
        <v>34.413834757342563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113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112.99999999999996</v>
      </c>
      <c r="O28" s="13">
        <f>N28*VLOOKUP('Données projet'!$B$9,Paramètres!$A$1:$I$89,3,0)*VLOOKUP('Données projet'!$B$9,Paramètres!$A$1:$I$89,5,0)</f>
        <v>91.665599999999969</v>
      </c>
      <c r="P28" s="13">
        <f t="shared" si="33"/>
        <v>24.966497888207439</v>
      </c>
      <c r="Q28" s="20">
        <f t="shared" si="2"/>
        <v>203.13423715529458</v>
      </c>
      <c r="R28" s="59">
        <f t="shared" si="0"/>
        <v>490.35645937751679</v>
      </c>
      <c r="S28" s="59">
        <f ca="1">AVERAGE(OFFSET($R$3,0,0,'Données projet'!$E$9+1,1))-AVERAGE(OFFSET($H$3,0,0,'Données projet'!$E$9+1,1))</f>
        <v>298.96480270023716</v>
      </c>
      <c r="T28" s="59">
        <f t="shared" si="34"/>
        <v>293.11447542333889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27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0.26500000000000001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11.542630402256847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11.542630402256847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3.2427350427350423</v>
      </c>
      <c r="AI28" s="13">
        <f>IF('Données projet'!$A$62&gt;35,AI27+AH28-AQ27,IF(A28&lt;'Données projet'!$A$62,$AF$205^A28,IF(A28='Données projet'!$A$62,'Données projet'!$B$62,AI27+AH28-AQ27)))</f>
        <v>45.362181606201382</v>
      </c>
      <c r="AJ28" s="13">
        <f>AI28*VLOOKUP('Données projet'!$B$10,Paramètres!$A$1:$I$89,3,0)*VLOOKUP('Données projet'!$B$10,Paramètres!$A$1:$I$89,5,0)</f>
        <v>38.920751818120792</v>
      </c>
      <c r="AK28" s="13">
        <f t="shared" si="35"/>
        <v>11.712138287847445</v>
      </c>
      <c r="AL28" s="20">
        <f t="shared" si="4"/>
        <v>88.185616934561338</v>
      </c>
      <c r="AM28" s="59">
        <f t="shared" si="5"/>
        <v>375.40783915678355</v>
      </c>
      <c r="AN28" s="59">
        <f ca="1">AVERAGE(OFFSET($AM$3,0,0,'Données projet'!$E$10+1,1))-AVERAGE(OFFSET($H$3,0,0,'Données projet'!$E$10+1,1))</f>
        <v>335.02113791949211</v>
      </c>
      <c r="AO28" s="59">
        <f t="shared" si="36"/>
        <v>222.06886429435099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16.666666666666668</v>
      </c>
      <c r="BD28" s="12">
        <f>IF('Données projet'!$A$88&gt;35,BD27+BC28-BL27,IF(A28&lt;'Données projet'!$A$88,$BA$205^A28,IF(A28='Données projet'!$A$88,'Données projet'!$B$88,BD27+BC28-BL27)))</f>
        <v>171.66666666666666</v>
      </c>
      <c r="BE28" s="13">
        <f>BD28*VLOOKUP('Données projet'!$B$11,Paramètres!$A$1:$I$89,3,0)*VLOOKUP('Données projet'!$B$11,Paramètres!$A$1:$I$89,5,0)</f>
        <v>93.72999999999999</v>
      </c>
      <c r="BF28" s="13">
        <f t="shared" si="37"/>
        <v>25.462674063925309</v>
      </c>
      <c r="BG28" s="20">
        <f t="shared" si="7"/>
        <v>207.59390732800321</v>
      </c>
      <c r="BH28" s="59">
        <f t="shared" si="8"/>
        <v>494.81612955022547</v>
      </c>
      <c r="BI28" s="59">
        <f ca="1">AVERAGE(OFFSET($BH$3,0,0,'Données projet'!$E$11+1,1))-AVERAGE(OFFSET($H$3,0,0,'Données projet'!$E$11+1,1))</f>
        <v>207.02306964567629</v>
      </c>
      <c r="BJ28" s="59">
        <f t="shared" si="38"/>
        <v>342.06887933351783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62.463555584322776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62.463555584322776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103.38119999999998</v>
      </c>
      <c r="CA28" s="13">
        <f t="shared" si="39"/>
        <v>27.765956260923325</v>
      </c>
      <c r="CB28" s="20">
        <f t="shared" si="10"/>
        <v>228.41463048777476</v>
      </c>
      <c r="CC28" s="59">
        <f t="shared" si="11"/>
        <v>515.63685270999702</v>
      </c>
      <c r="CD28" s="59">
        <f ca="1">AVERAGE(OFFSET($CC$3,0,0,'Données projet'!$E$12+1,1))-AVERAGE(OFFSET($H$3,0,0,'Données projet'!$E$12+1,1))</f>
        <v>328.55201074501201</v>
      </c>
      <c r="CE28" s="59">
        <f t="shared" si="40"/>
        <v>321.81422611044985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1.29E-2</v>
      </c>
      <c r="CI28" s="16">
        <f>IF(ISNA(VLOOKUP(A28,'Données projet'!$A$113:$I$133,6,0)),0%,VLOOKUP(A28,'Données projet'!$A$113:$I$133,6,0)*VLOOKUP('Données projet'!$B$12,Paramètres!$A$1:$I$89,7,0))</f>
        <v>9.8900000000000002E-2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0.36595469334651187</v>
      </c>
      <c r="CL28" s="21">
        <f>EXP(-LN(2)/25)*CL27+(1-EXP(-LN(2)/25))/(LN(2)/25)*Calculateur!CG28*Calculateur!CI28*VLOOKUP('Données projet'!$B$12,Paramètres!$A$1:$I$89,3,0)*0.475*44/12</f>
        <v>3.1119334109300878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3.4778881042765999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126</v>
      </c>
      <c r="CR28" s="12">
        <f>VLOOKUP(A28,'Données projet'!$A$139:$I$159,9,0)</f>
        <v>10.199999999999999</v>
      </c>
      <c r="CS28" s="12">
        <f t="array" ref="CS28">INDEX(CR:CR,MIN(IF(ISNUMBER(CR28:CR224),ROW(CR28:CR224),"")))</f>
        <v>10.199999999999999</v>
      </c>
      <c r="CT28" s="12">
        <f>IF('Données projet'!$A$140&gt;35,CT27+CS28-DB27,IF(A28&lt;'Données projet'!$A$140,$CQ$205^A28,IF(A28='Données projet'!$A$140,'Données projet'!$B$140,CT27+CS28-DB27)))</f>
        <v>126</v>
      </c>
      <c r="CU28" s="17">
        <f>CT28*VLOOKUP('Données projet'!$B$13,Paramètres!$A$1:$I$89,3,0)*VLOOKUP('Données projet'!$B$13,Paramètres!$A$1:$I$89,5,0)</f>
        <v>110.07360000000001</v>
      </c>
      <c r="CV28" s="13">
        <f t="shared" si="41"/>
        <v>29.348324631518828</v>
      </c>
      <c r="CW28" s="20">
        <f t="shared" si="13"/>
        <v>242.8265187332286</v>
      </c>
      <c r="CX28" s="59">
        <f t="shared" si="14"/>
        <v>530.04874095545085</v>
      </c>
      <c r="CY28" s="59">
        <f ca="1">AVERAGE(OFFSET($CX$3,0,0,'Données projet'!$E$13+1,1))-AVERAGE(OFFSET($H$3,0,0,'Données projet'!$E$13+1,1))</f>
        <v>354.24684313982857</v>
      </c>
      <c r="CZ28" s="59">
        <f t="shared" si="42"/>
        <v>322.65043486962185</v>
      </c>
      <c r="DA28" s="15">
        <f>IF(ISNA(VLOOKUP(A28,'Données projet'!$A$139:$I$159,3,0)),0,VLOOKUP(A28,'Données projet'!$A$139:$I$159,3,0))</f>
        <v>2</v>
      </c>
      <c r="DB28" s="15" t="str">
        <f>IF(ISNA(VLOOKUP(A28,'Données projet'!$A$139:$I$159,4,0)),0,VLOOKUP(A28,'Données projet'!$A$139:$I$159,4,0))</f>
        <v>26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113</v>
      </c>
      <c r="DM28" s="12">
        <f>VLOOKUP(A28,'Données projet'!$A$165:$I$185,9,0)</f>
        <v>10.6</v>
      </c>
      <c r="DN28" s="12">
        <f t="array" ref="DN28">INDEX(DM:DM,MIN(IF(ISNUMBER(DM28:DM224),ROW(DM28:DM224),"")))</f>
        <v>10.6</v>
      </c>
      <c r="DO28" s="12">
        <f>IF('Données projet'!$A$166&gt;35,DO27+DN28-DW27,IF(A28&lt;'Données projet'!$A$166,$DL$205^A28,IF(A28='Données projet'!$A$166,'Données projet'!$B$166,DO27+DN28-DW27)))</f>
        <v>112.99999999999996</v>
      </c>
      <c r="DP28" s="17">
        <f>DO28*VLOOKUP('Données projet'!$B$14,Paramètres!$A$1:$I$89,3,0)*VLOOKUP('Données projet'!$B$14,Paramètres!$A$1:$I$89,5,0)</f>
        <v>88.139999999999972</v>
      </c>
      <c r="DQ28" s="13">
        <f t="shared" si="43"/>
        <v>24.116094026318823</v>
      </c>
      <c r="DR28" s="20">
        <f t="shared" si="16"/>
        <v>195.51269709583855</v>
      </c>
      <c r="DS28" s="59">
        <f t="shared" si="17"/>
        <v>482.73491931806075</v>
      </c>
      <c r="DT28" s="59">
        <f ca="1">AVERAGE(OFFSET($DS$3,0,0,'Données projet'!$E$14+1,1))-AVERAGE(OFFSET($H$3,0,0,'Données projet'!$E$14+1,1))</f>
        <v>288.80569134263209</v>
      </c>
      <c r="DU28" s="59">
        <f t="shared" si="44"/>
        <v>283.48738729114024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27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0.215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9.0045919320944172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9.0045919320944172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22.828205128205127</v>
      </c>
      <c r="EJ28" s="12">
        <f>IF('Données projet'!$A$192&gt;35,EJ27+EI28-ER27,IF(A28&lt;'Données projet'!$A$192,$EG$205^A28,IF(A28='Données projet'!$A$192,'Données projet'!$B$192,EJ27+EI28-ER27)))</f>
        <v>217.72820512820502</v>
      </c>
      <c r="EK28" s="17">
        <f>EJ28*VLOOKUP('Données projet'!$B$15,Paramètres!$A$1:$I$89,3,0)*VLOOKUP('Données projet'!$B$15,Paramètres!$A$1:$I$89,5,0)</f>
        <v>121.71006666666661</v>
      </c>
      <c r="EL28" s="13">
        <f t="shared" si="45"/>
        <v>32.073515207801002</v>
      </c>
      <c r="EM28" s="20">
        <f t="shared" si="19"/>
        <v>267.83973843136442</v>
      </c>
      <c r="EN28" s="59">
        <f t="shared" si="20"/>
        <v>555.06196065358665</v>
      </c>
      <c r="EO28" s="59">
        <f ca="1">AVERAGE(OFFSET($EN$3,0,0,'Données projet'!$E$15+1,1))-AVERAGE(OFFSET($H$3,0,0,'Données projet'!$E$15+1,1))</f>
        <v>335.04906256888819</v>
      </c>
      <c r="EP28" s="59">
        <f t="shared" si="46"/>
        <v>440.84111898279554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11.940885934265687</v>
      </c>
      <c r="EW28" s="21">
        <f>EXP(-LN(2)/25)*EW27+(1-EXP(-LN(2)/25))/(LN(2)/25)*Calculateur!ER28*Calculateur!ET28*VLOOKUP('Données projet'!$B$15,Paramètres!$A$1:$I$89,3,0)*0.475*44/12</f>
        <v>15.813537071754755</v>
      </c>
      <c r="EX28" s="21">
        <f>EXP(-LN(2)/2)*EX27+(1-EXP(-LN(2)/2))/(LN(2)/2)*ER28*EU28*VLOOKUP('Données projet'!$B$15,Paramètres!$A$1:$I$89,3,0)*0.475*44/12</f>
        <v>4.2256671366093723</v>
      </c>
      <c r="EY28" s="22">
        <f t="shared" si="21"/>
        <v>31.980090142629813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11.5</v>
      </c>
      <c r="N29" s="13">
        <f>IF('Données projet'!$A$36&gt;35,N28+M29-V28,IF(A29&lt;'Données projet'!$A$36,$K$205^A29,IF(A29='Données projet'!$A$36,'Données projet'!$B$36,N28+M29-V28)))</f>
        <v>97.499999999999957</v>
      </c>
      <c r="O29" s="13">
        <f>N29*VLOOKUP('Données projet'!$B$9,Paramètres!$A$1:$I$89,3,0)*VLOOKUP('Données projet'!$B$9,Paramètres!$A$1:$I$89,5,0)</f>
        <v>79.09199999999997</v>
      </c>
      <c r="P29" s="13">
        <f t="shared" si="33"/>
        <v>21.915026131449999</v>
      </c>
      <c r="Q29" s="20">
        <f t="shared" si="2"/>
        <v>175.92057051227536</v>
      </c>
      <c r="R29" s="59">
        <f t="shared" si="0"/>
        <v>464.36501495671985</v>
      </c>
      <c r="S29" s="59">
        <f ca="1">AVERAGE(OFFSET($R$3,0,0,'Données projet'!$E$9+1,1))-AVERAGE(OFFSET($H$3,0,0,'Données projet'!$E$9+1,1))</f>
        <v>298.96480270023716</v>
      </c>
      <c r="T29" s="59">
        <f t="shared" si="34"/>
        <v>293.11447542333889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11.226996566906582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11.226996566906582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3.2427350427350423</v>
      </c>
      <c r="AI29" s="13">
        <f>IF('Données projet'!$A$62&gt;35,AI28+AH29-AQ28,IF(A29&lt;'Données projet'!$A$62,$AF$205^A29,IF(A29='Données projet'!$A$62,'Données projet'!$B$62,AI28+AH29-AQ28)))</f>
        <v>52.839863891159432</v>
      </c>
      <c r="AJ29" s="13">
        <f>AI29*VLOOKUP('Données projet'!$B$10,Paramètres!$A$1:$I$89,3,0)*VLOOKUP('Données projet'!$B$10,Paramètres!$A$1:$I$89,5,0)</f>
        <v>45.336603218614798</v>
      </c>
      <c r="AK29" s="13">
        <f t="shared" si="35"/>
        <v>13.40264091009959</v>
      </c>
      <c r="AL29" s="20">
        <f t="shared" si="4"/>
        <v>102.30418352417756</v>
      </c>
      <c r="AM29" s="59">
        <f t="shared" si="5"/>
        <v>390.74862796862203</v>
      </c>
      <c r="AN29" s="59">
        <f ca="1">AVERAGE(OFFSET($AM$3,0,0,'Données projet'!$E$10+1,1))-AVERAGE(OFFSET($H$3,0,0,'Données projet'!$E$10+1,1))</f>
        <v>335.02113791949211</v>
      </c>
      <c r="AO29" s="59">
        <f t="shared" si="36"/>
        <v>222.06886429435099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16.666666666666668</v>
      </c>
      <c r="BD29" s="12">
        <f>IF('Données projet'!$A$88&gt;35,BD28+BC29-BL28,IF(A29&lt;'Données projet'!$A$88,$BA$205^A29,IF(A29='Données projet'!$A$88,'Données projet'!$B$88,BD28+BC29-BL28)))</f>
        <v>188.33333333333331</v>
      </c>
      <c r="BE29" s="13">
        <f>BD29*VLOOKUP('Données projet'!$B$11,Paramètres!$A$1:$I$89,3,0)*VLOOKUP('Données projet'!$B$11,Paramètres!$A$1:$I$89,5,0)</f>
        <v>102.83</v>
      </c>
      <c r="BF29" s="13">
        <f t="shared" si="37"/>
        <v>27.635107084401234</v>
      </c>
      <c r="BG29" s="20">
        <f t="shared" si="7"/>
        <v>227.22672817199881</v>
      </c>
      <c r="BH29" s="59">
        <f t="shared" si="8"/>
        <v>515.6711726164433</v>
      </c>
      <c r="BI29" s="59">
        <f ca="1">AVERAGE(OFFSET($BH$3,0,0,'Données projet'!$E$11+1,1))-AVERAGE(OFFSET($H$3,0,0,'Données projet'!$E$11+1,1))</f>
        <v>207.02306964567629</v>
      </c>
      <c r="BJ29" s="59">
        <f t="shared" si="38"/>
        <v>342.06887933351783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60.755486372053845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60.755486372053845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88.130639999999971</v>
      </c>
      <c r="CA29" s="13">
        <f t="shared" si="39"/>
        <v>24.113831111728981</v>
      </c>
      <c r="CB29" s="20">
        <f t="shared" si="10"/>
        <v>195.49245385292792</v>
      </c>
      <c r="CC29" s="59">
        <f t="shared" si="11"/>
        <v>483.93689829737241</v>
      </c>
      <c r="CD29" s="59">
        <f ca="1">AVERAGE(OFFSET($CC$3,0,0,'Données projet'!$E$12+1,1))-AVERAGE(OFFSET($H$3,0,0,'Données projet'!$E$12+1,1))</f>
        <v>328.55201074501201</v>
      </c>
      <c r="CE29" s="59">
        <f t="shared" si="40"/>
        <v>321.81422611044985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0.35877854502030954</v>
      </c>
      <c r="CL29" s="21">
        <f>EXP(-LN(2)/25)*CL28+(1-EXP(-LN(2)/25))/(LN(2)/25)*Calculateur!CG29*Calculateur!CI29*VLOOKUP('Données projet'!$B$12,Paramètres!$A$1:$I$89,3,0)*0.475*44/12</f>
        <v>3.0268374281587387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3.3856159731790481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109.80000000000001</v>
      </c>
      <c r="CU29" s="17">
        <f>CT29*VLOOKUP('Données projet'!$B$13,Paramètres!$A$1:$I$89,3,0)*VLOOKUP('Données projet'!$B$13,Paramètres!$A$1:$I$89,5,0)</f>
        <v>95.921280000000024</v>
      </c>
      <c r="CV29" s="13">
        <f t="shared" si="41"/>
        <v>25.98795633328076</v>
      </c>
      <c r="CW29" s="20">
        <f t="shared" si="13"/>
        <v>212.32525328046404</v>
      </c>
      <c r="CX29" s="59">
        <f t="shared" si="14"/>
        <v>500.7696977249085</v>
      </c>
      <c r="CY29" s="59">
        <f ca="1">AVERAGE(OFFSET($CX$3,0,0,'Données projet'!$E$13+1,1))-AVERAGE(OFFSET($H$3,0,0,'Données projet'!$E$13+1,1))</f>
        <v>354.24684313982857</v>
      </c>
      <c r="CZ29" s="59">
        <f t="shared" si="42"/>
        <v>322.65043486962185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11.5</v>
      </c>
      <c r="DO29" s="12">
        <f>IF('Données projet'!$A$166&gt;35,DO28+DN29-DW28,IF(A29&lt;'Données projet'!$A$166,$DL$205^A29,IF(A29='Données projet'!$A$166,'Données projet'!$B$166,DO28+DN29-DW28)))</f>
        <v>97.499999999999957</v>
      </c>
      <c r="DP29" s="17">
        <f>DO29*VLOOKUP('Données projet'!$B$14,Paramètres!$A$1:$I$89,3,0)*VLOOKUP('Données projet'!$B$14,Paramètres!$A$1:$I$89,5,0)</f>
        <v>76.049999999999969</v>
      </c>
      <c r="DQ29" s="13">
        <f t="shared" si="43"/>
        <v>21.168560890749262</v>
      </c>
      <c r="DR29" s="20">
        <f t="shared" si="16"/>
        <v>169.32232688472158</v>
      </c>
      <c r="DS29" s="59">
        <f t="shared" si="17"/>
        <v>457.76677132916603</v>
      </c>
      <c r="DT29" s="59">
        <f ca="1">AVERAGE(OFFSET($DS$3,0,0,'Données projet'!$E$14+1,1))-AVERAGE(OFFSET($H$3,0,0,'Données projet'!$E$14+1,1))</f>
        <v>288.80569134263209</v>
      </c>
      <c r="DU29" s="59">
        <f t="shared" si="44"/>
        <v>283.48738729114024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8.7583608921803862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8.7583608921803862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22.828205128205127</v>
      </c>
      <c r="EJ29" s="12">
        <f>IF('Données projet'!$A$192&gt;35,EJ28+EI29-ER28,IF(A29&lt;'Données projet'!$A$192,$EG$205^A29,IF(A29='Données projet'!$A$192,'Données projet'!$B$192,EJ28+EI29-ER28)))</f>
        <v>240.55641025641015</v>
      </c>
      <c r="EK29" s="17">
        <f>EJ29*VLOOKUP('Données projet'!$B$15,Paramètres!$A$1:$I$89,3,0)*VLOOKUP('Données projet'!$B$15,Paramètres!$A$1:$I$89,5,0)</f>
        <v>134.47103333333328</v>
      </c>
      <c r="EL29" s="13">
        <f t="shared" si="45"/>
        <v>35.027441907439481</v>
      </c>
      <c r="EM29" s="20">
        <f t="shared" si="19"/>
        <v>295.20984437767919</v>
      </c>
      <c r="EN29" s="59">
        <f t="shared" si="20"/>
        <v>583.65428882212359</v>
      </c>
      <c r="EO29" s="59">
        <f ca="1">AVERAGE(OFFSET($EN$3,0,0,'Données projet'!$E$15+1,1))-AVERAGE(OFFSET($H$3,0,0,'Données projet'!$E$15+1,1))</f>
        <v>335.04906256888819</v>
      </c>
      <c r="EP29" s="59">
        <f t="shared" si="46"/>
        <v>440.84111898279554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11.706732444315998</v>
      </c>
      <c r="EW29" s="21">
        <f>EXP(-LN(2)/25)*EW28+(1-EXP(-LN(2)/25))/(LN(2)/25)*Calculateur!ER29*Calculateur!ET29*VLOOKUP('Données projet'!$B$15,Paramètres!$A$1:$I$89,3,0)*0.475*44/12</f>
        <v>15.38111506892985</v>
      </c>
      <c r="EX29" s="21">
        <f>EXP(-LN(2)/2)*EX28+(1-EXP(-LN(2)/2))/(LN(2)/2)*ER29*EU29*VLOOKUP('Données projet'!$B$15,Paramètres!$A$1:$I$89,3,0)*0.475*44/12</f>
        <v>2.9879978873336284</v>
      </c>
      <c r="EY29" s="22">
        <f t="shared" si="21"/>
        <v>30.075845400579475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11.5</v>
      </c>
      <c r="N30" s="13">
        <f>IF('Données projet'!$A$36&gt;35,N29+M30-V29,IF(A30&lt;'Données projet'!$A$36,$K$205^A30,IF(A30='Données projet'!$A$36,'Données projet'!$B$36,N29+M30-V29)))</f>
        <v>108.99999999999996</v>
      </c>
      <c r="O30" s="13">
        <f>N30*VLOOKUP('Données projet'!$B$9,Paramètres!$A$1:$I$89,3,0)*VLOOKUP('Données projet'!$B$9,Paramètres!$A$1:$I$89,5,0)</f>
        <v>88.420799999999971</v>
      </c>
      <c r="P30" s="13">
        <f t="shared" si="33"/>
        <v>24.183968471983022</v>
      </c>
      <c r="Q30" s="20">
        <f t="shared" si="2"/>
        <v>196.11997175537036</v>
      </c>
      <c r="R30" s="59">
        <f t="shared" si="0"/>
        <v>485.78663842203707</v>
      </c>
      <c r="S30" s="59">
        <f ca="1">AVERAGE(OFFSET($R$3,0,0,'Données projet'!$E$9+1,1))-AVERAGE(OFFSET($H$3,0,0,'Données projet'!$E$9+1,1))</f>
        <v>298.96480270023716</v>
      </c>
      <c r="T30" s="59">
        <f t="shared" si="34"/>
        <v>293.11447542333889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10.919993755382432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10.919993755382432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3.2427350427350423</v>
      </c>
      <c r="AI30" s="13">
        <f>IF('Données projet'!$A$62&gt;35,AI29+AH30-AQ29,IF(A30&lt;'Données projet'!$A$62,$AF$205^A30,IF(A30='Données projet'!$A$62,'Données projet'!$B$62,AI29+AH30-AQ29)))</f>
        <v>61.550197040226955</v>
      </c>
      <c r="AJ30" s="13">
        <f>AI30*VLOOKUP('Données projet'!$B$10,Paramètres!$A$1:$I$89,3,0)*VLOOKUP('Données projet'!$B$10,Paramètres!$A$1:$I$89,5,0)</f>
        <v>52.810069060514735</v>
      </c>
      <c r="AK30" s="13">
        <f t="shared" si="35"/>
        <v>15.337146723366523</v>
      </c>
      <c r="AL30" s="20">
        <f t="shared" si="4"/>
        <v>118.68973415692649</v>
      </c>
      <c r="AM30" s="59">
        <f t="shared" si="5"/>
        <v>408.35640082359316</v>
      </c>
      <c r="AN30" s="59">
        <f ca="1">AVERAGE(OFFSET($AM$3,0,0,'Données projet'!$E$10+1,1))-AVERAGE(OFFSET($H$3,0,0,'Données projet'!$E$10+1,1))</f>
        <v>335.02113791949211</v>
      </c>
      <c r="AO30" s="59">
        <f t="shared" si="36"/>
        <v>222.06886429435099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16.666666666666668</v>
      </c>
      <c r="BD30" s="12">
        <f>IF('Données projet'!$A$88&gt;35,BD29+BC30-BL29,IF(A30&lt;'Données projet'!$A$88,$BA$205^A30,IF(A30='Données projet'!$A$88,'Données projet'!$B$88,BD29+BC30-BL29)))</f>
        <v>204.99999999999997</v>
      </c>
      <c r="BE30" s="13">
        <f>BD30*VLOOKUP('Données projet'!$B$11,Paramètres!$A$1:$I$89,3,0)*VLOOKUP('Données projet'!$B$11,Paramètres!$A$1:$I$89,5,0)</f>
        <v>111.92999999999998</v>
      </c>
      <c r="BF30" s="13">
        <f t="shared" si="37"/>
        <v>29.785246291563833</v>
      </c>
      <c r="BG30" s="20">
        <f t="shared" si="7"/>
        <v>246.82072062447358</v>
      </c>
      <c r="BH30" s="59">
        <f t="shared" si="8"/>
        <v>536.48738729114029</v>
      </c>
      <c r="BI30" s="59">
        <f ca="1">AVERAGE(OFFSET($BH$3,0,0,'Données projet'!$E$11+1,1))-AVERAGE(OFFSET($H$3,0,0,'Données projet'!$E$11+1,1))</f>
        <v>207.02306964567629</v>
      </c>
      <c r="BJ30" s="59">
        <f t="shared" si="38"/>
        <v>342.06887933351783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59.094124402217865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59.094124402217865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98.542079999999956</v>
      </c>
      <c r="CA30" s="13">
        <f t="shared" si="39"/>
        <v>26.614371888975242</v>
      </c>
      <c r="CB30" s="20">
        <f t="shared" si="10"/>
        <v>217.98082037329846</v>
      </c>
      <c r="CC30" s="59">
        <f t="shared" si="11"/>
        <v>507.64748703996514</v>
      </c>
      <c r="CD30" s="59">
        <f ca="1">AVERAGE(OFFSET($CC$3,0,0,'Données projet'!$E$12+1,1))-AVERAGE(OFFSET($H$3,0,0,'Données projet'!$E$12+1,1))</f>
        <v>328.55201074501201</v>
      </c>
      <c r="CE30" s="59">
        <f t="shared" si="40"/>
        <v>321.81422611044985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0.35174311658576574</v>
      </c>
      <c r="CL30" s="21">
        <f>EXP(-LN(2)/25)*CL29+(1-EXP(-LN(2)/25))/(LN(2)/25)*Calculateur!CG30*Calculateur!CI30*VLOOKUP('Données projet'!$B$12,Paramètres!$A$1:$I$89,3,0)*0.475*44/12</f>
        <v>2.9440683995112757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3.2958115160970416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119.60000000000001</v>
      </c>
      <c r="CU30" s="17">
        <f>CT30*VLOOKUP('Données projet'!$B$13,Paramètres!$A$1:$I$89,3,0)*VLOOKUP('Données projet'!$B$13,Paramètres!$A$1:$I$89,5,0)</f>
        <v>104.48256000000002</v>
      </c>
      <c r="CV30" s="13">
        <f t="shared" si="41"/>
        <v>28.02716504477474</v>
      </c>
      <c r="CW30" s="20">
        <f t="shared" si="13"/>
        <v>230.78777111964939</v>
      </c>
      <c r="CX30" s="59">
        <f t="shared" si="14"/>
        <v>520.45443778631602</v>
      </c>
      <c r="CY30" s="59">
        <f ca="1">AVERAGE(OFFSET($CX$3,0,0,'Données projet'!$E$13+1,1))-AVERAGE(OFFSET($H$3,0,0,'Données projet'!$E$13+1,1))</f>
        <v>354.24684313982857</v>
      </c>
      <c r="CZ30" s="59">
        <f t="shared" si="42"/>
        <v>322.65043486962185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11.5</v>
      </c>
      <c r="DO30" s="12">
        <f>IF('Données projet'!$A$166&gt;35,DO29+DN30-DW29,IF(A30&lt;'Données projet'!$A$166,$DL$205^A30,IF(A30='Données projet'!$A$166,'Données projet'!$B$166,DO29+DN30-DW29)))</f>
        <v>108.99999999999996</v>
      </c>
      <c r="DP30" s="17">
        <f>DO30*VLOOKUP('Données projet'!$B$14,Paramètres!$A$1:$I$89,3,0)*VLOOKUP('Données projet'!$B$14,Paramètres!$A$1:$I$89,5,0)</f>
        <v>85.019999999999968</v>
      </c>
      <c r="DQ30" s="13">
        <f t="shared" si="43"/>
        <v>23.360218970693097</v>
      </c>
      <c r="DR30" s="20">
        <f t="shared" si="16"/>
        <v>188.76221470729038</v>
      </c>
      <c r="DS30" s="59">
        <f t="shared" si="17"/>
        <v>478.4288813739571</v>
      </c>
      <c r="DT30" s="59">
        <f ca="1">AVERAGE(OFFSET($DS$3,0,0,'Données projet'!$E$14+1,1))-AVERAGE(OFFSET($H$3,0,0,'Données projet'!$E$14+1,1))</f>
        <v>288.80569134263209</v>
      </c>
      <c r="DU30" s="59">
        <f t="shared" si="44"/>
        <v>283.48738729114024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8.5188630530015317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8.5188630530015317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22.828205128205127</v>
      </c>
      <c r="EJ30" s="12">
        <f>IF('Données projet'!$A$192&gt;35,EJ29+EI30-ER29,IF(A30&lt;'Données projet'!$A$192,$EG$205^A30,IF(A30='Données projet'!$A$192,'Données projet'!$B$192,EJ29+EI30-ER29)))</f>
        <v>263.38461538461524</v>
      </c>
      <c r="EK30" s="17">
        <f>EJ30*VLOOKUP('Données projet'!$B$15,Paramètres!$A$1:$I$89,3,0)*VLOOKUP('Données projet'!$B$15,Paramètres!$A$1:$I$89,5,0)</f>
        <v>147.23199999999994</v>
      </c>
      <c r="EL30" s="13">
        <f t="shared" si="45"/>
        <v>37.948867426510738</v>
      </c>
      <c r="EM30" s="20">
        <f t="shared" si="19"/>
        <v>322.52334410117277</v>
      </c>
      <c r="EN30" s="59">
        <f t="shared" si="20"/>
        <v>612.19001076783945</v>
      </c>
      <c r="EO30" s="59">
        <f ca="1">AVERAGE(OFFSET($EN$3,0,0,'Données projet'!$E$15+1,1))-AVERAGE(OFFSET($H$3,0,0,'Données projet'!$E$15+1,1))</f>
        <v>335.04906256888819</v>
      </c>
      <c r="EP30" s="59">
        <f t="shared" si="46"/>
        <v>440.84111898279554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11.477170561484696</v>
      </c>
      <c r="EW30" s="21">
        <f>EXP(-LN(2)/25)*EW29+(1-EXP(-LN(2)/25))/(LN(2)/25)*Calculateur!ER30*Calculateur!ET30*VLOOKUP('Données projet'!$B$15,Paramètres!$A$1:$I$89,3,0)*0.475*44/12</f>
        <v>14.960517668512276</v>
      </c>
      <c r="EX30" s="21">
        <f>EXP(-LN(2)/2)*EX29+(1-EXP(-LN(2)/2))/(LN(2)/2)*ER30*EU30*VLOOKUP('Données projet'!$B$15,Paramètres!$A$1:$I$89,3,0)*0.475*44/12</f>
        <v>2.1128335683046862</v>
      </c>
      <c r="EY30" s="22">
        <f t="shared" si="21"/>
        <v>28.550521798301659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11.5</v>
      </c>
      <c r="N31" s="13">
        <f>IF('Données projet'!$A$36&gt;35,N30+M31-V30,IF(A31&lt;'Données projet'!$A$36,$K$205^A31,IF(A31='Données projet'!$A$36,'Données projet'!$B$36,N30+M31-V30)))</f>
        <v>120.49999999999996</v>
      </c>
      <c r="O31" s="13">
        <f>N31*VLOOKUP('Données projet'!$B$9,Paramètres!$A$1:$I$89,3,0)*VLOOKUP('Données projet'!$B$9,Paramètres!$A$1:$I$89,5,0)</f>
        <v>97.749599999999973</v>
      </c>
      <c r="P31" s="13">
        <f t="shared" si="33"/>
        <v>26.425162646358601</v>
      </c>
      <c r="Q31" s="20">
        <f t="shared" si="2"/>
        <v>216.27104494240783</v>
      </c>
      <c r="R31" s="59">
        <f t="shared" si="0"/>
        <v>507.15993383129671</v>
      </c>
      <c r="S31" s="59">
        <f ca="1">AVERAGE(OFFSET($R$3,0,0,'Données projet'!$E$9+1,1))-AVERAGE(OFFSET($H$3,0,0,'Données projet'!$E$9+1,1))</f>
        <v>298.96480270023716</v>
      </c>
      <c r="T31" s="59">
        <f t="shared" si="34"/>
        <v>293.11447542333889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10.621385951883985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10.621385951883985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3.2427350427350423</v>
      </c>
      <c r="AI31" s="13">
        <f>IF('Données projet'!$A$62&gt;35,AI30+AH31-AQ30,IF(A31&lt;'Données projet'!$A$62,$AF$205^A31,IF(A31='Données projet'!$A$62,'Données projet'!$B$62,AI30+AH31-AQ30)))</f>
        <v>71.696376120389672</v>
      </c>
      <c r="AJ31" s="13">
        <f>AI31*VLOOKUP('Données projet'!$B$10,Paramètres!$A$1:$I$89,3,0)*VLOOKUP('Données projet'!$B$10,Paramètres!$A$1:$I$89,5,0)</f>
        <v>61.515490711294341</v>
      </c>
      <c r="AK31" s="13">
        <f t="shared" si="35"/>
        <v>17.55087457702578</v>
      </c>
      <c r="AL31" s="20">
        <f t="shared" si="4"/>
        <v>137.70725287715754</v>
      </c>
      <c r="AM31" s="59">
        <f t="shared" si="5"/>
        <v>428.5961417660464</v>
      </c>
      <c r="AN31" s="59">
        <f ca="1">AVERAGE(OFFSET($AM$3,0,0,'Données projet'!$E$10+1,1))-AVERAGE(OFFSET($H$3,0,0,'Données projet'!$E$10+1,1))</f>
        <v>335.02113791949211</v>
      </c>
      <c r="AO31" s="59">
        <f t="shared" si="36"/>
        <v>222.06886429435099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16.666666666666668</v>
      </c>
      <c r="BD31" s="12">
        <f>IF('Données projet'!$A$88&gt;35,BD30+BC31-BL30,IF(A31&lt;'Données projet'!$A$88,$BA$205^A31,IF(A31='Données projet'!$A$88,'Données projet'!$B$88,BD30+BC31-BL30)))</f>
        <v>221.66666666666663</v>
      </c>
      <c r="BE31" s="13">
        <f>BD31*VLOOKUP('Données projet'!$B$11,Paramètres!$A$1:$I$89,3,0)*VLOOKUP('Données projet'!$B$11,Paramètres!$A$1:$I$89,5,0)</f>
        <v>121.02999999999997</v>
      </c>
      <c r="BF31" s="13">
        <f t="shared" si="37"/>
        <v>31.915110254002617</v>
      </c>
      <c r="BG31" s="20">
        <f t="shared" si="7"/>
        <v>266.3794003590545</v>
      </c>
      <c r="BH31" s="59">
        <f t="shared" si="8"/>
        <v>557.26828924794336</v>
      </c>
      <c r="BI31" s="59">
        <f ca="1">AVERAGE(OFFSET($BH$3,0,0,'Données projet'!$E$11+1,1))-AVERAGE(OFFSET($H$3,0,0,'Données projet'!$E$11+1,1))</f>
        <v>207.02306964567629</v>
      </c>
      <c r="BJ31" s="59">
        <f t="shared" si="38"/>
        <v>342.06887933351783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57.478192462814278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57.478192462814278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108.95351999999995</v>
      </c>
      <c r="CA31" s="13">
        <f t="shared" si="39"/>
        <v>29.084288721109843</v>
      </c>
      <c r="CB31" s="20">
        <f t="shared" si="10"/>
        <v>240.41585018926619</v>
      </c>
      <c r="CC31" s="59">
        <f t="shared" si="11"/>
        <v>531.30473907815508</v>
      </c>
      <c r="CD31" s="59">
        <f ca="1">AVERAGE(OFFSET($CC$3,0,0,'Données projet'!$E$12+1,1))-AVERAGE(OFFSET($H$3,0,0,'Données projet'!$E$12+1,1))</f>
        <v>328.55201074501201</v>
      </c>
      <c r="CE31" s="59">
        <f t="shared" si="40"/>
        <v>321.81422611044985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0.34484564861163569</v>
      </c>
      <c r="CL31" s="21">
        <f>EXP(-LN(2)/25)*CL30+(1-EXP(-LN(2)/25))/(LN(2)/25)*Calculateur!CG31*Calculateur!CI31*VLOOKUP('Données projet'!$B$12,Paramètres!$A$1:$I$89,3,0)*0.475*44/12</f>
        <v>2.8635626943048114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3.2084083429164472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129.4</v>
      </c>
      <c r="CU31" s="17">
        <f>CT31*VLOOKUP('Données projet'!$B$13,Paramètres!$A$1:$I$89,3,0)*VLOOKUP('Données projet'!$B$13,Paramètres!$A$1:$I$89,5,0)</f>
        <v>113.04384000000002</v>
      </c>
      <c r="CV31" s="13">
        <f t="shared" si="41"/>
        <v>30.046993788338579</v>
      </c>
      <c r="CW31" s="20">
        <f t="shared" si="13"/>
        <v>249.2165355146897</v>
      </c>
      <c r="CX31" s="59">
        <f t="shared" si="14"/>
        <v>540.10542440357858</v>
      </c>
      <c r="CY31" s="59">
        <f ca="1">AVERAGE(OFFSET($CX$3,0,0,'Données projet'!$E$13+1,1))-AVERAGE(OFFSET($H$3,0,0,'Données projet'!$E$13+1,1))</f>
        <v>354.24684313982857</v>
      </c>
      <c r="CZ31" s="59">
        <f t="shared" si="42"/>
        <v>322.65043486962185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11.5</v>
      </c>
      <c r="DO31" s="12">
        <f>IF('Données projet'!$A$166&gt;35,DO30+DN31-DW30,IF(A31&lt;'Données projet'!$A$166,$DL$205^A31,IF(A31='Données projet'!$A$166,'Données projet'!$B$166,DO30+DN31-DW30)))</f>
        <v>120.49999999999996</v>
      </c>
      <c r="DP31" s="17">
        <f>DO31*VLOOKUP('Données projet'!$B$14,Paramètres!$A$1:$I$89,3,0)*VLOOKUP('Données projet'!$B$14,Paramètres!$A$1:$I$89,5,0)</f>
        <v>93.989999999999966</v>
      </c>
      <c r="DQ31" s="13">
        <f t="shared" si="43"/>
        <v>25.525074036970054</v>
      </c>
      <c r="DR31" s="20">
        <f t="shared" si="16"/>
        <v>208.15542061438944</v>
      </c>
      <c r="DS31" s="59">
        <f t="shared" si="17"/>
        <v>499.04430950327833</v>
      </c>
      <c r="DT31" s="59">
        <f ca="1">AVERAGE(OFFSET($DS$3,0,0,'Données projet'!$E$14+1,1))-AVERAGE(OFFSET($H$3,0,0,'Données projet'!$E$14+1,1))</f>
        <v>288.80569134263209</v>
      </c>
      <c r="DU31" s="59">
        <f t="shared" si="44"/>
        <v>283.48738729114024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8.2859142948296665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8.2859142948296665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22.828205128205127</v>
      </c>
      <c r="EJ31" s="12">
        <f>IF('Données projet'!$A$192&gt;35,EJ30+EI31-ER30,IF(A31&lt;'Données projet'!$A$192,$EG$205^A31,IF(A31='Données projet'!$A$192,'Données projet'!$B$192,EJ30+EI31-ER30)))</f>
        <v>286.21282051282037</v>
      </c>
      <c r="EK31" s="17">
        <f>EJ31*VLOOKUP('Données projet'!$B$15,Paramètres!$A$1:$I$89,3,0)*VLOOKUP('Données projet'!$B$15,Paramètres!$A$1:$I$89,5,0)</f>
        <v>159.99296666666658</v>
      </c>
      <c r="EL31" s="13">
        <f t="shared" si="45"/>
        <v>40.840929014671453</v>
      </c>
      <c r="EM31" s="20">
        <f t="shared" si="19"/>
        <v>349.785701644997</v>
      </c>
      <c r="EN31" s="59">
        <f t="shared" si="20"/>
        <v>640.67459053388586</v>
      </c>
      <c r="EO31" s="59">
        <f ca="1">AVERAGE(OFFSET($EN$3,0,0,'Données projet'!$E$15+1,1))-AVERAGE(OFFSET($H$3,0,0,'Données projet'!$E$15+1,1))</f>
        <v>335.04906256888819</v>
      </c>
      <c r="EP31" s="59">
        <f t="shared" si="46"/>
        <v>440.84111898279554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11.252110247156793</v>
      </c>
      <c r="EW31" s="21">
        <f>EXP(-LN(2)/25)*EW30+(1-EXP(-LN(2)/25))/(LN(2)/25)*Calculateur!ER31*Calculateur!ET31*VLOOKUP('Données projet'!$B$15,Paramètres!$A$1:$I$89,3,0)*0.475*44/12</f>
        <v>14.551421526127376</v>
      </c>
      <c r="EX31" s="21">
        <f>EXP(-LN(2)/2)*EX30+(1-EXP(-LN(2)/2))/(LN(2)/2)*ER31*EU31*VLOOKUP('Données projet'!$B$15,Paramètres!$A$1:$I$89,3,0)*0.475*44/12</f>
        <v>1.4939989436668142</v>
      </c>
      <c r="EY31" s="22">
        <f t="shared" si="21"/>
        <v>27.297530716950984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11.5</v>
      </c>
      <c r="N32" s="13">
        <f>IF('Données projet'!$A$36&gt;35,N31+M32-V31,IF(A32&lt;'Données projet'!$A$36,$K$205^A32,IF(A32='Données projet'!$A$36,'Données projet'!$B$36,N31+M32-V31)))</f>
        <v>131.99999999999994</v>
      </c>
      <c r="O32" s="13">
        <f>N32*VLOOKUP('Données projet'!$B$9,Paramètres!$A$1:$I$89,3,0)*VLOOKUP('Données projet'!$B$9,Paramètres!$A$1:$I$89,5,0)</f>
        <v>107.07839999999996</v>
      </c>
      <c r="P32" s="13">
        <f t="shared" si="33"/>
        <v>28.64155810910178</v>
      </c>
      <c r="Q32" s="20">
        <f t="shared" si="2"/>
        <v>236.37892704001885</v>
      </c>
      <c r="R32" s="59">
        <f t="shared" si="0"/>
        <v>528.49003815112997</v>
      </c>
      <c r="S32" s="59">
        <f ca="1">AVERAGE(OFFSET($R$3,0,0,'Données projet'!$E$9+1,1))-AVERAGE(OFFSET($H$3,0,0,'Données projet'!$E$9+1,1))</f>
        <v>298.96480270023716</v>
      </c>
      <c r="T32" s="59">
        <f t="shared" si="34"/>
        <v>293.11447542333889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10.330943594475306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10.330943594475306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3.2427350427350423</v>
      </c>
      <c r="AI32" s="13">
        <f>IF('Données projet'!$A$62&gt;35,AI31+AH32-AQ31,IF(A32&lt;'Données projet'!$A$62,$AF$205^A32,IF(A32='Données projet'!$A$62,'Données projet'!$B$62,AI31+AH32-AQ31)))</f>
        <v>83.515091680970968</v>
      </c>
      <c r="AJ32" s="13">
        <f>AI32*VLOOKUP('Données projet'!$B$10,Paramètres!$A$1:$I$89,3,0)*VLOOKUP('Données projet'!$B$10,Paramètres!$A$1:$I$89,5,0)</f>
        <v>71.655948662273104</v>
      </c>
      <c r="AK32" s="13">
        <f t="shared" si="35"/>
        <v>20.084126726726403</v>
      </c>
      <c r="AL32" s="20">
        <f t="shared" si="4"/>
        <v>159.78063130250749</v>
      </c>
      <c r="AM32" s="59">
        <f t="shared" si="5"/>
        <v>451.89174241361866</v>
      </c>
      <c r="AN32" s="59">
        <f ca="1">AVERAGE(OFFSET($AM$3,0,0,'Données projet'!$E$10+1,1))-AVERAGE(OFFSET($H$3,0,0,'Données projet'!$E$10+1,1))</f>
        <v>335.02113791949211</v>
      </c>
      <c r="AO32" s="59">
        <f t="shared" si="36"/>
        <v>222.06886429435099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16.666666666666668</v>
      </c>
      <c r="BD32" s="12">
        <f>IF('Données projet'!$A$88&gt;35,BD31+BC32-BL31,IF(A32&lt;'Données projet'!$A$88,$BA$205^A32,IF(A32='Données projet'!$A$88,'Données projet'!$B$88,BD31+BC32-BL31)))</f>
        <v>238.33333333333329</v>
      </c>
      <c r="BE32" s="13">
        <f>BD32*VLOOKUP('Données projet'!$B$11,Paramètres!$A$1:$I$89,3,0)*VLOOKUP('Données projet'!$B$11,Paramètres!$A$1:$I$89,5,0)</f>
        <v>130.12999999999997</v>
      </c>
      <c r="BF32" s="13">
        <f t="shared" si="37"/>
        <v>34.026396767825609</v>
      </c>
      <c r="BG32" s="20">
        <f t="shared" si="7"/>
        <v>285.90572437062957</v>
      </c>
      <c r="BH32" s="59">
        <f t="shared" si="8"/>
        <v>578.01683548174071</v>
      </c>
      <c r="BI32" s="59">
        <f ca="1">AVERAGE(OFFSET($BH$3,0,0,'Données projet'!$E$11+1,1))-AVERAGE(OFFSET($H$3,0,0,'Données projet'!$E$11+1,1))</f>
        <v>207.02306964567629</v>
      </c>
      <c r="BJ32" s="59">
        <f t="shared" si="38"/>
        <v>342.06887933351783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55.906448267271848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55.906448267271848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119.36495999999994</v>
      </c>
      <c r="CA32" s="13">
        <f t="shared" si="39"/>
        <v>31.526840934707504</v>
      </c>
      <c r="CB32" s="20">
        <f t="shared" si="10"/>
        <v>262.80321996128214</v>
      </c>
      <c r="CC32" s="59">
        <f t="shared" si="11"/>
        <v>554.91433107239322</v>
      </c>
      <c r="CD32" s="59">
        <f ca="1">AVERAGE(OFFSET($CC$3,0,0,'Données projet'!$E$12+1,1))-AVERAGE(OFFSET($H$3,0,0,'Données projet'!$E$12+1,1))</f>
        <v>328.55201074501201</v>
      </c>
      <c r="CE32" s="59">
        <f t="shared" si="40"/>
        <v>321.81422611044985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0.33808343577743832</v>
      </c>
      <c r="CL32" s="21">
        <f>EXP(-LN(2)/25)*CL31+(1-EXP(-LN(2)/25))/(LN(2)/25)*Calculateur!CG32*Calculateur!CI32*VLOOKUP('Données projet'!$B$12,Paramètres!$A$1:$I$89,3,0)*0.475*44/12</f>
        <v>2.7852584218408292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3.1233418576182674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139.20000000000002</v>
      </c>
      <c r="CU32" s="17">
        <f>CT32*VLOOKUP('Données projet'!$B$13,Paramètres!$A$1:$I$89,3,0)*VLOOKUP('Données projet'!$B$13,Paramètres!$A$1:$I$89,5,0)</f>
        <v>121.60512000000003</v>
      </c>
      <c r="CV32" s="13">
        <f t="shared" si="41"/>
        <v>32.049077176455789</v>
      </c>
      <c r="CW32" s="20">
        <f t="shared" si="13"/>
        <v>267.61439341566057</v>
      </c>
      <c r="CX32" s="59">
        <f t="shared" si="14"/>
        <v>559.72550452677172</v>
      </c>
      <c r="CY32" s="59">
        <f ca="1">AVERAGE(OFFSET($CX$3,0,0,'Données projet'!$E$13+1,1))-AVERAGE(OFFSET($H$3,0,0,'Données projet'!$E$13+1,1))</f>
        <v>354.24684313982857</v>
      </c>
      <c r="CZ32" s="59">
        <f t="shared" si="42"/>
        <v>322.65043486962185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11.5</v>
      </c>
      <c r="DO32" s="12">
        <f>IF('Données projet'!$A$166&gt;35,DO31+DN32-DW31,IF(A32&lt;'Données projet'!$A$166,$DL$205^A32,IF(A32='Données projet'!$A$166,'Données projet'!$B$166,DO31+DN32-DW31)))</f>
        <v>131.99999999999994</v>
      </c>
      <c r="DP32" s="17">
        <f>DO32*VLOOKUP('Données projet'!$B$14,Paramètres!$A$1:$I$89,3,0)*VLOOKUP('Données projet'!$B$14,Paramètres!$A$1:$I$89,5,0)</f>
        <v>102.95999999999997</v>
      </c>
      <c r="DQ32" s="13">
        <f t="shared" si="43"/>
        <v>27.665975080374633</v>
      </c>
      <c r="DR32" s="20">
        <f t="shared" si="16"/>
        <v>227.50690659831903</v>
      </c>
      <c r="DS32" s="59">
        <f t="shared" si="17"/>
        <v>519.61801770943021</v>
      </c>
      <c r="DT32" s="59">
        <f ca="1">AVERAGE(OFFSET($DS$3,0,0,'Données projet'!$E$14+1,1))-AVERAGE(OFFSET($H$3,0,0,'Données projet'!$E$14+1,1))</f>
        <v>288.80569134263209</v>
      </c>
      <c r="DU32" s="59">
        <f t="shared" si="44"/>
        <v>283.48738729114024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8.0593355327002545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8.0593355327002545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22.828205128205127</v>
      </c>
      <c r="EJ32" s="12">
        <f>IF('Données projet'!$A$192&gt;35,EJ31+EI32-ER31,IF(A32&lt;'Données projet'!$A$192,$EG$205^A32,IF(A32='Données projet'!$A$192,'Données projet'!$B$192,EJ31+EI32-ER31)))</f>
        <v>309.0410256410255</v>
      </c>
      <c r="EK32" s="17">
        <f>EJ32*VLOOKUP('Données projet'!$B$15,Paramètres!$A$1:$I$89,3,0)*VLOOKUP('Données projet'!$B$15,Paramètres!$A$1:$I$89,5,0)</f>
        <v>172.75393333333326</v>
      </c>
      <c r="EL32" s="13">
        <f t="shared" si="45"/>
        <v>43.706234996805463</v>
      </c>
      <c r="EM32" s="20">
        <f t="shared" si="19"/>
        <v>377.00145984165829</v>
      </c>
      <c r="EN32" s="59">
        <f t="shared" si="20"/>
        <v>669.11257095276937</v>
      </c>
      <c r="EO32" s="59">
        <f ca="1">AVERAGE(OFFSET($EN$3,0,0,'Données projet'!$E$15+1,1))-AVERAGE(OFFSET($H$3,0,0,'Données projet'!$E$15+1,1))</f>
        <v>335.04906256888819</v>
      </c>
      <c r="EP32" s="59">
        <f t="shared" si="46"/>
        <v>440.84111898279554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11.031463228319623</v>
      </c>
      <c r="EW32" s="21">
        <f>EXP(-LN(2)/25)*EW31+(1-EXP(-LN(2)/25))/(LN(2)/25)*Calculateur!ER32*Calculateur!ET32*VLOOKUP('Données projet'!$B$15,Paramètres!$A$1:$I$89,3,0)*0.475*44/12</f>
        <v>14.153512139269422</v>
      </c>
      <c r="EX32" s="21">
        <f>EXP(-LN(2)/2)*EX31+(1-EXP(-LN(2)/2))/(LN(2)/2)*ER32*EU32*VLOOKUP('Données projet'!$B$15,Paramètres!$A$1:$I$89,3,0)*0.475*44/12</f>
        <v>1.0564167841523431</v>
      </c>
      <c r="EY32" s="22">
        <f t="shared" si="21"/>
        <v>26.24139215174139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11.5</v>
      </c>
      <c r="N33" s="13">
        <f>IF('Données projet'!$A$36&gt;35,N32+M33-V32,IF(A33&lt;'Données projet'!$A$36,$K$205^A33,IF(A33='Données projet'!$A$36,'Données projet'!$B$36,N32+M33-V32)))</f>
        <v>143.49999999999994</v>
      </c>
      <c r="O33" s="13">
        <f>N33*VLOOKUP('Données projet'!$B$9,Paramètres!$A$1:$I$89,3,0)*VLOOKUP('Données projet'!$B$9,Paramètres!$A$1:$I$89,5,0)</f>
        <v>116.40719999999996</v>
      </c>
      <c r="P33" s="13">
        <f t="shared" si="33"/>
        <v>30.835561008615706</v>
      </c>
      <c r="Q33" s="20">
        <f t="shared" si="2"/>
        <v>256.44780875667226</v>
      </c>
      <c r="R33" s="59">
        <f t="shared" si="0"/>
        <v>549.78114209000557</v>
      </c>
      <c r="S33" s="59">
        <f ca="1">AVERAGE(OFFSET($R$3,0,0,'Données projet'!$E$9+1,1))-AVERAGE(OFFSET($H$3,0,0,'Données projet'!$E$9+1,1))</f>
        <v>298.96480270023716</v>
      </c>
      <c r="T33" s="59">
        <f t="shared" si="34"/>
        <v>293.11447542333889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10.048443398603666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10.048443398603666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97.28205128205127</v>
      </c>
      <c r="AG33" s="12">
        <f>VLOOKUP(A33,'Données projet'!$A$61:$I$81,9,0)</f>
        <v>3.2427350427350423</v>
      </c>
      <c r="AH33" s="12">
        <f t="array" ref="AH33">INDEX(AG:AG,MIN(IF(ISNUMBER(AG33:AG229),ROW(AG33:AG229),"")))</f>
        <v>3.2427350427350423</v>
      </c>
      <c r="AI33" s="13">
        <f>IF('Données projet'!$A$62&gt;35,AI32+AH33-AQ32,IF(A33&lt;'Données projet'!$A$62,$AF$205^A33,IF(A33='Données projet'!$A$62,'Données projet'!$B$62,AI32+AH33-AQ32)))</f>
        <v>97.28205128205127</v>
      </c>
      <c r="AJ33" s="13">
        <f>AI33*VLOOKUP('Données projet'!$B$10,Paramètres!$A$1:$I$89,3,0)*VLOOKUP('Données projet'!$B$10,Paramètres!$A$1:$I$89,5,0)</f>
        <v>83.468000000000004</v>
      </c>
      <c r="AK33" s="13">
        <f t="shared" si="35"/>
        <v>22.983022561349888</v>
      </c>
      <c r="AL33" s="20">
        <f t="shared" si="4"/>
        <v>185.40219762768436</v>
      </c>
      <c r="AM33" s="59">
        <f t="shared" si="5"/>
        <v>478.73553096101767</v>
      </c>
      <c r="AN33" s="59">
        <f ca="1">AVERAGE(OFFSET($AM$3,0,0,'Données projet'!$E$10+1,1))-AVERAGE(OFFSET($H$3,0,0,'Données projet'!$E$10+1,1))</f>
        <v>335.02113791949211</v>
      </c>
      <c r="AO33" s="59">
        <f t="shared" si="36"/>
        <v>222.06886429435099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255</v>
      </c>
      <c r="BB33" s="12">
        <f>VLOOKUP(A33,'Données projet'!$A$87:$I$107,9,0)</f>
        <v>16.666666666666668</v>
      </c>
      <c r="BC33" s="12">
        <f t="array" ref="BC33">INDEX(BB:BB,MIN(IF(ISNUMBER(BB33:BB229),ROW(BB33:BB229),"")))</f>
        <v>16.666666666666668</v>
      </c>
      <c r="BD33" s="12">
        <f>IF('Données projet'!$A$88&gt;35,BD32+BC33-BL32,IF(A33&lt;'Données projet'!$A$88,$BA$205^A33,IF(A33='Données projet'!$A$88,'Données projet'!$B$88,BD32+BC33-BL32)))</f>
        <v>254.99999999999994</v>
      </c>
      <c r="BE33" s="13">
        <f>BD33*VLOOKUP('Données projet'!$B$11,Paramètres!$A$1:$I$89,3,0)*VLOOKUP('Données projet'!$B$11,Paramètres!$A$1:$I$89,5,0)</f>
        <v>139.22999999999996</v>
      </c>
      <c r="BF33" s="13">
        <f t="shared" si="37"/>
        <v>36.120552727378737</v>
      </c>
      <c r="BG33" s="20">
        <f t="shared" si="7"/>
        <v>305.4022126668512</v>
      </c>
      <c r="BH33" s="59">
        <f t="shared" si="8"/>
        <v>598.73554600018451</v>
      </c>
      <c r="BI33" s="59">
        <f ca="1">AVERAGE(OFFSET($BH$3,0,0,'Données projet'!$E$11+1,1))-AVERAGE(OFFSET($H$3,0,0,'Données projet'!$E$11+1,1))</f>
        <v>207.02306964567629</v>
      </c>
      <c r="BJ33" s="59">
        <f t="shared" si="38"/>
        <v>342.06887933351783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76</v>
      </c>
      <c r="BM33" s="16">
        <f>IF(ISNA(VLOOKUP(A33,'Données projet'!$A$87:$I$107,5,0)),0%,VLOOKUP(A33,'Données projet'!$A$87:$I$107,5,0)*VLOOKUP('Données projet'!$B$11,Paramètres!$A$1:$I$89,7,0))</f>
        <v>0.18</v>
      </c>
      <c r="BN33" s="16">
        <f>IF(ISNA(VLOOKUP(A33,'Données projet'!$A$87:$I$107,6,0)),0%,VLOOKUP(A33,'Données projet'!$A$87:$I$107,6,0)*VLOOKUP('Données projet'!$B$11,Paramètres!$A$1:$I$89,7,0))</f>
        <v>0.36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9.9084813557254474</v>
      </c>
      <c r="BQ33" s="21">
        <f>EXP(-LN(2)/25)*BQ32+(1-EXP(-LN(2)/25))/(LN(2)/25)*Calculateur!BL33*Calculateur!BN33*VLOOKUP('Données projet'!$B$11,Paramètres!$A$1:$I$89,3,0)*0.475*44/12</f>
        <v>74.116619277812106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84.025100633537548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129.77639999999994</v>
      </c>
      <c r="CA33" s="13">
        <f t="shared" si="39"/>
        <v>33.94468676198089</v>
      </c>
      <c r="CB33" s="20">
        <f t="shared" si="10"/>
        <v>285.14755944378322</v>
      </c>
      <c r="CC33" s="59">
        <f t="shared" si="11"/>
        <v>578.48089277711654</v>
      </c>
      <c r="CD33" s="59">
        <f ca="1">AVERAGE(OFFSET($CC$3,0,0,'Données projet'!$E$12+1,1))-AVERAGE(OFFSET($H$3,0,0,'Données projet'!$E$12+1,1))</f>
        <v>328.55201074501201</v>
      </c>
      <c r="CE33" s="59">
        <f t="shared" si="40"/>
        <v>321.81422611044985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8.6000000000000007E-2</v>
      </c>
      <c r="CI33" s="16">
        <f>IF(ISNA(VLOOKUP(A33,'Données projet'!$A$113:$I$133,6,0)),0%,VLOOKUP(A33,'Données projet'!$A$113:$I$133,6,0)*VLOOKUP('Données projet'!$B$12,Paramètres!$A$1:$I$89,7,0))</f>
        <v>0.18489999999999998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2.77115178145579</v>
      </c>
      <c r="CL33" s="21">
        <f>EXP(-LN(2)/25)*CL32+(1-EXP(-LN(2)/25))/(LN(2)/25)*Calculateur!CG33*Calculateur!CI33*VLOOKUP('Données projet'!$B$12,Paramètres!$A$1:$I$89,3,0)*0.475*44/12</f>
        <v>7.9337930444928411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10.704944825948632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149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149.00000000000003</v>
      </c>
      <c r="CU33" s="17">
        <f>CT33*VLOOKUP('Données projet'!$B$13,Paramètres!$A$1:$I$89,3,0)*VLOOKUP('Données projet'!$B$13,Paramètres!$A$1:$I$89,5,0)</f>
        <v>130.16640000000004</v>
      </c>
      <c r="CV33" s="13">
        <f t="shared" si="41"/>
        <v>34.034806623706302</v>
      </c>
      <c r="CW33" s="20">
        <f t="shared" si="13"/>
        <v>285.98376820295522</v>
      </c>
      <c r="CX33" s="59">
        <f t="shared" si="14"/>
        <v>579.31710153628853</v>
      </c>
      <c r="CY33" s="59">
        <f ca="1">AVERAGE(OFFSET($CX$3,0,0,'Données projet'!$E$13+1,1))-AVERAGE(OFFSET($H$3,0,0,'Données projet'!$E$13+1,1))</f>
        <v>354.24684313982857</v>
      </c>
      <c r="CZ33" s="59">
        <f t="shared" si="42"/>
        <v>322.65043486962185</v>
      </c>
      <c r="DA33" s="15">
        <f>IF(ISNA(VLOOKUP(A33,'Données projet'!$A$139:$I$159,3,0)),0,VLOOKUP(A33,'Données projet'!$A$139:$I$159,3,0))</f>
        <v>3</v>
      </c>
      <c r="DB33" s="15" t="str">
        <f>IF(ISNA(VLOOKUP(A33,'Données projet'!$A$139:$I$159,4,0)),0,VLOOKUP(A33,'Données projet'!$A$139:$I$159,4,0))</f>
        <v>27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11.5</v>
      </c>
      <c r="DO33" s="12">
        <f>IF('Données projet'!$A$166&gt;35,DO32+DN33-DW32,IF(A33&lt;'Données projet'!$A$166,$DL$205^A33,IF(A33='Données projet'!$A$166,'Données projet'!$B$166,DO32+DN33-DW32)))</f>
        <v>143.49999999999994</v>
      </c>
      <c r="DP33" s="17">
        <f>DO33*VLOOKUP('Données projet'!$B$14,Paramètres!$A$1:$I$89,3,0)*VLOOKUP('Données projet'!$B$14,Paramètres!$A$1:$I$89,5,0)</f>
        <v>111.92999999999996</v>
      </c>
      <c r="DQ33" s="13">
        <f t="shared" si="43"/>
        <v>29.785246291563833</v>
      </c>
      <c r="DR33" s="20">
        <f t="shared" si="16"/>
        <v>246.82072062447358</v>
      </c>
      <c r="DS33" s="59">
        <f t="shared" si="17"/>
        <v>540.15405395780692</v>
      </c>
      <c r="DT33" s="59">
        <f ca="1">AVERAGE(OFFSET($DS$3,0,0,'Données projet'!$E$14+1,1))-AVERAGE(OFFSET($H$3,0,0,'Données projet'!$E$14+1,1))</f>
        <v>288.80569134263209</v>
      </c>
      <c r="DU33" s="59">
        <f t="shared" si="44"/>
        <v>283.48738729114024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7.8389525787365306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7.8389525787365306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331.86923076923074</v>
      </c>
      <c r="EH33" s="12">
        <f>VLOOKUP(A33,'Données projet'!$A$191:$I$211,9,0)</f>
        <v>22.828205128205127</v>
      </c>
      <c r="EI33" s="12">
        <f t="array" ref="EI33">INDEX(EH:EH,MIN(IF(ISNUMBER(EH33:EH229),ROW(EH33:EH229),"")))</f>
        <v>22.828205128205127</v>
      </c>
      <c r="EJ33" s="12">
        <f>IF('Données projet'!$A$192&gt;35,EJ32+EI33-ER32,IF(A33&lt;'Données projet'!$A$192,$EG$205^A33,IF(A33='Données projet'!$A$192,'Données projet'!$B$192,EJ32+EI33-ER32)))</f>
        <v>331.86923076923063</v>
      </c>
      <c r="EK33" s="17">
        <f>EJ33*VLOOKUP('Données projet'!$B$15,Paramètres!$A$1:$I$89,3,0)*VLOOKUP('Données projet'!$B$15,Paramètres!$A$1:$I$89,5,0)</f>
        <v>185.5148999999999</v>
      </c>
      <c r="EL33" s="13">
        <f t="shared" si="45"/>
        <v>46.546986497298995</v>
      </c>
      <c r="EM33" s="20">
        <f t="shared" si="19"/>
        <v>404.17445231612891</v>
      </c>
      <c r="EN33" s="59">
        <f t="shared" si="20"/>
        <v>697.50778564946222</v>
      </c>
      <c r="EO33" s="59">
        <f ca="1">AVERAGE(OFFSET($EN$3,0,0,'Données projet'!$E$15+1,1))-AVERAGE(OFFSET($H$3,0,0,'Données projet'!$E$15+1,1))</f>
        <v>335.04906256888819</v>
      </c>
      <c r="EP33" s="59">
        <f t="shared" si="46"/>
        <v>440.84111898279554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65.669230769230765</v>
      </c>
      <c r="ES33" s="16">
        <f>IF(ISNA(VLOOKUP(A33,'Données projet'!$A$191:$I$211,5,0)),0%,VLOOKUP(A33,'Données projet'!$A$191:$I$211,5,0)*VLOOKUP('Données projet'!$B$15,Paramètres!$A$1:$I$89,7,0))</f>
        <v>0.38500000000000001</v>
      </c>
      <c r="ET33" s="16">
        <f>IF(ISNA(VLOOKUP(A33,'Données projet'!$A$191:$I$211,6,0)),0%,VLOOKUP(A33,'Données projet'!$A$191:$I$211,6,0)*VLOOKUP('Données projet'!$B$15,Paramètres!$A$1:$I$89,7,0))</f>
        <v>9.240000000000001E-2</v>
      </c>
      <c r="EU33" s="16">
        <f>IF(ISNA(VLOOKUP(A33,'Données projet'!$A$191:$I$211,7,0)),0%,VLOOKUP(A33,'Données projet'!$A$191:$I$211,7,0))</f>
        <v>0.13200000000000001</v>
      </c>
      <c r="EV33" s="21">
        <f>EXP(-LN(2)/35)*EV32+(1-EXP(-LN(2)/35))/(LN(2)/35)*ER33*ES33*VLOOKUP('Données projet'!$B$15,Paramètres!$A$1:$I$89,3,0)*0.475*44/12</f>
        <v>29.563483054643072</v>
      </c>
      <c r="EW33" s="21">
        <f>EXP(-LN(2)/25)*EW32+(1-EXP(-LN(2)/25))/(LN(2)/25)*Calculateur!ER33*Calculateur!ET33*VLOOKUP('Données projet'!$B$15,Paramètres!$A$1:$I$89,3,0)*0.475*44/12</f>
        <v>18.248368581460394</v>
      </c>
      <c r="EX33" s="21">
        <f>EXP(-LN(2)/2)*EX32+(1-EXP(-LN(2)/2))/(LN(2)/2)*ER33*EU33*VLOOKUP('Données projet'!$B$15,Paramètres!$A$1:$I$89,3,0)*0.475*44/12</f>
        <v>6.233345651406407</v>
      </c>
      <c r="EY33" s="22">
        <f t="shared" si="21"/>
        <v>54.045197287509879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>
        <f>VLOOKUP(A34,'Données projet'!$A$35:$I$55,2,0)</f>
        <v>155</v>
      </c>
      <c r="L34" s="12">
        <f>VLOOKUP(A34,'Données projet'!$A$35:$I$55,9,0)</f>
        <v>11.5</v>
      </c>
      <c r="M34" s="12">
        <f t="array" ref="M34">INDEX(L:L,MIN(IF(ISNUMBER(L34:L230),ROW(L34:L230),"")))</f>
        <v>11.5</v>
      </c>
      <c r="N34" s="13">
        <f>IF('Données projet'!$A$36&gt;35,N33+M34-V33,IF(A34&lt;'Données projet'!$A$36,$K$205^A34,IF(A34='Données projet'!$A$36,'Données projet'!$B$36,N33+M34-V33)))</f>
        <v>154.99999999999994</v>
      </c>
      <c r="O34" s="13">
        <f>N34*VLOOKUP('Données projet'!$B$9,Paramètres!$A$1:$I$89,3,0)*VLOOKUP('Données projet'!$B$9,Paramètres!$A$1:$I$89,5,0)</f>
        <v>125.73599999999998</v>
      </c>
      <c r="P34" s="13">
        <f t="shared" si="33"/>
        <v>33.0091698918201</v>
      </c>
      <c r="Q34" s="20">
        <f t="shared" si="2"/>
        <v>276.4811708949199</v>
      </c>
      <c r="R34" s="59">
        <f t="shared" si="0"/>
        <v>569.81450422825321</v>
      </c>
      <c r="S34" s="59">
        <f ca="1">AVERAGE(OFFSET($R$3,0,0,'Données projet'!$E$9+1,1))-AVERAGE(OFFSET($H$3,0,0,'Données projet'!$E$9+1,1))</f>
        <v>298.96480270023716</v>
      </c>
      <c r="T34" s="59">
        <f t="shared" si="34"/>
        <v>293.11447542333889</v>
      </c>
      <c r="U34" s="15">
        <f>IF(ISNA(VLOOKUP(A34,'Données projet'!$A$35:$I$55,3,0)),0,VLOOKUP(A34,'Données projet'!$A$35:$I$55,3,0))</f>
        <v>4</v>
      </c>
      <c r="V34" s="15">
        <f>IF(ISNA(VLOOKUP(A34,'Données projet'!$A$35:$I$55,4,0)),0,VLOOKUP(A34,'Données projet'!$A$35:$I$55,4,0))</f>
        <v>35</v>
      </c>
      <c r="W34" s="16">
        <f>IF(ISNA(VLOOKUP(A34,'Données projet'!$A$35:$I$55,5,0)),0%,VLOOKUP(A34,'Données projet'!$A$35:$I$55,5,0)*VLOOKUP('Données projet'!$B$9,Paramètres!$A$1:$I$89,7,0))</f>
        <v>0.159</v>
      </c>
      <c r="X34" s="16">
        <f>IF(ISNA(VLOOKUP(A34,'Données projet'!$A$35:$I$55,6,0)),0%,VLOOKUP(A34,'Données projet'!$A$35:$I$55,6,0)*VLOOKUP('Données projet'!$B$9,Paramètres!$A$1:$I$89,7,0))</f>
        <v>0.21200000000000002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4.9904558874962239</v>
      </c>
      <c r="AA34" s="21">
        <f>EXP(-LN(2)/25)*AA33+(1-EXP(-LN(2)/25))/(LN(2)/25)*Calculateur!V34*Calculateur!X34*VLOOKUP('Données projet'!$B$9,Paramètres!$A$1:$I$89,3,0)*0.475*44/12</f>
        <v>16.401410266983351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21.391866154479576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7.9818376068376082</v>
      </c>
      <c r="AI34" s="13">
        <f>IF('Données projet'!$A$62&gt;35,AI33+AH34-AQ33,IF(A34&lt;'Données projet'!$A$62,$AF$205^A34,IF(A34='Données projet'!$A$62,'Données projet'!$B$62,AI33+AH34-AQ33)))</f>
        <v>105.26388888888889</v>
      </c>
      <c r="AJ34" s="13">
        <f>AI34*VLOOKUP('Données projet'!$B$10,Paramètres!$A$1:$I$89,3,0)*VLOOKUP('Données projet'!$B$10,Paramètres!$A$1:$I$89,5,0)</f>
        <v>90.316416666666683</v>
      </c>
      <c r="AK34" s="13">
        <f t="shared" si="35"/>
        <v>24.641521480322318</v>
      </c>
      <c r="AL34" s="20">
        <f t="shared" si="4"/>
        <v>200.21840893933916</v>
      </c>
      <c r="AM34" s="59">
        <f t="shared" si="5"/>
        <v>493.55174227267247</v>
      </c>
      <c r="AN34" s="59">
        <f ca="1">AVERAGE(OFFSET($AM$3,0,0,'Données projet'!$E$10+1,1))-AVERAGE(OFFSET($H$3,0,0,'Données projet'!$E$10+1,1))</f>
        <v>335.02113791949211</v>
      </c>
      <c r="AO34" s="59">
        <f t="shared" si="36"/>
        <v>222.06886429435099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</v>
      </c>
      <c r="BD34" s="12">
        <f>IF('Données projet'!$A$88&gt;35,BD33+BC34-BL33,IF(A34&lt;'Données projet'!$A$88,$BA$205^A34,IF(A34='Données projet'!$A$88,'Données projet'!$B$88,BD33+BC34-BL33)))</f>
        <v>193.99999999999994</v>
      </c>
      <c r="BE34" s="13">
        <f>BD34*VLOOKUP('Données projet'!$B$11,Paramètres!$A$1:$I$89,3,0)*VLOOKUP('Données projet'!$B$11,Paramètres!$A$1:$I$89,5,0)</f>
        <v>105.92399999999998</v>
      </c>
      <c r="BF34" s="13">
        <f t="shared" si="37"/>
        <v>28.36854701055546</v>
      </c>
      <c r="BG34" s="20">
        <f t="shared" si="7"/>
        <v>233.89285271005073</v>
      </c>
      <c r="BH34" s="59">
        <f t="shared" si="8"/>
        <v>527.22618604338402</v>
      </c>
      <c r="BI34" s="59">
        <f ca="1">AVERAGE(OFFSET($BH$3,0,0,'Données projet'!$E$11+1,1))-AVERAGE(OFFSET($H$3,0,0,'Données projet'!$E$11+1,1))</f>
        <v>207.02306964567629</v>
      </c>
      <c r="BJ34" s="59">
        <f t="shared" si="38"/>
        <v>342.06887933351783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9.7141820799165455</v>
      </c>
      <c r="BQ34" s="21">
        <f>EXP(-LN(2)/25)*BQ33+(1-EXP(-LN(2)/25))/(LN(2)/25)*Calculateur!BL34*Calculateur!BN34*VLOOKUP('Données projet'!$B$11,Paramètres!$A$1:$I$89,3,0)*0.475*44/12</f>
        <v>72.089896426036717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81.804078505953257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113.49935999999994</v>
      </c>
      <c r="CA34" s="13">
        <f t="shared" si="39"/>
        <v>30.153952354272999</v>
      </c>
      <c r="CB34" s="20">
        <f t="shared" si="10"/>
        <v>250.19618568369199</v>
      </c>
      <c r="CC34" s="59">
        <f t="shared" si="11"/>
        <v>543.52951901702534</v>
      </c>
      <c r="CD34" s="59">
        <f ca="1">AVERAGE(OFFSET($CC$3,0,0,'Données projet'!$E$12+1,1))-AVERAGE(OFFSET($H$3,0,0,'Données projet'!$E$12+1,1))</f>
        <v>328.55201074501201</v>
      </c>
      <c r="CE34" s="59">
        <f t="shared" si="40"/>
        <v>321.81422611044985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2.7168111852571317</v>
      </c>
      <c r="CL34" s="21">
        <f>EXP(-LN(2)/25)*CL33+(1-EXP(-LN(2)/25))/(LN(2)/25)*Calculateur!CG34*Calculateur!CI34*VLOOKUP('Données projet'!$B$12,Paramètres!$A$1:$I$89,3,0)*0.475*44/12</f>
        <v>7.7168430564711414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10.433654241728274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9.1999999999999993</v>
      </c>
      <c r="CT34" s="12">
        <f>IF('Données projet'!$A$140&gt;35,CT33+CS34-DB33,IF(A34&lt;'Données projet'!$A$140,$CQ$205^A34,IF(A34='Données projet'!$A$140,'Données projet'!$B$140,CT33+CS34-DB33)))</f>
        <v>131.20000000000002</v>
      </c>
      <c r="CU34" s="17">
        <f>CT34*VLOOKUP('Données projet'!$B$13,Paramètres!$A$1:$I$89,3,0)*VLOOKUP('Données projet'!$B$13,Paramètres!$A$1:$I$89,5,0)</f>
        <v>114.61632000000004</v>
      </c>
      <c r="CV34" s="13">
        <f t="shared" si="41"/>
        <v>30.416009647934409</v>
      </c>
      <c r="CW34" s="20">
        <f t="shared" si="13"/>
        <v>252.59797413681915</v>
      </c>
      <c r="CX34" s="59">
        <f t="shared" si="14"/>
        <v>545.93130747015243</v>
      </c>
      <c r="CY34" s="59">
        <f ca="1">AVERAGE(OFFSET($CX$3,0,0,'Données projet'!$E$13+1,1))-AVERAGE(OFFSET($H$3,0,0,'Données projet'!$E$13+1,1))</f>
        <v>354.24684313982857</v>
      </c>
      <c r="CZ34" s="59">
        <f t="shared" si="42"/>
        <v>322.65043486962185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155</v>
      </c>
      <c r="DM34" s="12">
        <f>VLOOKUP(A34,'Données projet'!$A$165:$I$185,9,0)</f>
        <v>11.5</v>
      </c>
      <c r="DN34" s="12">
        <f t="array" ref="DN34">INDEX(DM:DM,MIN(IF(ISNUMBER(DM34:DM230),ROW(DM34:DM230),"")))</f>
        <v>11.5</v>
      </c>
      <c r="DO34" s="12">
        <f>IF('Données projet'!$A$166&gt;35,DO33+DN34-DW33,IF(A34&lt;'Données projet'!$A$166,$DL$205^A34,IF(A34='Données projet'!$A$166,'Données projet'!$B$166,DO33+DN34-DW33)))</f>
        <v>154.99999999999994</v>
      </c>
      <c r="DP34" s="17">
        <f>DO34*VLOOKUP('Données projet'!$B$14,Paramètres!$A$1:$I$89,3,0)*VLOOKUP('Données projet'!$B$14,Paramètres!$A$1:$I$89,5,0)</f>
        <v>120.89999999999996</v>
      </c>
      <c r="DQ34" s="13">
        <f t="shared" si="43"/>
        <v>31.884818143351602</v>
      </c>
      <c r="DR34" s="20">
        <f t="shared" si="16"/>
        <v>266.10022493300397</v>
      </c>
      <c r="DS34" s="59">
        <f t="shared" si="17"/>
        <v>559.43355826633729</v>
      </c>
      <c r="DT34" s="59">
        <f ca="1">AVERAGE(OFFSET($DS$3,0,0,'Données projet'!$E$14+1,1))-AVERAGE(OFFSET($H$3,0,0,'Données projet'!$E$14+1,1))</f>
        <v>288.80569134263209</v>
      </c>
      <c r="DU34" s="59">
        <f t="shared" si="44"/>
        <v>283.48738729114024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35</v>
      </c>
      <c r="DX34" s="16">
        <f>IF(ISNA(VLOOKUP(A34,'Données projet'!$A$165:$I$185,5,0)),0%,VLOOKUP(A34,'Données projet'!$A$165:$I$185,5,0)*VLOOKUP('Données projet'!$B$14,Paramètres!$A$1:$I$89,7,0))</f>
        <v>0.129</v>
      </c>
      <c r="DY34" s="16">
        <f>IF(ISNA(VLOOKUP(A34,'Données projet'!$A$165:$I$185,6,0)),0%,VLOOKUP(A34,'Données projet'!$A$165:$I$185,6,0)*VLOOKUP('Données projet'!$B$14,Paramètres!$A$1:$I$89,7,0))</f>
        <v>0.17200000000000001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3.8931350356011905</v>
      </c>
      <c r="EB34" s="21">
        <f>EXP(-LN(2)/25)*EB33+(1-EXP(-LN(2)/25))/(LN(2)/25)*Calculateur!DW34*Calculateur!DY34*VLOOKUP('Données projet'!$B$14,Paramètres!$A$1:$I$89,3,0)*0.475*44/12</f>
        <v>12.795004380992092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16.68813941659328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22.884615384615397</v>
      </c>
      <c r="EJ34" s="12">
        <f>IF('Données projet'!$A$192&gt;35,EJ33+EI34-ER33,IF(A34&lt;'Données projet'!$A$192,$EG$205^A34,IF(A34='Données projet'!$A$192,'Données projet'!$B$192,EJ33+EI34-ER33)))</f>
        <v>289.08461538461529</v>
      </c>
      <c r="EK34" s="17">
        <f>EJ34*VLOOKUP('Données projet'!$B$15,Paramètres!$A$1:$I$89,3,0)*VLOOKUP('Données projet'!$B$15,Paramètres!$A$1:$I$89,5,0)</f>
        <v>161.59829999999994</v>
      </c>
      <c r="EL34" s="13">
        <f t="shared" si="45"/>
        <v>41.202807619439731</v>
      </c>
      <c r="EM34" s="20">
        <f t="shared" si="19"/>
        <v>353.21192910385736</v>
      </c>
      <c r="EN34" s="59">
        <f t="shared" si="20"/>
        <v>646.54526243719067</v>
      </c>
      <c r="EO34" s="59">
        <f ca="1">AVERAGE(OFFSET($EN$3,0,0,'Données projet'!$E$15+1,1))-AVERAGE(OFFSET($H$3,0,0,'Données projet'!$E$15+1,1))</f>
        <v>335.04906256888819</v>
      </c>
      <c r="EP34" s="59">
        <f t="shared" si="46"/>
        <v>440.84111898279554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28.983761183885679</v>
      </c>
      <c r="EW34" s="21">
        <f>EXP(-LN(2)/25)*EW33+(1-EXP(-LN(2)/25))/(LN(2)/25)*Calculateur!ER34*Calculateur!ET34*VLOOKUP('Données projet'!$B$15,Paramètres!$A$1:$I$89,3,0)*0.475*44/12</f>
        <v>17.749365982960363</v>
      </c>
      <c r="EX34" s="21">
        <f>EXP(-LN(2)/2)*EX33+(1-EXP(-LN(2)/2))/(LN(2)/2)*ER34*EU34*VLOOKUP('Données projet'!$B$15,Paramètres!$A$1:$I$89,3,0)*0.475*44/12</f>
        <v>4.4076409795891482</v>
      </c>
      <c r="EY34" s="22">
        <f t="shared" si="21"/>
        <v>51.140768146435192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11.333333333333334</v>
      </c>
      <c r="N35" s="13">
        <f>IF('Données projet'!$A$36&gt;35,N34+M35-V34,IF(A35&lt;'Données projet'!$A$36,$K$205^A35,IF(A35='Données projet'!$A$36,'Données projet'!$B$36,N34+M35-V34)))</f>
        <v>131.33333333333329</v>
      </c>
      <c r="O35" s="13">
        <f>N35*VLOOKUP('Données projet'!$B$9,Paramètres!$A$1:$I$89,3,0)*VLOOKUP('Données projet'!$B$9,Paramètres!$A$1:$I$89,5,0)</f>
        <v>106.53759999999997</v>
      </c>
      <c r="P35" s="13">
        <f t="shared" si="33"/>
        <v>28.513703898555363</v>
      </c>
      <c r="Q35" s="20">
        <f t="shared" ref="Q35:Q66" si="53">(O35+P35)*0.475*44/12</f>
        <v>235.21435428998385</v>
      </c>
      <c r="R35" s="59">
        <f t="shared" si="0"/>
        <v>528.54768762331719</v>
      </c>
      <c r="S35" s="59">
        <f ca="1">AVERAGE(OFFSET($R$3,0,0,'Données projet'!$E$9+1,1))-AVERAGE(OFFSET($H$3,0,0,'Données projet'!$E$9+1,1))</f>
        <v>298.96480270023716</v>
      </c>
      <c r="T35" s="59">
        <f t="shared" si="34"/>
        <v>293.11447542333889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4.8925960914199562</v>
      </c>
      <c r="AA35" s="21">
        <f>EXP(-LN(2)/25)*AA34+(1-EXP(-LN(2)/25))/(LN(2)/25)*Calculateur!V35*Calculateur!X35*VLOOKUP('Données projet'!$B$9,Paramètres!$A$1:$I$89,3,0)*0.475*44/12</f>
        <v>15.952912840720012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20.845508932139968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7.9818376068376082</v>
      </c>
      <c r="AI35" s="13">
        <f>IF('Données projet'!$A$62&gt;35,AI34+AH35-AQ34,IF(A35&lt;'Données projet'!$A$62,$AF$205^A35,IF(A35='Données projet'!$A$62,'Données projet'!$B$62,AI34+AH35-AQ34)))</f>
        <v>113.2457264957265</v>
      </c>
      <c r="AJ35" s="13">
        <f>AI35*VLOOKUP('Données projet'!$B$10,Paramètres!$A$1:$I$89,3,0)*VLOOKUP('Données projet'!$B$10,Paramètres!$A$1:$I$89,5,0)</f>
        <v>97.164833333333348</v>
      </c>
      <c r="AK35" s="13">
        <f t="shared" si="35"/>
        <v>26.285431727378473</v>
      </c>
      <c r="AL35" s="20">
        <f t="shared" si="4"/>
        <v>215.00921164740643</v>
      </c>
      <c r="AM35" s="59">
        <f t="shared" si="5"/>
        <v>508.34254498073972</v>
      </c>
      <c r="AN35" s="59">
        <f ca="1">AVERAGE(OFFSET($AM$3,0,0,'Données projet'!$E$10+1,1))-AVERAGE(OFFSET($H$3,0,0,'Données projet'!$E$10+1,1))</f>
        <v>335.02113791949211</v>
      </c>
      <c r="AO35" s="59">
        <f t="shared" si="36"/>
        <v>222.06886429435099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</v>
      </c>
      <c r="BD35" s="12">
        <f>IF('Données projet'!$A$88&gt;35,BD34+BC35-BL34,IF(A35&lt;'Données projet'!$A$88,$BA$205^A35,IF(A35='Données projet'!$A$88,'Données projet'!$B$88,BD34+BC35-BL34)))</f>
        <v>208.99999999999994</v>
      </c>
      <c r="BE35" s="13">
        <f>BD35*VLOOKUP('Données projet'!$B$11,Paramètres!$A$1:$I$89,3,0)*VLOOKUP('Données projet'!$B$11,Paramètres!$A$1:$I$89,5,0)</f>
        <v>114.11399999999996</v>
      </c>
      <c r="BF35" s="13">
        <f t="shared" si="37"/>
        <v>30.298194021728271</v>
      </c>
      <c r="BG35" s="20">
        <f t="shared" si="7"/>
        <v>251.5179045878433</v>
      </c>
      <c r="BH35" s="59">
        <f t="shared" si="8"/>
        <v>544.85123792117656</v>
      </c>
      <c r="BI35" s="59">
        <f ca="1">AVERAGE(OFFSET($BH$3,0,0,'Données projet'!$E$11+1,1))-AVERAGE(OFFSET($H$3,0,0,'Données projet'!$E$11+1,1))</f>
        <v>207.02306964567629</v>
      </c>
      <c r="BJ35" s="59">
        <f t="shared" si="38"/>
        <v>342.06887933351783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9.5236928943953991</v>
      </c>
      <c r="BQ35" s="21">
        <f>EXP(-LN(2)/25)*BQ34+(1-EXP(-LN(2)/25))/(LN(2)/25)*Calculateur!BL35*Calculateur!BN35*VLOOKUP('Données projet'!$B$11,Paramètres!$A$1:$I$89,3,0)*0.475*44/12</f>
        <v>70.118594417223846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79.642287311619242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122.88431999999995</v>
      </c>
      <c r="CA35" s="13">
        <f t="shared" si="39"/>
        <v>32.346786815026803</v>
      </c>
      <c r="CB35" s="20">
        <f t="shared" si="10"/>
        <v>270.36084436950489</v>
      </c>
      <c r="CC35" s="59">
        <f t="shared" si="11"/>
        <v>563.69417770283826</v>
      </c>
      <c r="CD35" s="59">
        <f ca="1">AVERAGE(OFFSET($CC$3,0,0,'Données projet'!$E$12+1,1))-AVERAGE(OFFSET($H$3,0,0,'Données projet'!$E$12+1,1))</f>
        <v>328.55201074501201</v>
      </c>
      <c r="CE35" s="59">
        <f t="shared" si="40"/>
        <v>321.81422611044985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2.6635361750054383</v>
      </c>
      <c r="CL35" s="21">
        <f>EXP(-LN(2)/25)*CL34+(1-EXP(-LN(2)/25))/(LN(2)/25)*Calculateur!CG35*Calculateur!CI35*VLOOKUP('Données projet'!$B$12,Paramètres!$A$1:$I$89,3,0)*0.475*44/12</f>
        <v>7.5058255772807989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10.169361752286237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9.1999999999999993</v>
      </c>
      <c r="CT35" s="12">
        <f>IF('Données projet'!$A$140&gt;35,CT34+CS35-DB34,IF(A35&lt;'Données projet'!$A$140,$CQ$205^A35,IF(A35='Données projet'!$A$140,'Données projet'!$B$140,CT34+CS35-DB34)))</f>
        <v>140.4</v>
      </c>
      <c r="CU35" s="17">
        <f>CT35*VLOOKUP('Données projet'!$B$13,Paramètres!$A$1:$I$89,3,0)*VLOOKUP('Données projet'!$B$13,Paramètres!$A$1:$I$89,5,0)</f>
        <v>122.65344000000002</v>
      </c>
      <c r="CV35" s="13">
        <f t="shared" si="41"/>
        <v>32.293080640759037</v>
      </c>
      <c r="CW35" s="20">
        <f t="shared" si="13"/>
        <v>269.8651901159887</v>
      </c>
      <c r="CX35" s="59">
        <f t="shared" si="14"/>
        <v>563.19852344932201</v>
      </c>
      <c r="CY35" s="59">
        <f ca="1">AVERAGE(OFFSET($CX$3,0,0,'Données projet'!$E$13+1,1))-AVERAGE(OFFSET($H$3,0,0,'Données projet'!$E$13+1,1))</f>
        <v>354.24684313982857</v>
      </c>
      <c r="CZ35" s="59">
        <f t="shared" si="42"/>
        <v>322.65043486962185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11.333333333333334</v>
      </c>
      <c r="DO35" s="12">
        <f>IF('Données projet'!$A$166&gt;35,DO34+DN35-DW34,IF(A35&lt;'Données projet'!$A$166,$DL$205^A35,IF(A35='Données projet'!$A$166,'Données projet'!$B$166,DO34+DN35-DW34)))</f>
        <v>131.33333333333329</v>
      </c>
      <c r="DP35" s="17">
        <f>DO35*VLOOKUP('Données projet'!$B$14,Paramètres!$A$1:$I$89,3,0)*VLOOKUP('Données projet'!$B$14,Paramètres!$A$1:$I$89,5,0)</f>
        <v>102.43999999999997</v>
      </c>
      <c r="DQ35" s="13">
        <f t="shared" si="43"/>
        <v>27.542475814398081</v>
      </c>
      <c r="DR35" s="20">
        <f t="shared" si="16"/>
        <v>226.38614537674326</v>
      </c>
      <c r="DS35" s="59">
        <f t="shared" si="17"/>
        <v>519.7194787100766</v>
      </c>
      <c r="DT35" s="59">
        <f ca="1">AVERAGE(OFFSET($DS$3,0,0,'Données projet'!$E$14+1,1))-AVERAGE(OFFSET($H$3,0,0,'Données projet'!$E$14+1,1))</f>
        <v>288.80569134263209</v>
      </c>
      <c r="DU35" s="59">
        <f t="shared" si="44"/>
        <v>283.48738729114024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3.8167930321309527</v>
      </c>
      <c r="EB35" s="21">
        <f>EXP(-LN(2)/25)*EB34+(1-EXP(-LN(2)/25))/(LN(2)/25)*Calculateur!DW35*Calculateur!DY35*VLOOKUP('Données projet'!$B$14,Paramètres!$A$1:$I$89,3,0)*0.475*44/12</f>
        <v>12.445124313333826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16.261917345464781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22.884615384615397</v>
      </c>
      <c r="EJ35" s="12">
        <f>IF('Données projet'!$A$192&gt;35,EJ34+EI35-ER34,IF(A35&lt;'Données projet'!$A$192,$EG$205^A35,IF(A35='Données projet'!$A$192,'Données projet'!$B$192,EJ34+EI35-ER34)))</f>
        <v>311.96923076923071</v>
      </c>
      <c r="EK35" s="17">
        <f>EJ35*VLOOKUP('Données projet'!$B$15,Paramètres!$A$1:$I$89,3,0)*VLOOKUP('Données projet'!$B$15,Paramètres!$A$1:$I$89,5,0)</f>
        <v>174.39079999999996</v>
      </c>
      <c r="EL35" s="13">
        <f t="shared" si="45"/>
        <v>44.071952499783528</v>
      </c>
      <c r="EM35" s="20">
        <f t="shared" si="19"/>
        <v>380.48929393712291</v>
      </c>
      <c r="EN35" s="59">
        <f t="shared" si="20"/>
        <v>673.82262727045622</v>
      </c>
      <c r="EO35" s="59">
        <f ca="1">AVERAGE(OFFSET($EN$3,0,0,'Données projet'!$E$15+1,1))-AVERAGE(OFFSET($H$3,0,0,'Données projet'!$E$15+1,1))</f>
        <v>335.04906256888819</v>
      </c>
      <c r="EP35" s="59">
        <f t="shared" si="46"/>
        <v>440.84111898279554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28.415407305418412</v>
      </c>
      <c r="EW35" s="21">
        <f>EXP(-LN(2)/25)*EW34+(1-EXP(-LN(2)/25))/(LN(2)/25)*Calculateur!ER35*Calculateur!ET35*VLOOKUP('Données projet'!$B$15,Paramètres!$A$1:$I$89,3,0)*0.475*44/12</f>
        <v>17.264008636757723</v>
      </c>
      <c r="EX35" s="21">
        <f>EXP(-LN(2)/2)*EX34+(1-EXP(-LN(2)/2))/(LN(2)/2)*ER35*EU35*VLOOKUP('Données projet'!$B$15,Paramètres!$A$1:$I$89,3,0)*0.475*44/12</f>
        <v>3.1166728257032039</v>
      </c>
      <c r="EY35" s="22">
        <f t="shared" si="21"/>
        <v>48.79608876787934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11.333333333333334</v>
      </c>
      <c r="N36" s="13">
        <f>IF('Données projet'!$A$36&gt;35,N35+M36-V35,IF(A36&lt;'Données projet'!$A$36,$K$205^A36,IF(A36='Données projet'!$A$36,'Données projet'!$B$36,N35+M36-V35)))</f>
        <v>142.66666666666663</v>
      </c>
      <c r="O36" s="13">
        <f>N36*VLOOKUP('Données projet'!$B$9,Paramètres!$A$1:$I$89,3,0)*VLOOKUP('Données projet'!$B$9,Paramètres!$A$1:$I$89,5,0)</f>
        <v>115.73119999999999</v>
      </c>
      <c r="P36" s="13">
        <f t="shared" si="33"/>
        <v>30.677282667446153</v>
      </c>
      <c r="Q36" s="20">
        <f t="shared" si="53"/>
        <v>254.99477397913537</v>
      </c>
      <c r="R36" s="59">
        <f t="shared" si="0"/>
        <v>548.32810731246866</v>
      </c>
      <c r="S36" s="59">
        <f ca="1">AVERAGE(OFFSET($R$3,0,0,'Données projet'!$E$9+1,1))-AVERAGE(OFFSET($H$3,0,0,'Données projet'!$E$9+1,1))</f>
        <v>298.96480270023716</v>
      </c>
      <c r="T36" s="59">
        <f t="shared" si="34"/>
        <v>293.11447542333889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4.7966552662561623</v>
      </c>
      <c r="AA36" s="21">
        <f>EXP(-LN(2)/25)*AA35+(1-EXP(-LN(2)/25))/(LN(2)/25)*Calculateur!V36*Calculateur!X36*VLOOKUP('Données projet'!$B$9,Paramètres!$A$1:$I$89,3,0)*0.475*44/12</f>
        <v>15.516679600163299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20.31333486641946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7.9818376068376082</v>
      </c>
      <c r="AI36" s="13">
        <f>IF('Données projet'!$A$62&gt;35,AI35+AH36-AQ35,IF(A36&lt;'Données projet'!$A$62,$AF$205^A36,IF(A36='Données projet'!$A$62,'Données projet'!$B$62,AI35+AH36-AQ35)))</f>
        <v>121.22756410256412</v>
      </c>
      <c r="AJ36" s="13">
        <f>AI36*VLOOKUP('Données projet'!$B$10,Paramètres!$A$1:$I$89,3,0)*VLOOKUP('Données projet'!$B$10,Paramètres!$A$1:$I$89,5,0)</f>
        <v>104.01325000000001</v>
      </c>
      <c r="AK36" s="13">
        <f t="shared" si="35"/>
        <v>27.915898503032576</v>
      </c>
      <c r="AL36" s="20">
        <f t="shared" si="4"/>
        <v>229.77660030944841</v>
      </c>
      <c r="AM36" s="59">
        <f t="shared" si="5"/>
        <v>523.1099336427817</v>
      </c>
      <c r="AN36" s="59">
        <f ca="1">AVERAGE(OFFSET($AM$3,0,0,'Données projet'!$E$10+1,1))-AVERAGE(OFFSET($H$3,0,0,'Données projet'!$E$10+1,1))</f>
        <v>335.02113791949211</v>
      </c>
      <c r="AO36" s="59">
        <f t="shared" si="36"/>
        <v>222.06886429435099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</v>
      </c>
      <c r="BD36" s="12">
        <f>IF('Données projet'!$A$88&gt;35,BD35+BC36-BL35,IF(A36&lt;'Données projet'!$A$88,$BA$205^A36,IF(A36='Données projet'!$A$88,'Données projet'!$B$88,BD35+BC36-BL35)))</f>
        <v>223.99999999999994</v>
      </c>
      <c r="BE36" s="13">
        <f>BD36*VLOOKUP('Données projet'!$B$11,Paramètres!$A$1:$I$89,3,0)*VLOOKUP('Données projet'!$B$11,Paramètres!$A$1:$I$89,5,0)</f>
        <v>122.30399999999996</v>
      </c>
      <c r="BF36" s="13">
        <f t="shared" si="37"/>
        <v>32.211773226559373</v>
      </c>
      <c r="BG36" s="20">
        <f t="shared" si="7"/>
        <v>269.11497170292415</v>
      </c>
      <c r="BH36" s="59">
        <f t="shared" si="8"/>
        <v>562.44830503625747</v>
      </c>
      <c r="BI36" s="59">
        <f ca="1">AVERAGE(OFFSET($BH$3,0,0,'Données projet'!$E$11+1,1))-AVERAGE(OFFSET($H$3,0,0,'Données projet'!$E$11+1,1))</f>
        <v>207.02306964567629</v>
      </c>
      <c r="BJ36" s="59">
        <f t="shared" si="38"/>
        <v>342.06887933351783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9.3369390856153913</v>
      </c>
      <c r="BQ36" s="21">
        <f>EXP(-LN(2)/25)*BQ35+(1-EXP(-LN(2)/25))/(LN(2)/25)*Calculateur!BL36*Calculateur!BN36*VLOOKUP('Données projet'!$B$11,Paramètres!$A$1:$I$89,3,0)*0.475*44/12</f>
        <v>68.20119776550824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77.538136851123625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132.26927999999995</v>
      </c>
      <c r="CA36" s="13">
        <f t="shared" si="39"/>
        <v>34.520194019648734</v>
      </c>
      <c r="CB36" s="20">
        <f t="shared" si="10"/>
        <v>290.4916672508881</v>
      </c>
      <c r="CC36" s="59">
        <f t="shared" si="11"/>
        <v>583.82500058422147</v>
      </c>
      <c r="CD36" s="59">
        <f ca="1">AVERAGE(OFFSET($CC$3,0,0,'Données projet'!$E$12+1,1))-AVERAGE(OFFSET($H$3,0,0,'Données projet'!$E$12+1,1))</f>
        <v>328.55201074501201</v>
      </c>
      <c r="CE36" s="59">
        <f t="shared" si="40"/>
        <v>321.81422611044985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2.6113058552102326</v>
      </c>
      <c r="CL36" s="21">
        <f>EXP(-LN(2)/25)*CL35+(1-EXP(-LN(2)/25))/(LN(2)/25)*Calculateur!CG36*Calculateur!CI36*VLOOKUP('Données projet'!$B$12,Paramètres!$A$1:$I$89,3,0)*0.475*44/12</f>
        <v>7.3005783821558428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9.9118842373660758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9.1999999999999993</v>
      </c>
      <c r="CT36" s="12">
        <f>IF('Données projet'!$A$140&gt;35,CT35+CS36-DB35,IF(A36&lt;'Données projet'!$A$140,$CQ$205^A36,IF(A36='Données projet'!$A$140,'Données projet'!$B$140,CT35+CS36-DB35)))</f>
        <v>149.6</v>
      </c>
      <c r="CU36" s="17">
        <f>CT36*VLOOKUP('Données projet'!$B$13,Paramètres!$A$1:$I$89,3,0)*VLOOKUP('Données projet'!$B$13,Paramètres!$A$1:$I$89,5,0)</f>
        <v>130.69056000000003</v>
      </c>
      <c r="CV36" s="13">
        <f t="shared" si="41"/>
        <v>34.155878238422723</v>
      </c>
      <c r="CW36" s="20">
        <f t="shared" si="13"/>
        <v>287.10754659858628</v>
      </c>
      <c r="CX36" s="59">
        <f t="shared" si="14"/>
        <v>580.44087993191965</v>
      </c>
      <c r="CY36" s="59">
        <f ca="1">AVERAGE(OFFSET($CX$3,0,0,'Données projet'!$E$13+1,1))-AVERAGE(OFFSET($H$3,0,0,'Données projet'!$E$13+1,1))</f>
        <v>354.24684313982857</v>
      </c>
      <c r="CZ36" s="59">
        <f t="shared" si="42"/>
        <v>322.65043486962185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11.333333333333334</v>
      </c>
      <c r="DO36" s="12">
        <f>IF('Données projet'!$A$166&gt;35,DO35+DN36-DW35,IF(A36&lt;'Données projet'!$A$166,$DL$205^A36,IF(A36='Données projet'!$A$166,'Données projet'!$B$166,DO35+DN36-DW35)))</f>
        <v>142.66666666666663</v>
      </c>
      <c r="DP36" s="17">
        <f>DO36*VLOOKUP('Données projet'!$B$14,Paramètres!$A$1:$I$89,3,0)*VLOOKUP('Données projet'!$B$14,Paramètres!$A$1:$I$89,5,0)</f>
        <v>111.27999999999997</v>
      </c>
      <c r="DQ36" s="13">
        <f t="shared" si="43"/>
        <v>29.63235919562165</v>
      </c>
      <c r="DR36" s="20">
        <f t="shared" si="16"/>
        <v>245.42235893237435</v>
      </c>
      <c r="DS36" s="59">
        <f t="shared" si="17"/>
        <v>538.75569226570769</v>
      </c>
      <c r="DT36" s="59">
        <f ca="1">AVERAGE(OFFSET($DS$3,0,0,'Données projet'!$E$14+1,1))-AVERAGE(OFFSET($H$3,0,0,'Données projet'!$E$14+1,1))</f>
        <v>288.80569134263209</v>
      </c>
      <c r="DU36" s="59">
        <f t="shared" si="44"/>
        <v>283.48738729114024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3.7419480487847419</v>
      </c>
      <c r="EB36" s="21">
        <f>EXP(-LN(2)/25)*EB35+(1-EXP(-LN(2)/25))/(LN(2)/25)*Calculateur!DW36*Calculateur!DY36*VLOOKUP('Données projet'!$B$14,Paramètres!$A$1:$I$89,3,0)*0.475*44/12</f>
        <v>12.104811734525068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15.84675978330981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22.884615384615397</v>
      </c>
      <c r="EJ36" s="12">
        <f>IF('Données projet'!$A$192&gt;35,EJ35+EI36-ER35,IF(A36&lt;'Données projet'!$A$192,$EG$205^A36,IF(A36='Données projet'!$A$192,'Données projet'!$B$192,EJ35+EI36-ER35)))</f>
        <v>334.85384615384612</v>
      </c>
      <c r="EK36" s="17">
        <f>EJ36*VLOOKUP('Données projet'!$B$15,Paramètres!$A$1:$I$89,3,0)*VLOOKUP('Données projet'!$B$15,Paramètres!$A$1:$I$89,5,0)</f>
        <v>187.18329999999997</v>
      </c>
      <c r="EL36" s="13">
        <f t="shared" si="45"/>
        <v>46.91668019244311</v>
      </c>
      <c r="EM36" s="20">
        <f t="shared" si="19"/>
        <v>407.72413216850504</v>
      </c>
      <c r="EN36" s="59">
        <f t="shared" si="20"/>
        <v>701.05746550183835</v>
      </c>
      <c r="EO36" s="59">
        <f ca="1">AVERAGE(OFFSET($EN$3,0,0,'Données projet'!$E$15+1,1))-AVERAGE(OFFSET($H$3,0,0,'Données projet'!$E$15+1,1))</f>
        <v>335.04906256888819</v>
      </c>
      <c r="EP36" s="59">
        <f t="shared" si="46"/>
        <v>440.84111898279554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27.858198499846253</v>
      </c>
      <c r="EW36" s="21">
        <f>EXP(-LN(2)/25)*EW35+(1-EXP(-LN(2)/25))/(LN(2)/25)*Calculateur!ER36*Calculateur!ET36*VLOOKUP('Données projet'!$B$15,Paramètres!$A$1:$I$89,3,0)*0.475*44/12</f>
        <v>16.791923412710826</v>
      </c>
      <c r="EX36" s="21">
        <f>EXP(-LN(2)/2)*EX35+(1-EXP(-LN(2)/2))/(LN(2)/2)*ER36*EU36*VLOOKUP('Données projet'!$B$15,Paramètres!$A$1:$I$89,3,0)*0.475*44/12</f>
        <v>2.2038204897945741</v>
      </c>
      <c r="EY36" s="22">
        <f t="shared" si="21"/>
        <v>46.853942402351656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11.333333333333334</v>
      </c>
      <c r="N37" s="13">
        <f>IF('Données projet'!$A$36&gt;35,N36+M37-V36,IF(A37&lt;'Données projet'!$A$36,$K$205^A37,IF(A37='Données projet'!$A$36,'Données projet'!$B$36,N36+M37-V36)))</f>
        <v>153.99999999999997</v>
      </c>
      <c r="O37" s="13">
        <f>N37*VLOOKUP('Données projet'!$B$9,Paramètres!$A$1:$I$89,3,0)*VLOOKUP('Données projet'!$B$9,Paramètres!$A$1:$I$89,5,0)</f>
        <v>124.92479999999998</v>
      </c>
      <c r="P37" s="13">
        <f t="shared" si="33"/>
        <v>32.820925500842712</v>
      </c>
      <c r="Q37" s="20">
        <f t="shared" si="53"/>
        <v>274.74047191396772</v>
      </c>
      <c r="R37" s="59">
        <f t="shared" si="0"/>
        <v>568.07380524730104</v>
      </c>
      <c r="S37" s="59">
        <f ca="1">AVERAGE(OFFSET($R$3,0,0,'Données projet'!$E$9+1,1))-AVERAGE(OFFSET($H$3,0,0,'Données projet'!$E$9+1,1))</f>
        <v>298.96480270023716</v>
      </c>
      <c r="T37" s="59">
        <f t="shared" si="34"/>
        <v>293.11447542333889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4.7025957821557052</v>
      </c>
      <c r="AA37" s="21">
        <f>EXP(-LN(2)/25)*AA36+(1-EXP(-LN(2)/25))/(LN(2)/25)*Calculateur!V37*Calculateur!X37*VLOOKUP('Données projet'!$B$9,Paramètres!$A$1:$I$89,3,0)*0.475*44/12</f>
        <v>15.092375180510118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19.794970962665822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7.9818376068376082</v>
      </c>
      <c r="AI37" s="13">
        <f>IF('Données projet'!$A$62&gt;35,AI36+AH37-AQ36,IF(A37&lt;'Données projet'!$A$62,$AF$205^A37,IF(A37='Données projet'!$A$62,'Données projet'!$B$62,AI36+AH37-AQ36)))</f>
        <v>129.20940170940173</v>
      </c>
      <c r="AJ37" s="13">
        <f>AI37*VLOOKUP('Données projet'!$B$10,Paramètres!$A$1:$I$89,3,0)*VLOOKUP('Données projet'!$B$10,Paramètres!$A$1:$I$89,5,0)</f>
        <v>110.86166666666669</v>
      </c>
      <c r="AK37" s="13">
        <f t="shared" si="35"/>
        <v>29.533907673950708</v>
      </c>
      <c r="AL37" s="20">
        <f t="shared" si="4"/>
        <v>244.5222919765753</v>
      </c>
      <c r="AM37" s="59">
        <f t="shared" si="5"/>
        <v>537.85562530990865</v>
      </c>
      <c r="AN37" s="59">
        <f ca="1">AVERAGE(OFFSET($AM$3,0,0,'Données projet'!$E$10+1,1))-AVERAGE(OFFSET($H$3,0,0,'Données projet'!$E$10+1,1))</f>
        <v>335.02113791949211</v>
      </c>
      <c r="AO37" s="59">
        <f t="shared" si="36"/>
        <v>222.06886429435099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</v>
      </c>
      <c r="BD37" s="12">
        <f>IF('Données projet'!$A$88&gt;35,BD36+BC37-BL36,IF(A37&lt;'Données projet'!$A$88,$BA$205^A37,IF(A37='Données projet'!$A$88,'Données projet'!$B$88,BD36+BC37-BL36)))</f>
        <v>238.99999999999994</v>
      </c>
      <c r="BE37" s="13">
        <f>BD37*VLOOKUP('Données projet'!$B$11,Paramètres!$A$1:$I$89,3,0)*VLOOKUP('Données projet'!$B$11,Paramètres!$A$1:$I$89,5,0)</f>
        <v>130.49399999999997</v>
      </c>
      <c r="BF37" s="13">
        <f t="shared" si="37"/>
        <v>34.110483018610772</v>
      </c>
      <c r="BG37" s="20">
        <f t="shared" si="7"/>
        <v>286.68614125741368</v>
      </c>
      <c r="BH37" s="59">
        <f t="shared" si="8"/>
        <v>580.019474590747</v>
      </c>
      <c r="BI37" s="59">
        <f ca="1">AVERAGE(OFFSET($BH$3,0,0,'Données projet'!$E$11+1,1))-AVERAGE(OFFSET($H$3,0,0,'Données projet'!$E$11+1,1))</f>
        <v>207.02306964567629</v>
      </c>
      <c r="BJ37" s="59">
        <f t="shared" si="38"/>
        <v>342.06887933351783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9.1538474051169842</v>
      </c>
      <c r="BQ37" s="21">
        <f>EXP(-LN(2)/25)*BQ36+(1-EXP(-LN(2)/25))/(LN(2)/25)*Calculateur!BL37*Calculateur!BN37*VLOOKUP('Données projet'!$B$11,Paramètres!$A$1:$I$89,3,0)*0.475*44/12</f>
        <v>66.336232426065308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75.4900798311823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141.65423999999996</v>
      </c>
      <c r="CA37" s="13">
        <f t="shared" si="39"/>
        <v>36.675709178601934</v>
      </c>
      <c r="CB37" s="20">
        <f t="shared" si="10"/>
        <v>310.59132815273165</v>
      </c>
      <c r="CC37" s="59">
        <f t="shared" si="11"/>
        <v>603.92466148606491</v>
      </c>
      <c r="CD37" s="59">
        <f ca="1">AVERAGE(OFFSET($CC$3,0,0,'Données projet'!$E$12+1,1))-AVERAGE(OFFSET($H$3,0,0,'Données projet'!$E$12+1,1))</f>
        <v>328.55201074501201</v>
      </c>
      <c r="CE37" s="59">
        <f t="shared" si="40"/>
        <v>321.81422611044985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2.5600997401288619</v>
      </c>
      <c r="CL37" s="21">
        <f>EXP(-LN(2)/25)*CL36+(1-EXP(-LN(2)/25))/(LN(2)/25)*Calculateur!CG37*Calculateur!CI37*VLOOKUP('Données projet'!$B$12,Paramètres!$A$1:$I$89,3,0)*0.475*44/12</f>
        <v>7.1009436823750596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9.661043422503921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9.1999999999999993</v>
      </c>
      <c r="CT37" s="12">
        <f>IF('Données projet'!$A$140&gt;35,CT36+CS37-DB36,IF(A37&lt;'Données projet'!$A$140,$CQ$205^A37,IF(A37='Données projet'!$A$140,'Données projet'!$B$140,CT36+CS37-DB36)))</f>
        <v>158.79999999999998</v>
      </c>
      <c r="CU37" s="17">
        <f>CT37*VLOOKUP('Données projet'!$B$13,Paramètres!$A$1:$I$89,3,0)*VLOOKUP('Données projet'!$B$13,Paramètres!$A$1:$I$89,5,0)</f>
        <v>138.72767999999999</v>
      </c>
      <c r="CV37" s="13">
        <f t="shared" si="41"/>
        <v>36.005380160492741</v>
      </c>
      <c r="CW37" s="20">
        <f t="shared" si="13"/>
        <v>304.32674644619152</v>
      </c>
      <c r="CX37" s="59">
        <f t="shared" si="14"/>
        <v>597.66007977952484</v>
      </c>
      <c r="CY37" s="59">
        <f ca="1">AVERAGE(OFFSET($CX$3,0,0,'Données projet'!$E$13+1,1))-AVERAGE(OFFSET($H$3,0,0,'Données projet'!$E$13+1,1))</f>
        <v>354.24684313982857</v>
      </c>
      <c r="CZ37" s="59">
        <f t="shared" si="42"/>
        <v>322.65043486962185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11.333333333333334</v>
      </c>
      <c r="DO37" s="12">
        <f>IF('Données projet'!$A$166&gt;35,DO36+DN37-DW36,IF(A37&lt;'Données projet'!$A$166,$DL$205^A37,IF(A37='Données projet'!$A$166,'Données projet'!$B$166,DO36+DN37-DW36)))</f>
        <v>153.99999999999997</v>
      </c>
      <c r="DP37" s="17">
        <f>DO37*VLOOKUP('Données projet'!$B$14,Paramètres!$A$1:$I$89,3,0)*VLOOKUP('Données projet'!$B$14,Paramètres!$A$1:$I$89,5,0)</f>
        <v>120.11999999999998</v>
      </c>
      <c r="DQ37" s="13">
        <f t="shared" si="43"/>
        <v>31.702985695201871</v>
      </c>
      <c r="DR37" s="20">
        <f t="shared" si="16"/>
        <v>264.42503341914323</v>
      </c>
      <c r="DS37" s="59">
        <f t="shared" si="17"/>
        <v>557.7583667524766</v>
      </c>
      <c r="DT37" s="59">
        <f ca="1">AVERAGE(OFFSET($DS$3,0,0,'Données projet'!$E$14+1,1))-AVERAGE(OFFSET($H$3,0,0,'Données projet'!$E$14+1,1))</f>
        <v>288.80569134263209</v>
      </c>
      <c r="DU37" s="59">
        <f t="shared" si="44"/>
        <v>283.48738729114024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3.6685707299110182</v>
      </c>
      <c r="EB37" s="21">
        <f>EXP(-LN(2)/25)*EB36+(1-EXP(-LN(2)/25))/(LN(2)/25)*Calculateur!DW37*Calculateur!DY37*VLOOKUP('Données projet'!$B$14,Paramètres!$A$1:$I$89,3,0)*0.475*44/12</f>
        <v>11.773805021080097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15.442375750991115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22.884615384615397</v>
      </c>
      <c r="EJ37" s="12">
        <f>IF('Données projet'!$A$192&gt;35,EJ36+EI37-ER36,IF(A37&lt;'Données projet'!$A$192,$EG$205^A37,IF(A37='Données projet'!$A$192,'Données projet'!$B$192,EJ36+EI37-ER36)))</f>
        <v>357.73846153846154</v>
      </c>
      <c r="EK37" s="17">
        <f>EJ37*VLOOKUP('Données projet'!$B$15,Paramètres!$A$1:$I$89,3,0)*VLOOKUP('Données projet'!$B$15,Paramètres!$A$1:$I$89,5,0)</f>
        <v>199.97580000000002</v>
      </c>
      <c r="EL37" s="13">
        <f t="shared" si="45"/>
        <v>49.738849260389202</v>
      </c>
      <c r="EM37" s="20">
        <f t="shared" si="19"/>
        <v>434.91968079517784</v>
      </c>
      <c r="EN37" s="59">
        <f t="shared" si="20"/>
        <v>728.25301412851115</v>
      </c>
      <c r="EO37" s="59">
        <f ca="1">AVERAGE(OFFSET($EN$3,0,0,'Données projet'!$E$15+1,1))-AVERAGE(OFFSET($H$3,0,0,'Données projet'!$E$15+1,1))</f>
        <v>335.04906256888819</v>
      </c>
      <c r="EP37" s="59">
        <f t="shared" si="46"/>
        <v>440.84111898279554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27.31191621908755</v>
      </c>
      <c r="EW37" s="21">
        <f>EXP(-LN(2)/25)*EW36+(1-EXP(-LN(2)/25))/(LN(2)/25)*Calculateur!ER37*Calculateur!ET37*VLOOKUP('Données projet'!$B$15,Paramètres!$A$1:$I$89,3,0)*0.475*44/12</f>
        <v>16.332747383941374</v>
      </c>
      <c r="EX37" s="21">
        <f>EXP(-LN(2)/2)*EX36+(1-EXP(-LN(2)/2))/(LN(2)/2)*ER37*EU37*VLOOKUP('Données projet'!$B$15,Paramètres!$A$1:$I$89,3,0)*0.475*44/12</f>
        <v>1.558336412851602</v>
      </c>
      <c r="EY37" s="22">
        <f t="shared" si="21"/>
        <v>45.203000015880527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11.333333333333334</v>
      </c>
      <c r="N38" s="13">
        <f>IF('Données projet'!$A$36&gt;35,N37+M38-V37,IF(A38&lt;'Données projet'!$A$36,$K$205^A38,IF(A38='Données projet'!$A$36,'Données projet'!$B$36,N37+M38-V37)))</f>
        <v>165.33333333333331</v>
      </c>
      <c r="O38" s="13">
        <f>N38*VLOOKUP('Données projet'!$B$9,Paramètres!$A$1:$I$89,3,0)*VLOOKUP('Données projet'!$B$9,Paramètres!$A$1:$I$89,5,0)</f>
        <v>134.11840000000001</v>
      </c>
      <c r="P38" s="13">
        <f t="shared" si="33"/>
        <v>34.946266385156008</v>
      </c>
      <c r="Q38" s="20">
        <f t="shared" si="53"/>
        <v>294.45429395414675</v>
      </c>
      <c r="R38" s="59">
        <f t="shared" si="0"/>
        <v>587.78762728748006</v>
      </c>
      <c r="S38" s="59">
        <f ca="1">AVERAGE(OFFSET($R$3,0,0,'Données projet'!$E$9+1,1))-AVERAGE(OFFSET($H$3,0,0,'Données projet'!$E$9+1,1))</f>
        <v>298.96480270023716</v>
      </c>
      <c r="T38" s="59">
        <f t="shared" si="34"/>
        <v>293.11447542333889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4.610380747167838</v>
      </c>
      <c r="AA38" s="21">
        <f>EXP(-LN(2)/25)*AA37+(1-EXP(-LN(2)/25))/(LN(2)/25)*Calculateur!V38*Calculateur!X38*VLOOKUP('Données projet'!$B$9,Paramètres!$A$1:$I$89,3,0)*0.475*44/12</f>
        <v>14.679673387525552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19.290054134693392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7.9818376068376082</v>
      </c>
      <c r="AI38" s="13">
        <f>IF('Données projet'!$A$62&gt;35,AI37+AH38-AQ37,IF(A38&lt;'Données projet'!$A$62,$AF$205^A38,IF(A38='Données projet'!$A$62,'Données projet'!$B$62,AI37+AH38-AQ37)))</f>
        <v>137.19123931623935</v>
      </c>
      <c r="AJ38" s="13">
        <f>AI38*VLOOKUP('Données projet'!$B$10,Paramètres!$A$1:$I$89,3,0)*VLOOKUP('Données projet'!$B$10,Paramètres!$A$1:$I$89,5,0)</f>
        <v>117.71008333333337</v>
      </c>
      <c r="AK38" s="13">
        <f t="shared" si="35"/>
        <v>31.140316420652603</v>
      </c>
      <c r="AL38" s="20">
        <f t="shared" si="4"/>
        <v>259.24777957152554</v>
      </c>
      <c r="AM38" s="59">
        <f t="shared" si="5"/>
        <v>552.58111290485886</v>
      </c>
      <c r="AN38" s="59">
        <f ca="1">AVERAGE(OFFSET($AM$3,0,0,'Données projet'!$E$10+1,1))-AVERAGE(OFFSET($H$3,0,0,'Données projet'!$E$10+1,1))</f>
        <v>335.02113791949211</v>
      </c>
      <c r="AO38" s="59">
        <f t="shared" si="36"/>
        <v>222.06886429435099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</v>
      </c>
      <c r="BD38" s="12">
        <f>IF('Données projet'!$A$88&gt;35,BD37+BC38-BL37,IF(A38&lt;'Données projet'!$A$88,$BA$205^A38,IF(A38='Données projet'!$A$88,'Données projet'!$B$88,BD37+BC38-BL37)))</f>
        <v>253.99999999999994</v>
      </c>
      <c r="BE38" s="13">
        <f>BD38*VLOOKUP('Données projet'!$B$11,Paramètres!$A$1:$I$89,3,0)*VLOOKUP('Données projet'!$B$11,Paramètres!$A$1:$I$89,5,0)</f>
        <v>138.68399999999997</v>
      </c>
      <c r="BF38" s="13">
        <f t="shared" si="37"/>
        <v>35.995362862956796</v>
      </c>
      <c r="BG38" s="20">
        <f t="shared" si="7"/>
        <v>304.23322365298299</v>
      </c>
      <c r="BH38" s="59">
        <f t="shared" si="8"/>
        <v>597.5665569863163</v>
      </c>
      <c r="BI38" s="59">
        <f ca="1">AVERAGE(OFFSET($BH$3,0,0,'Données projet'!$E$11+1,1))-AVERAGE(OFFSET($H$3,0,0,'Données projet'!$E$11+1,1))</f>
        <v>207.02306964567629</v>
      </c>
      <c r="BJ38" s="59">
        <f t="shared" si="38"/>
        <v>342.06887933351783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8.9743460407982525</v>
      </c>
      <c r="BQ38" s="21">
        <f>EXP(-LN(2)/25)*BQ37+(1-EXP(-LN(2)/25))/(LN(2)/25)*Calculateur!BL38*Calculateur!BN38*VLOOKUP('Données projet'!$B$11,Paramètres!$A$1:$I$89,3,0)*0.475*44/12</f>
        <v>64.522264661903705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73.496610702701958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151.03919999999997</v>
      </c>
      <c r="CA38" s="13">
        <f t="shared" si="39"/>
        <v>38.814652571726079</v>
      </c>
      <c r="CB38" s="20">
        <f t="shared" si="10"/>
        <v>330.66212656242288</v>
      </c>
      <c r="CC38" s="59">
        <f t="shared" si="11"/>
        <v>623.9954598957562</v>
      </c>
      <c r="CD38" s="59">
        <f ca="1">AVERAGE(OFFSET($CC$3,0,0,'Données projet'!$E$12+1,1))-AVERAGE(OFFSET($H$3,0,0,'Données projet'!$E$12+1,1))</f>
        <v>328.55201074501201</v>
      </c>
      <c r="CE38" s="59">
        <f t="shared" si="40"/>
        <v>321.81422611044985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0.2107</v>
      </c>
      <c r="CI38" s="16">
        <f>IF(ISNA(VLOOKUP(A38,'Données projet'!$A$113:$I$133,6,0)),0%,VLOOKUP(A38,'Données projet'!$A$113:$I$133,6,0)*VLOOKUP('Données projet'!$B$12,Paramètres!$A$1:$I$89,7,0))</f>
        <v>0.1462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8.4871577370579505</v>
      </c>
      <c r="CL38" s="21">
        <f>EXP(-LN(2)/25)*CL37+(1-EXP(-LN(2)/25))/(LN(2)/25)*Calculateur!CG38*Calculateur!CI38*VLOOKUP('Données projet'!$B$12,Paramètres!$A$1:$I$89,3,0)*0.475*44/12</f>
        <v>11.037924293788329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19.525082030846278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168</v>
      </c>
      <c r="CR38" s="12">
        <f>VLOOKUP(A38,'Données projet'!$A$139:$I$159,9,0)</f>
        <v>9.1999999999999993</v>
      </c>
      <c r="CS38" s="12">
        <f t="array" ref="CS38">INDEX(CR:CR,MIN(IF(ISNUMBER(CR38:CR234),ROW(CR38:CR234),"")))</f>
        <v>9.1999999999999993</v>
      </c>
      <c r="CT38" s="12">
        <f>IF('Données projet'!$A$140&gt;35,CT37+CS38-DB37,IF(A38&lt;'Données projet'!$A$140,$CQ$205^A38,IF(A38='Données projet'!$A$140,'Données projet'!$B$140,CT37+CS38-DB37)))</f>
        <v>167.99999999999997</v>
      </c>
      <c r="CU38" s="17">
        <f>CT38*VLOOKUP('Données projet'!$B$13,Paramètres!$A$1:$I$89,3,0)*VLOOKUP('Données projet'!$B$13,Paramètres!$A$1:$I$89,5,0)</f>
        <v>146.76480000000001</v>
      </c>
      <c r="CV38" s="13">
        <f t="shared" si="41"/>
        <v>37.842444439956665</v>
      </c>
      <c r="CW38" s="20">
        <f t="shared" si="13"/>
        <v>321.52428406625785</v>
      </c>
      <c r="CX38" s="59">
        <f t="shared" si="14"/>
        <v>614.85761739959116</v>
      </c>
      <c r="CY38" s="59">
        <f ca="1">AVERAGE(OFFSET($CX$3,0,0,'Données projet'!$E$13+1,1))-AVERAGE(OFFSET($H$3,0,0,'Données projet'!$E$13+1,1))</f>
        <v>354.24684313982857</v>
      </c>
      <c r="CZ38" s="59">
        <f t="shared" si="42"/>
        <v>322.65043486962185</v>
      </c>
      <c r="DA38" s="15">
        <f>IF(ISNA(VLOOKUP(A38,'Données projet'!$A$139:$I$159,3,0)),0,VLOOKUP(A38,'Données projet'!$A$139:$I$159,3,0))</f>
        <v>4</v>
      </c>
      <c r="DB38" s="15" t="str">
        <f>IF(ISNA(VLOOKUP(A38,'Données projet'!$A$139:$I$159,4,0)),0,VLOOKUP(A38,'Données projet'!$A$139:$I$159,4,0))</f>
        <v>27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0.215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5.5840410425740084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5.5840410425740084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11.333333333333334</v>
      </c>
      <c r="DO38" s="12">
        <f>IF('Données projet'!$A$166&gt;35,DO37+DN38-DW37,IF(A38&lt;'Données projet'!$A$166,$DL$205^A38,IF(A38='Données projet'!$A$166,'Données projet'!$B$166,DO37+DN38-DW37)))</f>
        <v>165.33333333333331</v>
      </c>
      <c r="DP38" s="17">
        <f>DO38*VLOOKUP('Données projet'!$B$14,Paramètres!$A$1:$I$89,3,0)*VLOOKUP('Données projet'!$B$14,Paramètres!$A$1:$I$89,5,0)</f>
        <v>128.95999999999998</v>
      </c>
      <c r="DQ38" s="13">
        <f t="shared" si="43"/>
        <v>33.755933643031135</v>
      </c>
      <c r="DR38" s="20">
        <f t="shared" si="16"/>
        <v>283.39691776161254</v>
      </c>
      <c r="DS38" s="59">
        <f t="shared" si="17"/>
        <v>576.73025109494586</v>
      </c>
      <c r="DT38" s="59">
        <f ca="1">AVERAGE(OFFSET($DS$3,0,0,'Données projet'!$E$14+1,1))-AVERAGE(OFFSET($H$3,0,0,'Données projet'!$E$14+1,1))</f>
        <v>288.80569134263209</v>
      </c>
      <c r="DU38" s="59">
        <f t="shared" si="44"/>
        <v>283.48738729114024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3.596632295504663</v>
      </c>
      <c r="EB38" s="21">
        <f>EXP(-LN(2)/25)*EB37+(1-EXP(-LN(2)/25))/(LN(2)/25)*Calculateur!DW38*Calculateur!DY38*VLOOKUP('Données projet'!$B$14,Paramètres!$A$1:$I$89,3,0)*0.475*44/12</f>
        <v>11.451849703621166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15.04848199912583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22.884615384615397</v>
      </c>
      <c r="EJ38" s="12">
        <f>IF('Données projet'!$A$192&gt;35,EJ37+EI38-ER37,IF(A38&lt;'Données projet'!$A$192,$EG$205^A38,IF(A38='Données projet'!$A$192,'Données projet'!$B$192,EJ37+EI38-ER37)))</f>
        <v>380.62307692307695</v>
      </c>
      <c r="EK38" s="17">
        <f>EJ38*VLOOKUP('Données projet'!$B$15,Paramètres!$A$1:$I$89,3,0)*VLOOKUP('Données projet'!$B$15,Paramètres!$A$1:$I$89,5,0)</f>
        <v>212.76830000000001</v>
      </c>
      <c r="EL38" s="13">
        <f t="shared" si="45"/>
        <v>52.540067037520508</v>
      </c>
      <c r="EM38" s="20">
        <f t="shared" si="19"/>
        <v>462.07873925701483</v>
      </c>
      <c r="EN38" s="59">
        <f t="shared" si="20"/>
        <v>755.41207259034809</v>
      </c>
      <c r="EO38" s="59">
        <f ca="1">AVERAGE(OFFSET($EN$3,0,0,'Données projet'!$E$15+1,1))-AVERAGE(OFFSET($H$3,0,0,'Données projet'!$E$15+1,1))</f>
        <v>335.04906256888819</v>
      </c>
      <c r="EP38" s="59">
        <f t="shared" si="46"/>
        <v>440.84111898279554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26.776346200655233</v>
      </c>
      <c r="EW38" s="21">
        <f>EXP(-LN(2)/25)*EW37+(1-EXP(-LN(2)/25))/(LN(2)/25)*Calculateur!ER38*Calculateur!ET38*VLOOKUP('Données projet'!$B$15,Paramètres!$A$1:$I$89,3,0)*0.475*44/12</f>
        <v>15.886127547825641</v>
      </c>
      <c r="EX38" s="21">
        <f>EXP(-LN(2)/2)*EX37+(1-EXP(-LN(2)/2))/(LN(2)/2)*ER38*EU38*VLOOKUP('Données projet'!$B$15,Paramètres!$A$1:$I$89,3,0)*0.475*44/12</f>
        <v>1.1019102448972871</v>
      </c>
      <c r="EY38" s="22">
        <f t="shared" si="21"/>
        <v>43.764383993378168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11.333333333333334</v>
      </c>
      <c r="N39" s="13">
        <f>IF('Données projet'!$A$36&gt;35,N38+M39-V38,IF(A39&lt;'Données projet'!$A$36,$K$205^A39,IF(A39='Données projet'!$A$36,'Données projet'!$B$36,N38+M39-V38)))</f>
        <v>176.66666666666666</v>
      </c>
      <c r="O39" s="13">
        <f>N39*VLOOKUP('Données projet'!$B$9,Paramètres!$A$1:$I$89,3,0)*VLOOKUP('Données projet'!$B$9,Paramètres!$A$1:$I$89,5,0)</f>
        <v>143.31199999999998</v>
      </c>
      <c r="P39" s="13">
        <f t="shared" si="33"/>
        <v>37.054702611837413</v>
      </c>
      <c r="Q39" s="20">
        <f t="shared" si="53"/>
        <v>314.13867371561679</v>
      </c>
      <c r="R39" s="59">
        <f t="shared" si="0"/>
        <v>607.4720070489501</v>
      </c>
      <c r="S39" s="59">
        <f ca="1">AVERAGE(OFFSET($R$3,0,0,'Données projet'!$E$9+1,1))-AVERAGE(OFFSET($H$3,0,0,'Données projet'!$E$9+1,1))</f>
        <v>298.96480270023716</v>
      </c>
      <c r="T39" s="59">
        <f t="shared" si="34"/>
        <v>293.11447542333889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4.5199739927704652</v>
      </c>
      <c r="AA39" s="21">
        <f>EXP(-LN(2)/25)*AA38+(1-EXP(-LN(2)/25))/(LN(2)/25)*Calculateur!V39*Calculateur!X39*VLOOKUP('Données projet'!$B$9,Paramètres!$A$1:$I$89,3,0)*0.475*44/12</f>
        <v>14.278256946773194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18.798230939543657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7.9818376068376082</v>
      </c>
      <c r="AI39" s="13">
        <f>IF('Données projet'!$A$62&gt;35,AI38+AH39-AQ38,IF(A39&lt;'Données projet'!$A$62,$AF$205^A39,IF(A39='Données projet'!$A$62,'Données projet'!$B$62,AI38+AH39-AQ38)))</f>
        <v>145.17307692307696</v>
      </c>
      <c r="AJ39" s="13">
        <f>AI39*VLOOKUP('Données projet'!$B$10,Paramètres!$A$1:$I$89,3,0)*VLOOKUP('Données projet'!$B$10,Paramètres!$A$1:$I$89,5,0)</f>
        <v>124.55850000000004</v>
      </c>
      <c r="AK39" s="13">
        <f t="shared" si="35"/>
        <v>32.735876547321503</v>
      </c>
      <c r="AL39" s="20">
        <f t="shared" si="4"/>
        <v>273.95437248658499</v>
      </c>
      <c r="AM39" s="59">
        <f t="shared" si="5"/>
        <v>567.2877058199183</v>
      </c>
      <c r="AN39" s="59">
        <f ca="1">AVERAGE(OFFSET($AM$3,0,0,'Données projet'!$E$10+1,1))-AVERAGE(OFFSET($H$3,0,0,'Données projet'!$E$10+1,1))</f>
        <v>335.02113791949211</v>
      </c>
      <c r="AO39" s="59">
        <f t="shared" si="36"/>
        <v>222.06886429435099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269</v>
      </c>
      <c r="BB39" s="12">
        <f>VLOOKUP(A39,'Données projet'!$A$87:$I$107,9,0)</f>
        <v>15</v>
      </c>
      <c r="BC39" s="12">
        <f t="array" ref="BC39">INDEX(BB:BB,MIN(IF(ISNUMBER(BB39:BB235),ROW(BB39:BB235),"")))</f>
        <v>15</v>
      </c>
      <c r="BD39" s="12">
        <f>IF('Données projet'!$A$88&gt;35,BD38+BC39-BL38,IF(A39&lt;'Données projet'!$A$88,$BA$205^A39,IF(A39='Données projet'!$A$88,'Données projet'!$B$88,BD38+BC39-BL38)))</f>
        <v>268.99999999999994</v>
      </c>
      <c r="BE39" s="13">
        <f>BD39*VLOOKUP('Données projet'!$B$11,Paramètres!$A$1:$I$89,3,0)*VLOOKUP('Données projet'!$B$11,Paramètres!$A$1:$I$89,5,0)</f>
        <v>146.87399999999997</v>
      </c>
      <c r="BF39" s="13">
        <f t="shared" si="37"/>
        <v>37.867322517591383</v>
      </c>
      <c r="BG39" s="20">
        <f t="shared" si="7"/>
        <v>321.75780338480496</v>
      </c>
      <c r="BH39" s="59">
        <f t="shared" si="8"/>
        <v>615.09113671813827</v>
      </c>
      <c r="BI39" s="59">
        <f ca="1">AVERAGE(OFFSET($BH$3,0,0,'Données projet'!$E$11+1,1))-AVERAGE(OFFSET($H$3,0,0,'Données projet'!$E$11+1,1))</f>
        <v>207.02306964567629</v>
      </c>
      <c r="BJ39" s="59">
        <f t="shared" si="38"/>
        <v>342.06887933351783</v>
      </c>
      <c r="BK39" s="15">
        <f>IF(ISNA(VLOOKUP(A39,'Données projet'!$A$87:$I$107,3,0)),0,VLOOKUP(A39,'Données projet'!$A$87:$I$107,3,0))</f>
        <v>6</v>
      </c>
      <c r="BL39" s="15">
        <f>IF(ISNA(VLOOKUP(A39,'Données projet'!$A$87:$I$107,4,0)),0,VLOOKUP(A39,'Données projet'!$A$87:$I$107,4,0))</f>
        <v>75</v>
      </c>
      <c r="BM39" s="16">
        <f>IF(ISNA(VLOOKUP(A39,'Données projet'!$A$87:$I$107,5,0)),0%,VLOOKUP(A39,'Données projet'!$A$87:$I$107,5,0)*VLOOKUP('Données projet'!$B$11,Paramètres!$A$1:$I$89,7,0))</f>
        <v>0.18</v>
      </c>
      <c r="BN39" s="16">
        <f>IF(ISNA(VLOOKUP(A39,'Données projet'!$A$87:$I$107,6,0)),0%,VLOOKUP(A39,'Données projet'!$A$87:$I$107,6,0)*VLOOKUP('Données projet'!$B$11,Paramètres!$A$1:$I$89,7,0))</f>
        <v>0.36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18.576471189793637</v>
      </c>
      <c r="BQ39" s="21">
        <f>EXP(-LN(2)/25)*BQ38+(1-EXP(-LN(2)/25))/(LN(2)/25)*Calculateur!BL39*Calculateur!BN39*VLOOKUP('Données projet'!$B$11,Paramètres!$A$1:$I$89,3,0)*0.475*44/12</f>
        <v>82.237112880857168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100.8135840706508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133.73567999999997</v>
      </c>
      <c r="CA39" s="13">
        <f t="shared" si="39"/>
        <v>34.858136849359212</v>
      </c>
      <c r="CB39" s="20">
        <f t="shared" si="10"/>
        <v>293.6342310126339</v>
      </c>
      <c r="CC39" s="59">
        <f t="shared" si="11"/>
        <v>586.96756434596728</v>
      </c>
      <c r="CD39" s="59">
        <f ca="1">AVERAGE(OFFSET($CC$3,0,0,'Données projet'!$E$12+1,1))-AVERAGE(OFFSET($H$3,0,0,'Données projet'!$E$12+1,1))</f>
        <v>328.55201074501201</v>
      </c>
      <c r="CE39" s="59">
        <f t="shared" si="40"/>
        <v>321.81422611044985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8.3207297504893116</v>
      </c>
      <c r="CL39" s="21">
        <f>EXP(-LN(2)/25)*CL38+(1-EXP(-LN(2)/25))/(LN(2)/25)*Calculateur!CG39*Calculateur!CI39*VLOOKUP('Données projet'!$B$12,Paramètres!$A$1:$I$89,3,0)*0.475*44/12</f>
        <v>10.736091673515476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19.056821424004788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8.8000000000000007</v>
      </c>
      <c r="CT39" s="12">
        <f>IF('Données projet'!$A$140&gt;35,CT38+CS39-DB38,IF(A39&lt;'Données projet'!$A$140,$CQ$205^A39,IF(A39='Données projet'!$A$140,'Données projet'!$B$140,CT38+CS39-DB38)))</f>
        <v>149.79999999999998</v>
      </c>
      <c r="CU39" s="17">
        <f>CT39*VLOOKUP('Données projet'!$B$13,Paramètres!$A$1:$I$89,3,0)*VLOOKUP('Données projet'!$B$13,Paramètres!$A$1:$I$89,5,0)</f>
        <v>130.86528000000001</v>
      </c>
      <c r="CV39" s="13">
        <f t="shared" si="41"/>
        <v>34.19622287336729</v>
      </c>
      <c r="CW39" s="20">
        <f t="shared" si="13"/>
        <v>287.48211750444801</v>
      </c>
      <c r="CX39" s="59">
        <f t="shared" si="14"/>
        <v>580.81545083778133</v>
      </c>
      <c r="CY39" s="59">
        <f ca="1">AVERAGE(OFFSET($CX$3,0,0,'Données projet'!$E$13+1,1))-AVERAGE(OFFSET($H$3,0,0,'Données projet'!$E$13+1,1))</f>
        <v>354.24684313982857</v>
      </c>
      <c r="CZ39" s="59">
        <f t="shared" si="42"/>
        <v>322.65043486962185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5.4313451466128662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5.4313451466128662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11.333333333333334</v>
      </c>
      <c r="DO39" s="12">
        <f>IF('Données projet'!$A$166&gt;35,DO38+DN39-DW38,IF(A39&lt;'Données projet'!$A$166,$DL$205^A39,IF(A39='Données projet'!$A$166,'Données projet'!$B$166,DO38+DN39-DW38)))</f>
        <v>176.66666666666666</v>
      </c>
      <c r="DP39" s="17">
        <f>DO39*VLOOKUP('Données projet'!$B$14,Paramètres!$A$1:$I$89,3,0)*VLOOKUP('Données projet'!$B$14,Paramètres!$A$1:$I$89,5,0)</f>
        <v>137.80000000000001</v>
      </c>
      <c r="DQ39" s="13">
        <f t="shared" si="43"/>
        <v>35.792552736298617</v>
      </c>
      <c r="DR39" s="20">
        <f t="shared" si="16"/>
        <v>302.34036268238674</v>
      </c>
      <c r="DS39" s="59">
        <f t="shared" si="17"/>
        <v>595.67369601572</v>
      </c>
      <c r="DT39" s="59">
        <f ca="1">AVERAGE(OFFSET($DS$3,0,0,'Données projet'!$E$14+1,1))-AVERAGE(OFFSET($H$3,0,0,'Données projet'!$E$14+1,1))</f>
        <v>288.80569134263209</v>
      </c>
      <c r="DU39" s="59">
        <f t="shared" si="44"/>
        <v>283.48738729114024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3.526104529918904</v>
      </c>
      <c r="EB39" s="21">
        <f>EXP(-LN(2)/25)*EB38+(1-EXP(-LN(2)/25))/(LN(2)/25)*Calculateur!DW39*Calculateur!DY39*VLOOKUP('Données projet'!$B$14,Paramètres!$A$1:$I$89,3,0)*0.475*44/12</f>
        <v>11.138698271249043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14.664802801167946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403.50769230769237</v>
      </c>
      <c r="EH39" s="12">
        <f>VLOOKUP(A39,'Données projet'!$A$191:$I$211,9,0)</f>
        <v>22.884615384615397</v>
      </c>
      <c r="EI39" s="12">
        <f t="array" ref="EI39">INDEX(EH:EH,MIN(IF(ISNUMBER(EH39:EH235),ROW(EH39:EH235),"")))</f>
        <v>22.884615384615397</v>
      </c>
      <c r="EJ39" s="12">
        <f>IF('Données projet'!$A$192&gt;35,EJ38+EI39-ER38,IF(A39&lt;'Données projet'!$A$192,$EG$205^A39,IF(A39='Données projet'!$A$192,'Données projet'!$B$192,EJ38+EI39-ER38)))</f>
        <v>403.50769230769237</v>
      </c>
      <c r="EK39" s="17">
        <f>EJ39*VLOOKUP('Données projet'!$B$15,Paramètres!$A$1:$I$89,3,0)*VLOOKUP('Données projet'!$B$15,Paramètres!$A$1:$I$89,5,0)</f>
        <v>225.56080000000003</v>
      </c>
      <c r="EL39" s="13">
        <f t="shared" si="45"/>
        <v>55.321736658663667</v>
      </c>
      <c r="EM39" s="20">
        <f t="shared" si="19"/>
        <v>489.20375134717256</v>
      </c>
      <c r="EN39" s="59">
        <f t="shared" si="20"/>
        <v>782.53708468050581</v>
      </c>
      <c r="EO39" s="59">
        <f ca="1">AVERAGE(OFFSET($EN$3,0,0,'Données projet'!$E$15+1,1))-AVERAGE(OFFSET($H$3,0,0,'Données projet'!$E$15+1,1))</f>
        <v>335.04906256888819</v>
      </c>
      <c r="EP39" s="59">
        <f t="shared" si="46"/>
        <v>440.84111898279554</v>
      </c>
      <c r="EQ39" s="15">
        <f>IF(ISNA(VLOOKUP(A39,'Données projet'!$A$191:$I$211,3,0)),0,VLOOKUP(A39,'Données projet'!$A$191:$I$211,3,0))</f>
        <v>4</v>
      </c>
      <c r="ER39" s="15">
        <f>IF(ISNA(VLOOKUP(A39,'Données projet'!$A$191:$I$211,4,0)),0,VLOOKUP(A39,'Données projet'!$A$191:$I$211,4,0))</f>
        <v>69.3</v>
      </c>
      <c r="ES39" s="16">
        <f>IF(ISNA(VLOOKUP(A39,'Données projet'!$A$191:$I$211,5,0)),0%,VLOOKUP(A39,'Données projet'!$A$191:$I$211,5,0)*VLOOKUP('Données projet'!$B$15,Paramètres!$A$1:$I$89,7,0))</f>
        <v>0.38500000000000001</v>
      </c>
      <c r="ET39" s="16">
        <f>IF(ISNA(VLOOKUP(A39,'Données projet'!$A$191:$I$211,6,0)),0%,VLOOKUP(A39,'Données projet'!$A$191:$I$211,6,0)*VLOOKUP('Données projet'!$B$15,Paramètres!$A$1:$I$89,7,0))</f>
        <v>9.240000000000001E-2</v>
      </c>
      <c r="EU39" s="16">
        <f>IF(ISNA(VLOOKUP(A39,'Données projet'!$A$191:$I$211,7,0)),0%,VLOOKUP(A39,'Données projet'!$A$191:$I$211,7,0))</f>
        <v>0.13200000000000001</v>
      </c>
      <c r="EV39" s="21">
        <f>EXP(-LN(2)/35)*EV38+(1-EXP(-LN(2)/35))/(LN(2)/35)*ER39*ES39*VLOOKUP('Données projet'!$B$15,Paramètres!$A$1:$I$89,3,0)*0.475*44/12</f>
        <v>46.036190634544177</v>
      </c>
      <c r="EW39" s="21">
        <f>EXP(-LN(2)/25)*EW38+(1-EXP(-LN(2)/25))/(LN(2)/25)*Calculateur!ER39*Calculateur!ET39*VLOOKUP('Données projet'!$B$15,Paramètres!$A$1:$I$89,3,0)*0.475*44/12</f>
        <v>20.181403317675393</v>
      </c>
      <c r="EX39" s="21">
        <f>EXP(-LN(2)/2)*EX38+(1-EXP(-LN(2)/2))/(LN(2)/2)*ER39*EU39*VLOOKUP('Données projet'!$B$15,Paramètres!$A$1:$I$89,3,0)*0.475*44/12</f>
        <v>6.5688475705786837</v>
      </c>
      <c r="EY39" s="22">
        <f t="shared" si="21"/>
        <v>72.786441522798256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188</v>
      </c>
      <c r="L40" s="12">
        <f>VLOOKUP(A40,'Données projet'!$A$35:$I$55,9,0)</f>
        <v>11.333333333333334</v>
      </c>
      <c r="M40" s="12">
        <f t="array" ref="M40">INDEX(L:L,MIN(IF(ISNUMBER(L40:L236),ROW(L40:L236),"")))</f>
        <v>11.333333333333334</v>
      </c>
      <c r="N40" s="13">
        <f>IF('Données projet'!$A$36&gt;35,N39+M40-V39,IF(A40&lt;'Données projet'!$A$36,$K$205^A40,IF(A40='Données projet'!$A$36,'Données projet'!$B$36,N39+M40-V39)))</f>
        <v>188</v>
      </c>
      <c r="O40" s="13">
        <f>N40*VLOOKUP('Données projet'!$B$9,Paramètres!$A$1:$I$89,3,0)*VLOOKUP('Données projet'!$B$9,Paramètres!$A$1:$I$89,5,0)</f>
        <v>152.50560000000002</v>
      </c>
      <c r="P40" s="13">
        <f t="shared" si="33"/>
        <v>39.147442061162216</v>
      </c>
      <c r="Q40" s="20">
        <f t="shared" si="53"/>
        <v>333.79571492319093</v>
      </c>
      <c r="R40" s="59">
        <f t="shared" si="0"/>
        <v>627.12904825652424</v>
      </c>
      <c r="S40" s="59">
        <f ca="1">AVERAGE(OFFSET($R$3,0,0,'Données projet'!$E$9+1,1))-AVERAGE(OFFSET($H$3,0,0,'Données projet'!$E$9+1,1))</f>
        <v>298.96480270023716</v>
      </c>
      <c r="T40" s="59">
        <f t="shared" si="34"/>
        <v>293.11447542333889</v>
      </c>
      <c r="U40" s="15">
        <f>IF(ISNA(VLOOKUP(A40,'Données projet'!$A$35:$I$55,3,0)),0,VLOOKUP(A40,'Données projet'!$A$35:$I$55,3,0))</f>
        <v>5</v>
      </c>
      <c r="V40" s="15">
        <f>IF(ISNA(VLOOKUP(A40,'Données projet'!$A$35:$I$55,4,0)),0,VLOOKUP(A40,'Données projet'!$A$35:$I$55,4,0))</f>
        <v>36</v>
      </c>
      <c r="W40" s="16">
        <f>IF(ISNA(VLOOKUP(A40,'Données projet'!$A$35:$I$55,5,0)),0%,VLOOKUP(A40,'Données projet'!$A$35:$I$55,5,0)*VLOOKUP('Données projet'!$B$9,Paramètres!$A$1:$I$89,7,0))</f>
        <v>0.159</v>
      </c>
      <c r="X40" s="16">
        <f>IF(ISNA(VLOOKUP(A40,'Données projet'!$A$35:$I$55,6,0)),0%,VLOOKUP(A40,'Données projet'!$A$35:$I$55,6,0)*VLOOKUP('Données projet'!$B$9,Paramètres!$A$1:$I$89,7,0))</f>
        <v>0.21200000000000002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9.5643804011088385</v>
      </c>
      <c r="AA40" s="21">
        <f>EXP(-LN(2)/25)*AA39+(1-EXP(-LN(2)/25))/(LN(2)/25)*Calculateur!V40*Calculateur!X40*VLOOKUP('Données projet'!$B$9,Paramètres!$A$1:$I$89,3,0)*0.475*44/12</f>
        <v>20.704923400714506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30.269303801823344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7.9818376068376082</v>
      </c>
      <c r="AI40" s="13">
        <f>IF('Données projet'!$A$62&gt;35,AI39+AH40-AQ39,IF(A40&lt;'Données projet'!$A$62,$AF$205^A40,IF(A40='Données projet'!$A$62,'Données projet'!$B$62,AI39+AH40-AQ39)))</f>
        <v>153.15491452991458</v>
      </c>
      <c r="AJ40" s="13">
        <f>AI40*VLOOKUP('Données projet'!$B$10,Paramètres!$A$1:$I$89,3,0)*VLOOKUP('Données projet'!$B$10,Paramètres!$A$1:$I$89,5,0)</f>
        <v>131.40691666666672</v>
      </c>
      <c r="AK40" s="13">
        <f t="shared" si="35"/>
        <v>34.321252518358378</v>
      </c>
      <c r="AL40" s="20">
        <f t="shared" si="4"/>
        <v>288.64322799725204</v>
      </c>
      <c r="AM40" s="59">
        <f t="shared" si="5"/>
        <v>581.97656133058535</v>
      </c>
      <c r="AN40" s="59">
        <f ca="1">AVERAGE(OFFSET($AM$3,0,0,'Données projet'!$E$10+1,1))-AVERAGE(OFFSET($H$3,0,0,'Données projet'!$E$10+1,1))</f>
        <v>335.02113791949211</v>
      </c>
      <c r="AO40" s="59">
        <f t="shared" si="36"/>
        <v>222.06886429435099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</v>
      </c>
      <c r="BD40" s="12">
        <f>IF('Données projet'!$A$88&gt;35,BD39+BC40-BL39,IF(A40&lt;'Données projet'!$A$88,$BA$205^A40,IF(A40='Données projet'!$A$88,'Données projet'!$B$88,BD39+BC40-BL39)))</f>
        <v>207.99999999999994</v>
      </c>
      <c r="BE40" s="13">
        <f>BD40*VLOOKUP('Données projet'!$B$11,Paramètres!$A$1:$I$89,3,0)*VLOOKUP('Données projet'!$B$11,Paramètres!$A$1:$I$89,5,0)</f>
        <v>113.56799999999997</v>
      </c>
      <c r="BF40" s="13">
        <f t="shared" si="37"/>
        <v>30.170065062058185</v>
      </c>
      <c r="BG40" s="20">
        <f t="shared" si="7"/>
        <v>250.34379664975128</v>
      </c>
      <c r="BH40" s="59">
        <f t="shared" si="8"/>
        <v>543.67712998308457</v>
      </c>
      <c r="BI40" s="59">
        <f ca="1">AVERAGE(OFFSET($BH$3,0,0,'Données projet'!$E$11+1,1))-AVERAGE(OFFSET($H$3,0,0,'Données projet'!$E$11+1,1))</f>
        <v>207.02306964567629</v>
      </c>
      <c r="BJ40" s="59">
        <f t="shared" si="38"/>
        <v>342.06887933351783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18.212197920290411</v>
      </c>
      <c r="BQ40" s="21">
        <f>EXP(-LN(2)/25)*BQ39+(1-EXP(-LN(2)/25))/(LN(2)/25)*Calculateur!BL40*Calculateur!BN40*VLOOKUP('Données projet'!$B$11,Paramètres!$A$1:$I$89,3,0)*0.475*44/12</f>
        <v>79.988334704468315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98.200532624758722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142.09415999999999</v>
      </c>
      <c r="CA40" s="13">
        <f t="shared" si="39"/>
        <v>36.77633279983236</v>
      </c>
      <c r="CB40" s="20">
        <f t="shared" si="10"/>
        <v>311.53277495970798</v>
      </c>
      <c r="CC40" s="59">
        <f t="shared" si="11"/>
        <v>604.86610829304129</v>
      </c>
      <c r="CD40" s="59">
        <f ca="1">AVERAGE(OFFSET($CC$3,0,0,'Données projet'!$E$12+1,1))-AVERAGE(OFFSET($H$3,0,0,'Données projet'!$E$12+1,1))</f>
        <v>328.55201074501201</v>
      </c>
      <c r="CE40" s="59">
        <f t="shared" si="40"/>
        <v>321.81422611044985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8.1575653152262344</v>
      </c>
      <c r="CL40" s="21">
        <f>EXP(-LN(2)/25)*CL39+(1-EXP(-LN(2)/25))/(LN(2)/25)*Calculateur!CG40*Calculateur!CI40*VLOOKUP('Données projet'!$B$12,Paramètres!$A$1:$I$89,3,0)*0.475*44/12</f>
        <v>10.442512682116671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18.600077997342908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8.8000000000000007</v>
      </c>
      <c r="CT40" s="12">
        <f>IF('Données projet'!$A$140&gt;35,CT39+CS40-DB39,IF(A40&lt;'Données projet'!$A$140,$CQ$205^A40,IF(A40='Données projet'!$A$140,'Données projet'!$B$140,CT39+CS40-DB39)))</f>
        <v>158.6</v>
      </c>
      <c r="CU40" s="17">
        <f>CT40*VLOOKUP('Données projet'!$B$13,Paramètres!$A$1:$I$89,3,0)*VLOOKUP('Données projet'!$B$13,Paramètres!$A$1:$I$89,5,0)</f>
        <v>138.55296000000001</v>
      </c>
      <c r="CV40" s="13">
        <f t="shared" si="41"/>
        <v>35.965308766301796</v>
      </c>
      <c r="CW40" s="20">
        <f t="shared" si="13"/>
        <v>303.95265143464229</v>
      </c>
      <c r="CX40" s="59">
        <f t="shared" si="14"/>
        <v>597.28598476797561</v>
      </c>
      <c r="CY40" s="59">
        <f ca="1">AVERAGE(OFFSET($CX$3,0,0,'Données projet'!$E$13+1,1))-AVERAGE(OFFSET($H$3,0,0,'Données projet'!$E$13+1,1))</f>
        <v>354.24684313982857</v>
      </c>
      <c r="CZ40" s="59">
        <f t="shared" si="42"/>
        <v>322.65043486962185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5.2828247279567098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5.2828247279567098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188</v>
      </c>
      <c r="DM40" s="12">
        <f>VLOOKUP(A40,'Données projet'!$A$165:$I$185,9,0)</f>
        <v>11.333333333333334</v>
      </c>
      <c r="DN40" s="12">
        <f t="array" ref="DN40">INDEX(DM:DM,MIN(IF(ISNUMBER(DM40:DM236),ROW(DM40:DM236),"")))</f>
        <v>11.333333333333334</v>
      </c>
      <c r="DO40" s="12">
        <f>IF('Données projet'!$A$166&gt;35,DO39+DN40-DW39,IF(A40&lt;'Données projet'!$A$166,$DL$205^A40,IF(A40='Données projet'!$A$166,'Données projet'!$B$166,DO39+DN40-DW39)))</f>
        <v>188</v>
      </c>
      <c r="DP40" s="17">
        <f>DO40*VLOOKUP('Données projet'!$B$14,Paramètres!$A$1:$I$89,3,0)*VLOOKUP('Données projet'!$B$14,Paramètres!$A$1:$I$89,5,0)</f>
        <v>146.64000000000001</v>
      </c>
      <c r="DQ40" s="13">
        <f t="shared" si="43"/>
        <v>37.814009712703054</v>
      </c>
      <c r="DR40" s="20">
        <f t="shared" si="16"/>
        <v>321.25740024962448</v>
      </c>
      <c r="DS40" s="59">
        <f t="shared" si="17"/>
        <v>614.5907335829578</v>
      </c>
      <c r="DT40" s="59">
        <f ca="1">AVERAGE(OFFSET($DS$3,0,0,'Données projet'!$E$14+1,1))-AVERAGE(OFFSET($H$3,0,0,'Données projet'!$E$14+1,1))</f>
        <v>288.80569134263209</v>
      </c>
      <c r="DU40" s="59">
        <f t="shared" si="44"/>
        <v>283.48738729114024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36</v>
      </c>
      <c r="DX40" s="16">
        <f>IF(ISNA(VLOOKUP(A40,'Données projet'!$A$165:$I$185,5,0)),0%,VLOOKUP(A40,'Données projet'!$A$165:$I$185,5,0)*VLOOKUP('Données projet'!$B$14,Paramètres!$A$1:$I$89,7,0))</f>
        <v>0.129</v>
      </c>
      <c r="DY40" s="16">
        <f>IF(ISNA(VLOOKUP(A40,'Données projet'!$A$165:$I$185,6,0)),0%,VLOOKUP(A40,'Données projet'!$A$165:$I$185,6,0)*VLOOKUP('Données projet'!$B$14,Paramètres!$A$1:$I$89,7,0))</f>
        <v>0.17200000000000001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7.4613272359883887</v>
      </c>
      <c r="EB40" s="21">
        <f>EXP(-LN(2)/25)*EB39+(1-EXP(-LN(2)/25))/(LN(2)/25)*Calculateur!DW40*Calculateur!DY40*VLOOKUP('Données projet'!$B$14,Paramètres!$A$1:$I$89,3,0)*0.475*44/12</f>
        <v>16.152244307524015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23.613571543512403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22.419230769230751</v>
      </c>
      <c r="EJ40" s="12">
        <f>IF('Données projet'!$A$192&gt;35,EJ39+EI40-ER39,IF(A40&lt;'Données projet'!$A$192,$EG$205^A40,IF(A40='Données projet'!$A$192,'Données projet'!$B$192,EJ39+EI40-ER39)))</f>
        <v>356.62692307692311</v>
      </c>
      <c r="EK40" s="17">
        <f>EJ40*VLOOKUP('Données projet'!$B$15,Paramètres!$A$1:$I$89,3,0)*VLOOKUP('Données projet'!$B$15,Paramètres!$A$1:$I$89,5,0)</f>
        <v>199.35445000000001</v>
      </c>
      <c r="EL40" s="13">
        <f t="shared" si="45"/>
        <v>49.60226869073324</v>
      </c>
      <c r="EM40" s="20">
        <f t="shared" si="19"/>
        <v>433.59961838636042</v>
      </c>
      <c r="EN40" s="59">
        <f t="shared" si="20"/>
        <v>726.93295171969373</v>
      </c>
      <c r="EO40" s="59">
        <f ca="1">AVERAGE(OFFSET($EN$3,0,0,'Données projet'!$E$15+1,1))-AVERAGE(OFFSET($H$3,0,0,'Données projet'!$E$15+1,1))</f>
        <v>335.04906256888819</v>
      </c>
      <c r="EP40" s="59">
        <f t="shared" si="46"/>
        <v>440.84111898279554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45.133449015504453</v>
      </c>
      <c r="EW40" s="21">
        <f>EXP(-LN(2)/25)*EW39+(1-EXP(-LN(2)/25))/(LN(2)/25)*Calculateur!ER40*Calculateur!ET40*VLOOKUP('Données projet'!$B$15,Paramètres!$A$1:$I$89,3,0)*0.475*44/12</f>
        <v>19.629541782659683</v>
      </c>
      <c r="EX40" s="21">
        <f>EXP(-LN(2)/2)*EX39+(1-EXP(-LN(2)/2))/(LN(2)/2)*ER40*EU40*VLOOKUP('Données projet'!$B$15,Paramètres!$A$1:$I$89,3,0)*0.475*44/12</f>
        <v>4.6448766617369657</v>
      </c>
      <c r="EY40" s="22">
        <f t="shared" si="21"/>
        <v>69.407867459901098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11.142857142857142</v>
      </c>
      <c r="N41" s="13">
        <f>IF('Données projet'!$A$36&gt;35,N40+M41-V40,IF(A41&lt;'Données projet'!$A$36,$K$205^A41,IF(A41='Données projet'!$A$36,'Données projet'!$B$36,N40+M41-V40)))</f>
        <v>163.14285714285714</v>
      </c>
      <c r="O41" s="13">
        <f>N41*VLOOKUP('Données projet'!$B$9,Paramètres!$A$1:$I$89,3,0)*VLOOKUP('Données projet'!$B$9,Paramètres!$A$1:$I$89,5,0)</f>
        <v>132.34148571428571</v>
      </c>
      <c r="P41" s="13">
        <f t="shared" si="33"/>
        <v>34.536844536486583</v>
      </c>
      <c r="Q41" s="20">
        <f t="shared" si="53"/>
        <v>290.64642518676175</v>
      </c>
      <c r="R41" s="59">
        <f t="shared" si="0"/>
        <v>583.97975852009506</v>
      </c>
      <c r="S41" s="59">
        <f ca="1">AVERAGE(OFFSET($R$3,0,0,'Données projet'!$E$9+1,1))-AVERAGE(OFFSET($H$3,0,0,'Données projet'!$E$9+1,1))</f>
        <v>298.96480270023716</v>
      </c>
      <c r="T41" s="59">
        <f t="shared" si="34"/>
        <v>293.11447542333889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9.3768287351391084</v>
      </c>
      <c r="AA41" s="21">
        <f>EXP(-LN(2)/25)*AA40+(1-EXP(-LN(2)/25))/(LN(2)/25)*Calculateur!V41*Calculateur!X41*VLOOKUP('Données projet'!$B$9,Paramètres!$A$1:$I$89,3,0)*0.475*44/12</f>
        <v>20.138746181497368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29.515574916636474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7.9818376068376082</v>
      </c>
      <c r="AI41" s="13">
        <f>IF('Données projet'!$A$62&gt;35,AI40+AH41-AQ40,IF(A41&lt;'Données projet'!$A$62,$AF$205^A41,IF(A41='Données projet'!$A$62,'Données projet'!$B$62,AI40+AH41-AQ40)))</f>
        <v>161.13675213675219</v>
      </c>
      <c r="AJ41" s="13">
        <f>AI41*VLOOKUP('Données projet'!$B$10,Paramètres!$A$1:$I$89,3,0)*VLOOKUP('Données projet'!$B$10,Paramètres!$A$1:$I$89,5,0)</f>
        <v>138.2553333333334</v>
      </c>
      <c r="AK41" s="13">
        <f t="shared" si="35"/>
        <v>35.897035627778394</v>
      </c>
      <c r="AL41" s="20">
        <f t="shared" si="4"/>
        <v>303.31537594060302</v>
      </c>
      <c r="AM41" s="59">
        <f t="shared" si="5"/>
        <v>596.64870927393633</v>
      </c>
      <c r="AN41" s="59">
        <f ca="1">AVERAGE(OFFSET($AM$3,0,0,'Données projet'!$E$10+1,1))-AVERAGE(OFFSET($H$3,0,0,'Données projet'!$E$10+1,1))</f>
        <v>335.02113791949211</v>
      </c>
      <c r="AO41" s="59">
        <f t="shared" si="36"/>
        <v>222.06886429435099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</v>
      </c>
      <c r="BD41" s="12">
        <f>IF('Données projet'!$A$88&gt;35,BD40+BC41-BL40,IF(A41&lt;'Données projet'!$A$88,$BA$205^A41,IF(A41='Données projet'!$A$88,'Données projet'!$B$88,BD40+BC41-BL40)))</f>
        <v>221.99999999999994</v>
      </c>
      <c r="BE41" s="13">
        <f>BD41*VLOOKUP('Données projet'!$B$11,Paramètres!$A$1:$I$89,3,0)*VLOOKUP('Données projet'!$B$11,Paramètres!$A$1:$I$89,5,0)</f>
        <v>121.21199999999996</v>
      </c>
      <c r="BF41" s="13">
        <f t="shared" si="37"/>
        <v>31.95751284761706</v>
      </c>
      <c r="BG41" s="20">
        <f t="shared" si="7"/>
        <v>266.77023487626633</v>
      </c>
      <c r="BH41" s="59">
        <f t="shared" si="8"/>
        <v>560.10356820959964</v>
      </c>
      <c r="BI41" s="59">
        <f ca="1">AVERAGE(OFFSET($BH$3,0,0,'Données projet'!$E$11+1,1))-AVERAGE(OFFSET($H$3,0,0,'Données projet'!$E$11+1,1))</f>
        <v>207.02306964567629</v>
      </c>
      <c r="BJ41" s="59">
        <f t="shared" si="38"/>
        <v>342.06887933351783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17.85506782741739</v>
      </c>
      <c r="BQ41" s="21">
        <f>EXP(-LN(2)/25)*BQ40+(1-EXP(-LN(2)/25))/(LN(2)/25)*Calculateur!BL41*Calculateur!BN41*VLOOKUP('Données projet'!$B$11,Paramètres!$A$1:$I$89,3,0)*0.475*44/12</f>
        <v>77.801049485570928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95.656117312988314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150.45263999999997</v>
      </c>
      <c r="CA41" s="13">
        <f t="shared" si="39"/>
        <v>38.681431639913605</v>
      </c>
      <c r="CB41" s="20">
        <f t="shared" si="10"/>
        <v>329.40850810618275</v>
      </c>
      <c r="CC41" s="59">
        <f t="shared" si="11"/>
        <v>622.74184143951607</v>
      </c>
      <c r="CD41" s="59">
        <f ca="1">AVERAGE(OFFSET($CC$3,0,0,'Données projet'!$E$12+1,1))-AVERAGE(OFFSET($H$3,0,0,'Données projet'!$E$12+1,1))</f>
        <v>328.55201074501201</v>
      </c>
      <c r="CE41" s="59">
        <f t="shared" si="40"/>
        <v>321.81422611044985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7.997600435018188</v>
      </c>
      <c r="CL41" s="21">
        <f>EXP(-LN(2)/25)*CL40+(1-EXP(-LN(2)/25))/(LN(2)/25)*Calculateur!CG41*Calculateur!CI41*VLOOKUP('Données projet'!$B$12,Paramètres!$A$1:$I$89,3,0)*0.475*44/12</f>
        <v>10.156961623676315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18.154562058694502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8.8000000000000007</v>
      </c>
      <c r="CT41" s="12">
        <f>IF('Données projet'!$A$140&gt;35,CT40+CS41-DB40,IF(A41&lt;'Données projet'!$A$140,$CQ$205^A41,IF(A41='Données projet'!$A$140,'Données projet'!$B$140,CT40+CS41-DB40)))</f>
        <v>167.4</v>
      </c>
      <c r="CU41" s="17">
        <f>CT41*VLOOKUP('Données projet'!$B$13,Paramètres!$A$1:$I$89,3,0)*VLOOKUP('Données projet'!$B$13,Paramètres!$A$1:$I$89,5,0)</f>
        <v>146.24064000000001</v>
      </c>
      <c r="CV41" s="13">
        <f t="shared" si="41"/>
        <v>37.722999642090628</v>
      </c>
      <c r="CW41" s="20">
        <f t="shared" si="13"/>
        <v>320.40333904330788</v>
      </c>
      <c r="CX41" s="59">
        <f t="shared" si="14"/>
        <v>613.7366723766412</v>
      </c>
      <c r="CY41" s="59">
        <f ca="1">AVERAGE(OFFSET($CX$3,0,0,'Données projet'!$E$13+1,1))-AVERAGE(OFFSET($H$3,0,0,'Données projet'!$E$13+1,1))</f>
        <v>354.24684313982857</v>
      </c>
      <c r="CZ41" s="59">
        <f t="shared" si="42"/>
        <v>322.65043486962185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5.1383656079590549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5.1383656079590549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11.142857142857142</v>
      </c>
      <c r="DO41" s="12">
        <f>IF('Données projet'!$A$166&gt;35,DO40+DN41-DW40,IF(A41&lt;'Données projet'!$A$166,$DL$205^A41,IF(A41='Données projet'!$A$166,'Données projet'!$B$166,DO40+DN41-DW40)))</f>
        <v>163.14285714285714</v>
      </c>
      <c r="DP41" s="17">
        <f>DO41*VLOOKUP('Données projet'!$B$14,Paramètres!$A$1:$I$89,3,0)*VLOOKUP('Données projet'!$B$14,Paramètres!$A$1:$I$89,5,0)</f>
        <v>127.25142857142858</v>
      </c>
      <c r="DQ41" s="13">
        <f t="shared" si="43"/>
        <v>33.360457439554281</v>
      </c>
      <c r="DR41" s="20">
        <f t="shared" si="16"/>
        <v>279.73236813579513</v>
      </c>
      <c r="DS41" s="59">
        <f t="shared" si="17"/>
        <v>573.0657014691285</v>
      </c>
      <c r="DT41" s="59">
        <f ca="1">AVERAGE(OFFSET($DS$3,0,0,'Données projet'!$E$14+1,1))-AVERAGE(OFFSET($H$3,0,0,'Données projet'!$E$14+1,1))</f>
        <v>288.80569134263209</v>
      </c>
      <c r="DU41" s="59">
        <f t="shared" si="44"/>
        <v>283.48738729114024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7.3150151598509003</v>
      </c>
      <c r="EB41" s="21">
        <f>EXP(-LN(2)/25)*EB40+(1-EXP(-LN(2)/25))/(LN(2)/25)*Calculateur!DW41*Calculateur!DY41*VLOOKUP('Données projet'!$B$14,Paramètres!$A$1:$I$89,3,0)*0.475*44/12</f>
        <v>15.710560337525159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23.02557549737606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22.419230769230751</v>
      </c>
      <c r="EJ41" s="12">
        <f>IF('Données projet'!$A$192&gt;35,EJ40+EI41-ER40,IF(A41&lt;'Données projet'!$A$192,$EG$205^A41,IF(A41='Données projet'!$A$192,'Données projet'!$B$192,EJ40+EI41-ER40)))</f>
        <v>379.04615384615386</v>
      </c>
      <c r="EK41" s="17">
        <f>EJ41*VLOOKUP('Données projet'!$B$15,Paramètres!$A$1:$I$89,3,0)*VLOOKUP('Données projet'!$B$15,Paramètres!$A$1:$I$89,5,0)</f>
        <v>211.88679999999999</v>
      </c>
      <c r="EL41" s="13">
        <f t="shared" si="45"/>
        <v>52.347684082939317</v>
      </c>
      <c r="EM41" s="20">
        <f t="shared" si="19"/>
        <v>460.20839311111928</v>
      </c>
      <c r="EN41" s="59">
        <f t="shared" si="20"/>
        <v>753.54172644445259</v>
      </c>
      <c r="EO41" s="59">
        <f ca="1">AVERAGE(OFFSET($EN$3,0,0,'Données projet'!$E$15+1,1))-AVERAGE(OFFSET($H$3,0,0,'Données projet'!$E$15+1,1))</f>
        <v>335.04906256888819</v>
      </c>
      <c r="EP41" s="59">
        <f t="shared" si="46"/>
        <v>440.84111898279554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44.248409608996077</v>
      </c>
      <c r="EW41" s="21">
        <f>EXP(-LN(2)/25)*EW40+(1-EXP(-LN(2)/25))/(LN(2)/25)*Calculateur!ER41*Calculateur!ET41*VLOOKUP('Données projet'!$B$15,Paramètres!$A$1:$I$89,3,0)*0.475*44/12</f>
        <v>19.092770930340116</v>
      </c>
      <c r="EX41" s="21">
        <f>EXP(-LN(2)/2)*EX40+(1-EXP(-LN(2)/2))/(LN(2)/2)*ER41*EU41*VLOOKUP('Données projet'!$B$15,Paramètres!$A$1:$I$89,3,0)*0.475*44/12</f>
        <v>3.2844237852893423</v>
      </c>
      <c r="EY41" s="22">
        <f t="shared" si="21"/>
        <v>66.625604324625542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11.142857142857142</v>
      </c>
      <c r="N42" s="13">
        <f>IF('Données projet'!$A$36&gt;35,N41+M42-V41,IF(A42&lt;'Données projet'!$A$36,$K$205^A42,IF(A42='Données projet'!$A$36,'Données projet'!$B$36,N41+M42-V41)))</f>
        <v>174.28571428571428</v>
      </c>
      <c r="O42" s="13">
        <f>N42*VLOOKUP('Données projet'!$B$9,Paramètres!$A$1:$I$89,3,0)*VLOOKUP('Données projet'!$B$9,Paramètres!$A$1:$I$89,5,0)</f>
        <v>141.38057142857144</v>
      </c>
      <c r="P42" s="13">
        <f t="shared" si="33"/>
        <v>36.613094170880125</v>
      </c>
      <c r="Q42" s="20">
        <f t="shared" si="53"/>
        <v>310.00563425237812</v>
      </c>
      <c r="R42" s="59">
        <f t="shared" si="0"/>
        <v>603.33896758571143</v>
      </c>
      <c r="S42" s="59">
        <f ca="1">AVERAGE(OFFSET($R$3,0,0,'Données projet'!$E$9+1,1))-AVERAGE(OFFSET($H$3,0,0,'Données projet'!$E$9+1,1))</f>
        <v>298.96480270023716</v>
      </c>
      <c r="T42" s="59">
        <f t="shared" si="34"/>
        <v>293.11447542333889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9.1929548429438253</v>
      </c>
      <c r="AA42" s="21">
        <f>EXP(-LN(2)/25)*AA41+(1-EXP(-LN(2)/25))/(LN(2)/25)*Calculateur!V42*Calculateur!X42*VLOOKUP('Données projet'!$B$9,Paramètres!$A$1:$I$89,3,0)*0.475*44/12</f>
        <v>19.588051108113689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28.781005951057516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7.9818376068376082</v>
      </c>
      <c r="AI42" s="13">
        <f>IF('Données projet'!$A$62&gt;35,AI41+AH42-AQ41,IF(A42&lt;'Données projet'!$A$62,$AF$205^A42,IF(A42='Données projet'!$A$62,'Données projet'!$B$62,AI41+AH42-AQ41)))</f>
        <v>169.11858974358981</v>
      </c>
      <c r="AJ42" s="13">
        <f>AI42*VLOOKUP('Données projet'!$B$10,Paramètres!$A$1:$I$89,3,0)*VLOOKUP('Données projet'!$B$10,Paramètres!$A$1:$I$89,5,0)</f>
        <v>145.10375000000008</v>
      </c>
      <c r="AK42" s="13">
        <f t="shared" si="35"/>
        <v>37.46375528137299</v>
      </c>
      <c r="AL42" s="20">
        <f t="shared" si="4"/>
        <v>317.97173836505806</v>
      </c>
      <c r="AM42" s="59">
        <f t="shared" si="5"/>
        <v>611.30507169839143</v>
      </c>
      <c r="AN42" s="59">
        <f ca="1">AVERAGE(OFFSET($AM$3,0,0,'Données projet'!$E$10+1,1))-AVERAGE(OFFSET($H$3,0,0,'Données projet'!$E$10+1,1))</f>
        <v>335.02113791949211</v>
      </c>
      <c r="AO42" s="59">
        <f t="shared" si="36"/>
        <v>222.06886429435099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</v>
      </c>
      <c r="BD42" s="12">
        <f>IF('Données projet'!$A$88&gt;35,BD41+BC42-BL41,IF(A42&lt;'Données projet'!$A$88,$BA$205^A42,IF(A42='Données projet'!$A$88,'Données projet'!$B$88,BD41+BC42-BL41)))</f>
        <v>235.99999999999994</v>
      </c>
      <c r="BE42" s="13">
        <f>BD42*VLOOKUP('Données projet'!$B$11,Paramètres!$A$1:$I$89,3,0)*VLOOKUP('Données projet'!$B$11,Paramètres!$A$1:$I$89,5,0)</f>
        <v>128.85599999999997</v>
      </c>
      <c r="BF42" s="13">
        <f t="shared" si="37"/>
        <v>33.731878688740906</v>
      </c>
      <c r="BG42" s="20">
        <f t="shared" si="7"/>
        <v>283.1738887162237</v>
      </c>
      <c r="BH42" s="59">
        <f t="shared" si="8"/>
        <v>576.50722204955696</v>
      </c>
      <c r="BI42" s="59">
        <f ca="1">AVERAGE(OFFSET($BH$3,0,0,'Données projet'!$E$11+1,1))-AVERAGE(OFFSET($H$3,0,0,'Données projet'!$E$11+1,1))</f>
        <v>207.02306964567629</v>
      </c>
      <c r="BJ42" s="59">
        <f t="shared" si="38"/>
        <v>342.06887933351783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17.504940837837761</v>
      </c>
      <c r="BQ42" s="21">
        <f>EXP(-LN(2)/25)*BQ41+(1-EXP(-LN(2)/25))/(LN(2)/25)*Calculateur!BL42*Calculateur!BN42*VLOOKUP('Données projet'!$B$11,Paramètres!$A$1:$I$89,3,0)*0.475*44/12</f>
        <v>75.673575696008612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93.178516533846377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158.81111999999999</v>
      </c>
      <c r="CA42" s="13">
        <f t="shared" si="39"/>
        <v>40.57424391712447</v>
      </c>
      <c r="CB42" s="20">
        <f t="shared" si="10"/>
        <v>347.26284215565846</v>
      </c>
      <c r="CC42" s="59">
        <f t="shared" si="11"/>
        <v>640.59617548899178</v>
      </c>
      <c r="CD42" s="59">
        <f ca="1">AVERAGE(OFFSET($CC$3,0,0,'Données projet'!$E$12+1,1))-AVERAGE(OFFSET($H$3,0,0,'Données projet'!$E$12+1,1))</f>
        <v>328.55201074501201</v>
      </c>
      <c r="CE42" s="59">
        <f t="shared" si="40"/>
        <v>321.81422611044985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7.8407723685420789</v>
      </c>
      <c r="CL42" s="21">
        <f>EXP(-LN(2)/25)*CL41+(1-EXP(-LN(2)/25))/(LN(2)/25)*Calculateur!CG42*Calculateur!CI42*VLOOKUP('Données projet'!$B$12,Paramètres!$A$1:$I$89,3,0)*0.475*44/12</f>
        <v>9.8792189739454876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17.719991342487567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8.8000000000000007</v>
      </c>
      <c r="CT42" s="12">
        <f>IF('Données projet'!$A$140&gt;35,CT41+CS42-DB41,IF(A42&lt;'Données projet'!$A$140,$CQ$205^A42,IF(A42='Données projet'!$A$140,'Données projet'!$B$140,CT41+CS42-DB41)))</f>
        <v>176.20000000000002</v>
      </c>
      <c r="CU42" s="17">
        <f>CT42*VLOOKUP('Données projet'!$B$13,Paramètres!$A$1:$I$89,3,0)*VLOOKUP('Données projet'!$B$13,Paramètres!$A$1:$I$89,5,0)</f>
        <v>153.92832000000004</v>
      </c>
      <c r="CV42" s="13">
        <f t="shared" si="41"/>
        <v>39.469962836517794</v>
      </c>
      <c r="CW42" s="20">
        <f t="shared" si="13"/>
        <v>336.83534260693523</v>
      </c>
      <c r="CX42" s="59">
        <f t="shared" si="14"/>
        <v>630.16867594026849</v>
      </c>
      <c r="CY42" s="59">
        <f ca="1">AVERAGE(OFFSET($CX$3,0,0,'Données projet'!$E$13+1,1))-AVERAGE(OFFSET($H$3,0,0,'Données projet'!$E$13+1,1))</f>
        <v>354.24684313982857</v>
      </c>
      <c r="CZ42" s="59">
        <f t="shared" si="42"/>
        <v>322.65043486962185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4.9978567301945116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4.9978567301945116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11.142857142857142</v>
      </c>
      <c r="DO42" s="12">
        <f>IF('Données projet'!$A$166&gt;35,DO41+DN42-DW41,IF(A42&lt;'Données projet'!$A$166,$DL$205^A42,IF(A42='Données projet'!$A$166,'Données projet'!$B$166,DO41+DN42-DW41)))</f>
        <v>174.28571428571428</v>
      </c>
      <c r="DP42" s="17">
        <f>DO42*VLOOKUP('Données projet'!$B$14,Paramètres!$A$1:$I$89,3,0)*VLOOKUP('Données projet'!$B$14,Paramètres!$A$1:$I$89,5,0)</f>
        <v>135.94285714285715</v>
      </c>
      <c r="DQ42" s="13">
        <f t="shared" si="43"/>
        <v>35.365986273808367</v>
      </c>
      <c r="DR42" s="20">
        <f t="shared" si="16"/>
        <v>298.36290228402578</v>
      </c>
      <c r="DS42" s="59">
        <f t="shared" si="17"/>
        <v>591.69623561735909</v>
      </c>
      <c r="DT42" s="59">
        <f ca="1">AVERAGE(OFFSET($DS$3,0,0,'Données projet'!$E$14+1,1))-AVERAGE(OFFSET($H$3,0,0,'Données projet'!$E$14+1,1))</f>
        <v>288.80569134263209</v>
      </c>
      <c r="DU42" s="59">
        <f t="shared" si="44"/>
        <v>283.48738729114024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7.1715721742849139</v>
      </c>
      <c r="EB42" s="21">
        <f>EXP(-LN(2)/25)*EB41+(1-EXP(-LN(2)/25))/(LN(2)/25)*Calculateur!DW42*Calculateur!DY42*VLOOKUP('Données projet'!$B$14,Paramètres!$A$1:$I$89,3,0)*0.475*44/12</f>
        <v>15.280954238913072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22.452526413197987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22.419230769230751</v>
      </c>
      <c r="EJ42" s="12">
        <f>IF('Données projet'!$A$192&gt;35,EJ41+EI42-ER41,IF(A42&lt;'Données projet'!$A$192,$EG$205^A42,IF(A42='Données projet'!$A$192,'Données projet'!$B$192,EJ41+EI42-ER41)))</f>
        <v>401.46538461538461</v>
      </c>
      <c r="EK42" s="17">
        <f>EJ42*VLOOKUP('Données projet'!$B$15,Paramètres!$A$1:$I$89,3,0)*VLOOKUP('Données projet'!$B$15,Paramètres!$A$1:$I$89,5,0)</f>
        <v>224.41915</v>
      </c>
      <c r="EL42" s="13">
        <f t="shared" si="45"/>
        <v>55.074251579267461</v>
      </c>
      <c r="EM42" s="20">
        <f t="shared" si="19"/>
        <v>486.78434108389075</v>
      </c>
      <c r="EN42" s="59">
        <f t="shared" si="20"/>
        <v>780.11767441722407</v>
      </c>
      <c r="EO42" s="59">
        <f ca="1">AVERAGE(OFFSET($EN$3,0,0,'Données projet'!$E$15+1,1))-AVERAGE(OFFSET($H$3,0,0,'Données projet'!$E$15+1,1))</f>
        <v>335.04906256888819</v>
      </c>
      <c r="EP42" s="59">
        <f t="shared" si="46"/>
        <v>440.84111898279554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43.380725285428596</v>
      </c>
      <c r="EW42" s="21">
        <f>EXP(-LN(2)/25)*EW41+(1-EXP(-LN(2)/25))/(LN(2)/25)*Calculateur!ER42*Calculateur!ET42*VLOOKUP('Données projet'!$B$15,Paramètres!$A$1:$I$89,3,0)*0.475*44/12</f>
        <v>18.570678105204781</v>
      </c>
      <c r="EX42" s="21">
        <f>EXP(-LN(2)/2)*EX41+(1-EXP(-LN(2)/2))/(LN(2)/2)*ER42*EU42*VLOOKUP('Données projet'!$B$15,Paramètres!$A$1:$I$89,3,0)*0.475*44/12</f>
        <v>2.3224383308684833</v>
      </c>
      <c r="EY42" s="22">
        <f t="shared" si="21"/>
        <v>64.273841721501853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11.142857142857142</v>
      </c>
      <c r="N43" s="13">
        <f>IF('Données projet'!$A$36&gt;35,N42+M43-V42,IF(A43&lt;'Données projet'!$A$36,$K$205^A43,IF(A43='Données projet'!$A$36,'Données projet'!$B$36,N42+M43-V42)))</f>
        <v>185.42857142857142</v>
      </c>
      <c r="O43" s="13">
        <f>N43*VLOOKUP('Données projet'!$B$9,Paramètres!$A$1:$I$89,3,0)*VLOOKUP('Données projet'!$B$9,Paramètres!$A$1:$I$89,5,0)</f>
        <v>150.41965714285715</v>
      </c>
      <c r="P43" s="13">
        <f t="shared" si="33"/>
        <v>38.673938700014851</v>
      </c>
      <c r="Q43" s="20">
        <f t="shared" si="53"/>
        <v>329.33801275966874</v>
      </c>
      <c r="R43" s="59">
        <f t="shared" si="0"/>
        <v>622.67134609300206</v>
      </c>
      <c r="S43" s="59">
        <f ca="1">AVERAGE(OFFSET($R$3,0,0,'Données projet'!$E$9+1,1))-AVERAGE(OFFSET($H$3,0,0,'Données projet'!$E$9+1,1))</f>
        <v>298.96480270023716</v>
      </c>
      <c r="T43" s="59">
        <f t="shared" si="34"/>
        <v>293.11447542333889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9.0126866056224912</v>
      </c>
      <c r="AA43" s="21">
        <f>EXP(-LN(2)/25)*AA42+(1-EXP(-LN(2)/25))/(LN(2)/25)*Calculateur!V43*Calculateur!X43*VLOOKUP('Données projet'!$B$9,Paramètres!$A$1:$I$89,3,0)*0.475*44/12</f>
        <v>19.05241482047148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28.065101426093971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7.9818376068376082</v>
      </c>
      <c r="AI43" s="13">
        <f>IF('Données projet'!$A$62&gt;35,AI42+AH43-AQ42,IF(A43&lt;'Données projet'!$A$62,$AF$205^A43,IF(A43='Données projet'!$A$62,'Données projet'!$B$62,AI42+AH43-AQ42)))</f>
        <v>177.10042735042742</v>
      </c>
      <c r="AJ43" s="13">
        <f>AI43*VLOOKUP('Données projet'!$B$10,Paramètres!$A$1:$I$89,3,0)*VLOOKUP('Données projet'!$B$10,Paramètres!$A$1:$I$89,5,0)</f>
        <v>151.95216666666673</v>
      </c>
      <c r="AK43" s="13">
        <f t="shared" si="35"/>
        <v>39.021888088630725</v>
      </c>
      <c r="AL43" s="20">
        <f t="shared" si="4"/>
        <v>332.61314536547644</v>
      </c>
      <c r="AM43" s="59">
        <f t="shared" si="5"/>
        <v>625.94647869880976</v>
      </c>
      <c r="AN43" s="59">
        <f ca="1">AVERAGE(OFFSET($AM$3,0,0,'Données projet'!$E$10+1,1))-AVERAGE(OFFSET($H$3,0,0,'Données projet'!$E$10+1,1))</f>
        <v>335.02113791949211</v>
      </c>
      <c r="AO43" s="59">
        <f t="shared" si="36"/>
        <v>222.06886429435099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14</v>
      </c>
      <c r="BD43" s="12">
        <f>IF('Données projet'!$A$88&gt;35,BD42+BC43-BL42,IF(A43&lt;'Données projet'!$A$88,$BA$205^A43,IF(A43='Données projet'!$A$88,'Données projet'!$B$88,BD42+BC43-BL42)))</f>
        <v>249.99999999999994</v>
      </c>
      <c r="BE43" s="13">
        <f>BD43*VLOOKUP('Données projet'!$B$11,Paramètres!$A$1:$I$89,3,0)*VLOOKUP('Données projet'!$B$11,Paramètres!$A$1:$I$89,5,0)</f>
        <v>136.49999999999997</v>
      </c>
      <c r="BF43" s="13">
        <f t="shared" si="37"/>
        <v>35.494027024087352</v>
      </c>
      <c r="BG43" s="20">
        <f t="shared" si="7"/>
        <v>299.55626373361878</v>
      </c>
      <c r="BH43" s="59">
        <f t="shared" si="8"/>
        <v>592.88959706695209</v>
      </c>
      <c r="BI43" s="59">
        <f ca="1">AVERAGE(OFFSET($BH$3,0,0,'Données projet'!$E$11+1,1))-AVERAGE(OFFSET($H$3,0,0,'Données projet'!$E$11+1,1))</f>
        <v>207.02306964567629</v>
      </c>
      <c r="BJ43" s="59">
        <f t="shared" si="38"/>
        <v>342.06887933351783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17.161679624967412</v>
      </c>
      <c r="BQ43" s="21">
        <f>EXP(-LN(2)/25)*BQ42+(1-EXP(-LN(2)/25))/(LN(2)/25)*Calculateur!BL43*Calculateur!BN43*VLOOKUP('Données projet'!$B$11,Paramètres!$A$1:$I$89,3,0)*0.475*44/12</f>
        <v>73.604277789100863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90.765957414068282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167.1696</v>
      </c>
      <c r="CA43" s="13">
        <f t="shared" si="39"/>
        <v>42.455490039298851</v>
      </c>
      <c r="CB43" s="20">
        <f t="shared" si="10"/>
        <v>365.09703181844549</v>
      </c>
      <c r="CC43" s="59">
        <f t="shared" si="11"/>
        <v>658.4303651517788</v>
      </c>
      <c r="CD43" s="59">
        <f ca="1">AVERAGE(OFFSET($CC$3,0,0,'Données projet'!$E$12+1,1))-AVERAGE(OFFSET($H$3,0,0,'Données projet'!$E$12+1,1))</f>
        <v>328.55201074501201</v>
      </c>
      <c r="CE43" s="59">
        <f t="shared" si="40"/>
        <v>321.81422611044985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0.30529999999999996</v>
      </c>
      <c r="CI43" s="16">
        <f>IF(ISNA(VLOOKUP(A43,'Données projet'!$A$113:$I$133,6,0)),0%,VLOOKUP(A43,'Données projet'!$A$113:$I$133,6,0)*VLOOKUP('Données projet'!$B$12,Paramètres!$A$1:$I$89,7,0))</f>
        <v>8.6000000000000007E-2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16.347947347328002</v>
      </c>
      <c r="CL43" s="21">
        <f>EXP(-LN(2)/25)*CL42+(1-EXP(-LN(2)/25))/(LN(2)/25)*Calculateur!CG43*Calculateur!CI43*VLOOKUP('Données projet'!$B$12,Paramètres!$A$1:$I$89,3,0)*0.475*44/12</f>
        <v>12.039163146771646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28.387110494099648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185</v>
      </c>
      <c r="CR43" s="12">
        <f>VLOOKUP(A43,'Données projet'!$A$139:$I$159,9,0)</f>
        <v>8.8000000000000007</v>
      </c>
      <c r="CS43" s="12">
        <f t="array" ref="CS43">INDEX(CR:CR,MIN(IF(ISNUMBER(CR43:CR239),ROW(CR43:CR239),"")))</f>
        <v>8.8000000000000007</v>
      </c>
      <c r="CT43" s="12">
        <f>IF('Données projet'!$A$140&gt;35,CT42+CS43-DB42,IF(A43&lt;'Données projet'!$A$140,$CQ$205^A43,IF(A43='Données projet'!$A$140,'Données projet'!$B$140,CT42+CS43-DB42)))</f>
        <v>185.00000000000003</v>
      </c>
      <c r="CU43" s="17">
        <f>CT43*VLOOKUP('Données projet'!$B$13,Paramètres!$A$1:$I$89,3,0)*VLOOKUP('Données projet'!$B$13,Paramètres!$A$1:$I$89,5,0)</f>
        <v>161.61600000000004</v>
      </c>
      <c r="CV43" s="13">
        <f t="shared" si="41"/>
        <v>41.20679526204917</v>
      </c>
      <c r="CW43" s="20">
        <f t="shared" si="13"/>
        <v>353.24970174806907</v>
      </c>
      <c r="CX43" s="59">
        <f t="shared" si="14"/>
        <v>646.58303508140239</v>
      </c>
      <c r="CY43" s="59">
        <f ca="1">AVERAGE(OFFSET($CX$3,0,0,'Données projet'!$E$13+1,1))-AVERAGE(OFFSET($H$3,0,0,'Données projet'!$E$13+1,1))</f>
        <v>354.24684313982857</v>
      </c>
      <c r="CZ43" s="59">
        <f t="shared" si="42"/>
        <v>322.65043486962185</v>
      </c>
      <c r="DA43" s="15">
        <f>IF(ISNA(VLOOKUP(A43,'Données projet'!$A$139:$I$159,3,0)),0,VLOOKUP(A43,'Données projet'!$A$139:$I$159,3,0))</f>
        <v>5</v>
      </c>
      <c r="DB43" s="15" t="str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0.215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10.445231117655489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10.445231117655489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11.142857142857142</v>
      </c>
      <c r="DO43" s="12">
        <f>IF('Données projet'!$A$166&gt;35,DO42+DN43-DW42,IF(A43&lt;'Données projet'!$A$166,$DL$205^A43,IF(A43='Données projet'!$A$166,'Données projet'!$B$166,DO42+DN43-DW42)))</f>
        <v>185.42857142857142</v>
      </c>
      <c r="DP43" s="17">
        <f>DO43*VLOOKUP('Données projet'!$B$14,Paramètres!$A$1:$I$89,3,0)*VLOOKUP('Données projet'!$B$14,Paramètres!$A$1:$I$89,5,0)</f>
        <v>144.63428571428571</v>
      </c>
      <c r="DQ43" s="13">
        <f t="shared" si="43"/>
        <v>37.356634728420524</v>
      </c>
      <c r="DR43" s="20">
        <f t="shared" si="16"/>
        <v>316.96751977104668</v>
      </c>
      <c r="DS43" s="59">
        <f t="shared" si="17"/>
        <v>610.30085310437994</v>
      </c>
      <c r="DT43" s="59">
        <f ca="1">AVERAGE(OFFSET($DS$3,0,0,'Données projet'!$E$14+1,1))-AVERAGE(OFFSET($H$3,0,0,'Données projet'!$E$14+1,1))</f>
        <v>288.80569134263209</v>
      </c>
      <c r="DU43" s="59">
        <f t="shared" si="44"/>
        <v>283.48738729114024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7.0309420181742937</v>
      </c>
      <c r="EB43" s="21">
        <f>EXP(-LN(2)/25)*EB42+(1-EXP(-LN(2)/25))/(LN(2)/25)*Calculateur!DW43*Calculateur!DY43*VLOOKUP('Données projet'!$B$14,Paramètres!$A$1:$I$89,3,0)*0.475*44/12</f>
        <v>14.863095741659535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21.894037759833829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22.419230769230751</v>
      </c>
      <c r="EJ43" s="12">
        <f>IF('Données projet'!$A$192&gt;35,EJ42+EI43-ER42,IF(A43&lt;'Données projet'!$A$192,$EG$205^A43,IF(A43='Données projet'!$A$192,'Données projet'!$B$192,EJ42+EI43-ER42)))</f>
        <v>423.88461538461536</v>
      </c>
      <c r="EK43" s="17">
        <f>EJ43*VLOOKUP('Données projet'!$B$15,Paramètres!$A$1:$I$89,3,0)*VLOOKUP('Données projet'!$B$15,Paramètres!$A$1:$I$89,5,0)</f>
        <v>236.95150000000001</v>
      </c>
      <c r="EL43" s="13">
        <f t="shared" si="45"/>
        <v>57.783143668102753</v>
      </c>
      <c r="EM43" s="20">
        <f t="shared" si="19"/>
        <v>513.32950438861235</v>
      </c>
      <c r="EN43" s="59">
        <f t="shared" si="20"/>
        <v>806.66283772194561</v>
      </c>
      <c r="EO43" s="59">
        <f ca="1">AVERAGE(OFFSET($EN$3,0,0,'Données projet'!$E$15+1,1))-AVERAGE(OFFSET($H$3,0,0,'Données projet'!$E$15+1,1))</f>
        <v>335.04906256888819</v>
      </c>
      <c r="EP43" s="59">
        <f t="shared" si="46"/>
        <v>440.84111898279554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42.530055722211095</v>
      </c>
      <c r="EW43" s="21">
        <f>EXP(-LN(2)/25)*EW42+(1-EXP(-LN(2)/25))/(LN(2)/25)*Calculateur!ER43*Calculateur!ET43*VLOOKUP('Données projet'!$B$15,Paramètres!$A$1:$I$89,3,0)*0.475*44/12</f>
        <v>18.062861935828437</v>
      </c>
      <c r="EX43" s="21">
        <f>EXP(-LN(2)/2)*EX42+(1-EXP(-LN(2)/2))/(LN(2)/2)*ER43*EU43*VLOOKUP('Données projet'!$B$15,Paramètres!$A$1:$I$89,3,0)*0.475*44/12</f>
        <v>1.6422118926446714</v>
      </c>
      <c r="EY43" s="22">
        <f t="shared" si="21"/>
        <v>62.235129550684206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11.142857142857142</v>
      </c>
      <c r="N44" s="13">
        <f>IF('Données projet'!$A$36&gt;35,N43+M44-V43,IF(A44&lt;'Données projet'!$A$36,$K$205^A44,IF(A44='Données projet'!$A$36,'Données projet'!$B$36,N43+M44-V43)))</f>
        <v>196.57142857142856</v>
      </c>
      <c r="O44" s="13">
        <f>N44*VLOOKUP('Données projet'!$B$9,Paramètres!$A$1:$I$89,3,0)*VLOOKUP('Données projet'!$B$9,Paramètres!$A$1:$I$89,5,0)</f>
        <v>159.45874285714285</v>
      </c>
      <c r="P44" s="13">
        <f t="shared" si="33"/>
        <v>40.720409281188005</v>
      </c>
      <c r="Q44" s="20">
        <f t="shared" si="53"/>
        <v>348.64535664092631</v>
      </c>
      <c r="R44" s="59">
        <f t="shared" si="0"/>
        <v>641.97868997425962</v>
      </c>
      <c r="S44" s="59">
        <f ca="1">AVERAGE(OFFSET($R$3,0,0,'Données projet'!$E$9+1,1))-AVERAGE(OFFSET($H$3,0,0,'Données projet'!$E$9+1,1))</f>
        <v>298.96480270023716</v>
      </c>
      <c r="T44" s="59">
        <f t="shared" si="34"/>
        <v>293.11447542333889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8.835953318482261</v>
      </c>
      <c r="AA44" s="21">
        <f>EXP(-LN(2)/25)*AA43+(1-EXP(-LN(2)/25))/(LN(2)/25)*Calculateur!V44*Calculateur!X44*VLOOKUP('Données projet'!$B$9,Paramètres!$A$1:$I$89,3,0)*0.475*44/12</f>
        <v>18.531425535282736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27.367378853764997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7.9818376068376082</v>
      </c>
      <c r="AI44" s="13">
        <f>IF('Données projet'!$A$62&gt;35,AI43+AH44-AQ43,IF(A44&lt;'Données projet'!$A$62,$AF$205^A44,IF(A44='Données projet'!$A$62,'Données projet'!$B$62,AI43+AH44-AQ43)))</f>
        <v>185.08226495726504</v>
      </c>
      <c r="AJ44" s="13">
        <f>AI44*VLOOKUP('Données projet'!$B$10,Paramètres!$A$1:$I$89,3,0)*VLOOKUP('Données projet'!$B$10,Paramètres!$A$1:$I$89,5,0)</f>
        <v>158.80058333333341</v>
      </c>
      <c r="AK44" s="13">
        <f t="shared" si="35"/>
        <v>40.571865269267143</v>
      </c>
      <c r="AL44" s="20">
        <f t="shared" si="4"/>
        <v>347.2403479828626</v>
      </c>
      <c r="AM44" s="59">
        <f t="shared" si="5"/>
        <v>640.57368131619592</v>
      </c>
      <c r="AN44" s="59">
        <f ca="1">AVERAGE(OFFSET($AM$3,0,0,'Données projet'!$E$10+1,1))-AVERAGE(OFFSET($H$3,0,0,'Données projet'!$E$10+1,1))</f>
        <v>335.02113791949211</v>
      </c>
      <c r="AO44" s="59">
        <f t="shared" si="36"/>
        <v>222.06886429435099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14</v>
      </c>
      <c r="BD44" s="12">
        <f>IF('Données projet'!$A$88&gt;35,BD43+BC44-BL43,IF(A44&lt;'Données projet'!$A$88,$BA$205^A44,IF(A44='Données projet'!$A$88,'Données projet'!$B$88,BD43+BC44-BL43)))</f>
        <v>263.99999999999994</v>
      </c>
      <c r="BE44" s="13">
        <f>BD44*VLOOKUP('Données projet'!$B$11,Paramètres!$A$1:$I$89,3,0)*VLOOKUP('Données projet'!$B$11,Paramètres!$A$1:$I$89,5,0)</f>
        <v>144.14399999999995</v>
      </c>
      <c r="BF44" s="13">
        <f t="shared" si="37"/>
        <v>37.244720006976216</v>
      </c>
      <c r="BG44" s="20">
        <f t="shared" si="7"/>
        <v>315.91868734548348</v>
      </c>
      <c r="BH44" s="59">
        <f t="shared" si="8"/>
        <v>609.25202067881673</v>
      </c>
      <c r="BI44" s="59">
        <f ca="1">AVERAGE(OFFSET($BH$3,0,0,'Données projet'!$E$11+1,1))-AVERAGE(OFFSET($H$3,0,0,'Données projet'!$E$11+1,1))</f>
        <v>207.02306964567629</v>
      </c>
      <c r="BJ44" s="59">
        <f t="shared" si="38"/>
        <v>342.06887933351783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16.825149555112784</v>
      </c>
      <c r="BQ44" s="21">
        <f>EXP(-LN(2)/25)*BQ43+(1-EXP(-LN(2)/25))/(LN(2)/25)*Calculateur!BL44*Calculateur!BN44*VLOOKUP('Données projet'!$B$11,Paramètres!$A$1:$I$89,3,0)*0.475*44/12</f>
        <v>71.591564942277159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88.416714497389947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148.69296</v>
      </c>
      <c r="CA44" s="13">
        <f t="shared" si="39"/>
        <v>38.281404966971365</v>
      </c>
      <c r="CB44" s="20">
        <f t="shared" si="10"/>
        <v>325.64701898414177</v>
      </c>
      <c r="CC44" s="59">
        <f t="shared" si="11"/>
        <v>618.98035231747508</v>
      </c>
      <c r="CD44" s="59">
        <f ca="1">AVERAGE(OFFSET($CC$3,0,0,'Données projet'!$E$12+1,1))-AVERAGE(OFFSET($H$3,0,0,'Données projet'!$E$12+1,1))</f>
        <v>328.55201074501201</v>
      </c>
      <c r="CE44" s="59">
        <f t="shared" si="40"/>
        <v>321.81422611044985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16.027374071110202</v>
      </c>
      <c r="CL44" s="21">
        <f>EXP(-LN(2)/25)*CL43+(1-EXP(-LN(2)/25))/(LN(2)/25)*Calculateur!CG44*Calculateur!CI44*VLOOKUP('Données projet'!$B$12,Paramètres!$A$1:$I$89,3,0)*0.475*44/12</f>
        <v>11.7099515974111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27.737325668521301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</v>
      </c>
      <c r="CT44" s="12">
        <f>IF('Données projet'!$A$140&gt;35,CT43+CS44-DB43,IF(A44&lt;'Données projet'!$A$140,$CQ$205^A44,IF(A44='Données projet'!$A$140,'Données projet'!$B$140,CT43+CS44-DB43)))</f>
        <v>166.00000000000003</v>
      </c>
      <c r="CU44" s="17">
        <f>CT44*VLOOKUP('Données projet'!$B$13,Paramètres!$A$1:$I$89,3,0)*VLOOKUP('Données projet'!$B$13,Paramètres!$A$1:$I$89,5,0)</f>
        <v>145.01760000000004</v>
      </c>
      <c r="CV44" s="13">
        <f t="shared" si="41"/>
        <v>37.444100932065233</v>
      </c>
      <c r="CW44" s="20">
        <f t="shared" si="13"/>
        <v>317.78746245668032</v>
      </c>
      <c r="CX44" s="59">
        <f t="shared" si="14"/>
        <v>611.12079579001363</v>
      </c>
      <c r="CY44" s="59">
        <f ca="1">AVERAGE(OFFSET($CX$3,0,0,'Données projet'!$E$13+1,1))-AVERAGE(OFFSET($H$3,0,0,'Données projet'!$E$13+1,1))</f>
        <v>354.24684313982857</v>
      </c>
      <c r="CZ44" s="59">
        <f t="shared" si="42"/>
        <v>322.65043486962185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10.159605723452367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10.159605723452367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11.142857142857142</v>
      </c>
      <c r="DO44" s="12">
        <f>IF('Données projet'!$A$166&gt;35,DO43+DN44-DW43,IF(A44&lt;'Données projet'!$A$166,$DL$205^A44,IF(A44='Données projet'!$A$166,'Données projet'!$B$166,DO43+DN44-DW43)))</f>
        <v>196.57142857142856</v>
      </c>
      <c r="DP44" s="17">
        <f>DO44*VLOOKUP('Données projet'!$B$14,Paramètres!$A$1:$I$89,3,0)*VLOOKUP('Données projet'!$B$14,Paramètres!$A$1:$I$89,5,0)</f>
        <v>153.32571428571427</v>
      </c>
      <c r="DQ44" s="13">
        <f t="shared" si="43"/>
        <v>39.33339883761419</v>
      </c>
      <c r="DR44" s="20">
        <f t="shared" si="16"/>
        <v>335.54795535646372</v>
      </c>
      <c r="DS44" s="59">
        <f t="shared" si="17"/>
        <v>628.88128868979697</v>
      </c>
      <c r="DT44" s="59">
        <f ca="1">AVERAGE(OFFSET($DS$3,0,0,'Données projet'!$E$14+1,1))-AVERAGE(OFFSET($H$3,0,0,'Données projet'!$E$14+1,1))</f>
        <v>288.80569134263209</v>
      </c>
      <c r="DU44" s="59">
        <f t="shared" si="44"/>
        <v>283.48738729114024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6.8930695336490775</v>
      </c>
      <c r="EB44" s="21">
        <f>EXP(-LN(2)/25)*EB43+(1-EXP(-LN(2)/25))/(LN(2)/25)*Calculateur!DW44*Calculateur!DY44*VLOOKUP('Données projet'!$B$14,Paramètres!$A$1:$I$89,3,0)*0.475*44/12</f>
        <v>14.45666360698762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21.349733140636697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22.419230769230751</v>
      </c>
      <c r="EJ44" s="12">
        <f>IF('Données projet'!$A$192&gt;35,EJ43+EI44-ER43,IF(A44&lt;'Données projet'!$A$192,$EG$205^A44,IF(A44='Données projet'!$A$192,'Données projet'!$B$192,EJ43+EI44-ER43)))</f>
        <v>446.30384615384611</v>
      </c>
      <c r="EK44" s="17">
        <f>EJ44*VLOOKUP('Données projet'!$B$15,Paramètres!$A$1:$I$89,3,0)*VLOOKUP('Données projet'!$B$15,Paramètres!$A$1:$I$89,5,0)</f>
        <v>249.48384999999996</v>
      </c>
      <c r="EL44" s="13">
        <f t="shared" si="45"/>
        <v>60.475401807280001</v>
      </c>
      <c r="EM44" s="20">
        <f t="shared" si="19"/>
        <v>539.8456968976792</v>
      </c>
      <c r="EN44" s="59">
        <f t="shared" si="20"/>
        <v>833.17903023101258</v>
      </c>
      <c r="EO44" s="59">
        <f ca="1">AVERAGE(OFFSET($EN$3,0,0,'Données projet'!$E$15+1,1))-AVERAGE(OFFSET($H$3,0,0,'Données projet'!$E$15+1,1))</f>
        <v>335.04906256888819</v>
      </c>
      <c r="EP44" s="59">
        <f t="shared" si="46"/>
        <v>440.84111898279554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41.696067270271087</v>
      </c>
      <c r="EW44" s="21">
        <f>EXP(-LN(2)/25)*EW43+(1-EXP(-LN(2)/25))/(LN(2)/25)*Calculateur!ER44*Calculateur!ET44*VLOOKUP('Données projet'!$B$15,Paramètres!$A$1:$I$89,3,0)*0.475*44/12</f>
        <v>17.568932026308584</v>
      </c>
      <c r="EX44" s="21">
        <f>EXP(-LN(2)/2)*EX43+(1-EXP(-LN(2)/2))/(LN(2)/2)*ER44*EU44*VLOOKUP('Données projet'!$B$15,Paramètres!$A$1:$I$89,3,0)*0.475*44/12</f>
        <v>1.1612191654342419</v>
      </c>
      <c r="EY44" s="22">
        <f t="shared" si="21"/>
        <v>60.426218462013914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11.142857142857142</v>
      </c>
      <c r="N45" s="13">
        <f>IF('Données projet'!$A$36&gt;35,N44+M45-V44,IF(A45&lt;'Données projet'!$A$36,$K$205^A45,IF(A45='Données projet'!$A$36,'Données projet'!$B$36,N44+M45-V44)))</f>
        <v>207.71428571428569</v>
      </c>
      <c r="O45" s="13">
        <f>N45*VLOOKUP('Données projet'!$B$9,Paramètres!$A$1:$I$89,3,0)*VLOOKUP('Données projet'!$B$9,Paramètres!$A$1:$I$89,5,0)</f>
        <v>168.49782857142858</v>
      </c>
      <c r="P45" s="13">
        <f t="shared" si="33"/>
        <v>42.753413564296366</v>
      </c>
      <c r="Q45" s="20">
        <f t="shared" si="53"/>
        <v>367.92924671972099</v>
      </c>
      <c r="R45" s="59">
        <f t="shared" si="0"/>
        <v>661.26258005305431</v>
      </c>
      <c r="S45" s="59">
        <f ca="1">AVERAGE(OFFSET($R$3,0,0,'Données projet'!$E$9+1,1))-AVERAGE(OFFSET($H$3,0,0,'Données projet'!$E$9+1,1))</f>
        <v>298.96480270023716</v>
      </c>
      <c r="T45" s="59">
        <f t="shared" si="34"/>
        <v>293.11447542333889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8.6626856633061884</v>
      </c>
      <c r="AA45" s="21">
        <f>EXP(-LN(2)/25)*AA44+(1-EXP(-LN(2)/25))/(LN(2)/25)*Calculateur!V45*Calculateur!X45*VLOOKUP('Données projet'!$B$9,Paramètres!$A$1:$I$89,3,0)*0.475*44/12</f>
        <v>18.024682729495115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26.687368392801304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193.06410256410257</v>
      </c>
      <c r="AG45" s="12">
        <f>VLOOKUP(A45,'Données projet'!$A$61:$I$81,9,0)</f>
        <v>7.9818376068376082</v>
      </c>
      <c r="AH45" s="12">
        <f t="array" ref="AH45">INDEX(AG:AG,MIN(IF(ISNUMBER(AG45:AG241),ROW(AG45:AG241),"")))</f>
        <v>7.9818376068376082</v>
      </c>
      <c r="AI45" s="13">
        <f>IF('Données projet'!$A$62&gt;35,AI44+AH45-AQ44,IF(A45&lt;'Données projet'!$A$62,$AF$205^A45,IF(A45='Données projet'!$A$62,'Données projet'!$B$62,AI44+AH45-AQ44)))</f>
        <v>193.06410256410265</v>
      </c>
      <c r="AJ45" s="13">
        <f>AI45*VLOOKUP('Données projet'!$B$10,Paramètres!$A$1:$I$89,3,0)*VLOOKUP('Données projet'!$B$10,Paramètres!$A$1:$I$89,5,0)</f>
        <v>165.64900000000011</v>
      </c>
      <c r="AK45" s="13">
        <f t="shared" si="35"/>
        <v>42.114078746060493</v>
      </c>
      <c r="AL45" s="20">
        <f t="shared" si="4"/>
        <v>361.85402881605552</v>
      </c>
      <c r="AM45" s="59">
        <f t="shared" si="5"/>
        <v>655.18736214938883</v>
      </c>
      <c r="AN45" s="59">
        <f ca="1">AVERAGE(OFFSET($AM$3,0,0,'Données projet'!$E$10+1,1))-AVERAGE(OFFSET($H$3,0,0,'Données projet'!$E$10+1,1))</f>
        <v>335.02113791949211</v>
      </c>
      <c r="AO45" s="59">
        <f t="shared" si="36"/>
        <v>222.06886429435099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69.141025641025635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0.5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27.98642357756772</v>
      </c>
      <c r="AX45" s="21">
        <f t="shared" si="6"/>
        <v>27.98642357756772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278</v>
      </c>
      <c r="BB45" s="12">
        <f>VLOOKUP(A45,'Données projet'!$A$87:$I$107,9,0)</f>
        <v>14</v>
      </c>
      <c r="BC45" s="12">
        <f t="array" ref="BC45">INDEX(BB:BB,MIN(IF(ISNUMBER(BB45:BB241),ROW(BB45:BB241),"")))</f>
        <v>14</v>
      </c>
      <c r="BD45" s="12">
        <f>IF('Données projet'!$A$88&gt;35,BD44+BC45-BL44,IF(A45&lt;'Données projet'!$A$88,$BA$205^A45,IF(A45='Données projet'!$A$88,'Données projet'!$B$88,BD44+BC45-BL44)))</f>
        <v>277.99999999999994</v>
      </c>
      <c r="BE45" s="13">
        <f>BD45*VLOOKUP('Données projet'!$B$11,Paramètres!$A$1:$I$89,3,0)*VLOOKUP('Données projet'!$B$11,Paramètres!$A$1:$I$89,5,0)</f>
        <v>151.78799999999998</v>
      </c>
      <c r="BF45" s="13">
        <f t="shared" si="37"/>
        <v>38.984634390835623</v>
      </c>
      <c r="BG45" s="20">
        <f t="shared" si="7"/>
        <v>332.26233823070532</v>
      </c>
      <c r="BH45" s="59">
        <f t="shared" si="8"/>
        <v>625.59567156403864</v>
      </c>
      <c r="BI45" s="59">
        <f ca="1">AVERAGE(OFFSET($BH$3,0,0,'Données projet'!$E$11+1,1))-AVERAGE(OFFSET($H$3,0,0,'Données projet'!$E$11+1,1))</f>
        <v>207.02306964567629</v>
      </c>
      <c r="BJ45" s="59">
        <f t="shared" si="38"/>
        <v>342.06887933351783</v>
      </c>
      <c r="BK45" s="15" t="str">
        <f>IF(ISNA(VLOOKUP(A45,'Données projet'!$A$87:$I$107,3,0)),0,VLOOKUP(A45,'Données projet'!$A$87:$I$107,3,0))</f>
        <v>CR</v>
      </c>
      <c r="BL45" s="15">
        <f>IF(ISNA(VLOOKUP(A45,'Données projet'!$A$87:$I$107,4,0)),0,VLOOKUP(A45,'Données projet'!$A$87:$I$107,4,0))</f>
        <v>278</v>
      </c>
      <c r="BM45" s="16">
        <f>IF(ISNA(VLOOKUP(A45,'Données projet'!$A$87:$I$107,5,0)),0%,VLOOKUP(A45,'Données projet'!$A$87:$I$107,5,0)*VLOOKUP('Données projet'!$B$11,Paramètres!$A$1:$I$89,7,0))</f>
        <v>0.24</v>
      </c>
      <c r="BN45" s="16">
        <f>IF(ISNA(VLOOKUP(A45,'Données projet'!$A$87:$I$107,6,0)),0%,VLOOKUP(A45,'Données projet'!$A$87:$I$107,6,0)*VLOOKUP('Données projet'!$B$11,Paramètres!$A$1:$I$89,7,0))</f>
        <v>0.36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64.820794369606588</v>
      </c>
      <c r="BQ45" s="21">
        <f>EXP(-LN(2)/25)*BQ44+(1-EXP(-LN(2)/25))/(LN(2)/25)*Calculateur!BL45*Calculateur!BN45*VLOOKUP('Données projet'!$B$11,Paramètres!$A$1:$I$89,3,0)*0.475*44/12</f>
        <v>141.83683912877169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206.65763349837829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155.87832000000003</v>
      </c>
      <c r="CA45" s="13">
        <f t="shared" si="39"/>
        <v>39.911451633481022</v>
      </c>
      <c r="CB45" s="20">
        <f t="shared" si="10"/>
        <v>341.00051892831283</v>
      </c>
      <c r="CC45" s="59">
        <f t="shared" si="11"/>
        <v>634.33385226164614</v>
      </c>
      <c r="CD45" s="59">
        <f ca="1">AVERAGE(OFFSET($CC$3,0,0,'Données projet'!$E$12+1,1))-AVERAGE(OFFSET($H$3,0,0,'Données projet'!$E$12+1,1))</f>
        <v>328.55201074501201</v>
      </c>
      <c r="CE45" s="59">
        <f t="shared" si="40"/>
        <v>321.81422611044985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15.713087041308642</v>
      </c>
      <c r="CL45" s="21">
        <f>EXP(-LN(2)/25)*CL44+(1-EXP(-LN(2)/25))/(LN(2)/25)*Calculateur!CG45*Calculateur!CI45*VLOOKUP('Données projet'!$B$12,Paramètres!$A$1:$I$89,3,0)*0.475*44/12</f>
        <v>11.389742355180303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27.102829396488943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</v>
      </c>
      <c r="CT45" s="12">
        <f>IF('Données projet'!$A$140&gt;35,CT44+CS45-DB44,IF(A45&lt;'Données projet'!$A$140,$CQ$205^A45,IF(A45='Données projet'!$A$140,'Données projet'!$B$140,CT44+CS45-DB44)))</f>
        <v>174.00000000000003</v>
      </c>
      <c r="CU45" s="17">
        <f>CT45*VLOOKUP('Données projet'!$B$13,Paramètres!$A$1:$I$89,3,0)*VLOOKUP('Données projet'!$B$13,Paramètres!$A$1:$I$89,5,0)</f>
        <v>152.00640000000004</v>
      </c>
      <c r="CV45" s="13">
        <f t="shared" si="41"/>
        <v>39.034194016561486</v>
      </c>
      <c r="CW45" s="20">
        <f t="shared" si="13"/>
        <v>332.72903457884462</v>
      </c>
      <c r="CX45" s="59">
        <f t="shared" si="14"/>
        <v>626.06236791217793</v>
      </c>
      <c r="CY45" s="59">
        <f ca="1">AVERAGE(OFFSET($CX$3,0,0,'Données projet'!$E$13+1,1))-AVERAGE(OFFSET($H$3,0,0,'Données projet'!$E$13+1,1))</f>
        <v>354.24684313982857</v>
      </c>
      <c r="CZ45" s="59">
        <f t="shared" si="42"/>
        <v>322.65043486962185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9.881790770674117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9.881790770674117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11.142857142857142</v>
      </c>
      <c r="DO45" s="12">
        <f>IF('Données projet'!$A$166&gt;35,DO44+DN45-DW44,IF(A45&lt;'Données projet'!$A$166,$DL$205^A45,IF(A45='Données projet'!$A$166,'Données projet'!$B$166,DO44+DN45-DW44)))</f>
        <v>207.71428571428569</v>
      </c>
      <c r="DP45" s="17">
        <f>DO45*VLOOKUP('Données projet'!$B$14,Paramètres!$A$1:$I$89,3,0)*VLOOKUP('Données projet'!$B$14,Paramètres!$A$1:$I$89,5,0)</f>
        <v>162.01714285714286</v>
      </c>
      <c r="DQ45" s="13">
        <f t="shared" si="43"/>
        <v>41.297155335096676</v>
      </c>
      <c r="DR45" s="20">
        <f t="shared" si="16"/>
        <v>354.10573601815054</v>
      </c>
      <c r="DS45" s="59">
        <f t="shared" si="17"/>
        <v>647.43906935148379</v>
      </c>
      <c r="DT45" s="59">
        <f ca="1">AVERAGE(OFFSET($DS$3,0,0,'Données projet'!$E$14+1,1))-AVERAGE(OFFSET($H$3,0,0,'Données projet'!$E$14+1,1))</f>
        <v>288.80569134263209</v>
      </c>
      <c r="DU45" s="59">
        <f t="shared" si="44"/>
        <v>283.48738729114024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6.7579006444514889</v>
      </c>
      <c r="EB45" s="21">
        <f>EXP(-LN(2)/25)*EB44+(1-EXP(-LN(2)/25))/(LN(2)/25)*Calculateur!DW45*Calculateur!DY45*VLOOKUP('Données projet'!$B$14,Paramètres!$A$1:$I$89,3,0)*0.475*44/12</f>
        <v>14.061345380411646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20.819246024863133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468.72307692307686</v>
      </c>
      <c r="EH45" s="12">
        <f>VLOOKUP(A45,'Données projet'!$A$191:$I$211,9,0)</f>
        <v>22.419230769230751</v>
      </c>
      <c r="EI45" s="12">
        <f t="array" ref="EI45">INDEX(EH:EH,MIN(IF(ISNUMBER(EH45:EH241),ROW(EH45:EH241),"")))</f>
        <v>22.419230769230751</v>
      </c>
      <c r="EJ45" s="12">
        <f>IF('Données projet'!$A$192&gt;35,EJ44+EI45-ER44,IF(A45&lt;'Données projet'!$A$192,$EG$205^A45,IF(A45='Données projet'!$A$192,'Données projet'!$B$192,EJ44+EI45-ER44)))</f>
        <v>468.72307692307686</v>
      </c>
      <c r="EK45" s="17">
        <f>EJ45*VLOOKUP('Données projet'!$B$15,Paramètres!$A$1:$I$89,3,0)*VLOOKUP('Données projet'!$B$15,Paramètres!$A$1:$I$89,5,0)</f>
        <v>262.01619999999997</v>
      </c>
      <c r="EL45" s="13">
        <f t="shared" si="45"/>
        <v>63.151956912854622</v>
      </c>
      <c r="EM45" s="20">
        <f t="shared" si="19"/>
        <v>566.33453995655509</v>
      </c>
      <c r="EN45" s="59">
        <f t="shared" si="20"/>
        <v>859.66787328988835</v>
      </c>
      <c r="EO45" s="59">
        <f ca="1">AVERAGE(OFFSET($EN$3,0,0,'Données projet'!$E$15+1,1))-AVERAGE(OFFSET($H$3,0,0,'Données projet'!$E$15+1,1))</f>
        <v>335.04906256888819</v>
      </c>
      <c r="EP45" s="59">
        <f t="shared" si="46"/>
        <v>440.84111898279554</v>
      </c>
      <c r="EQ45" s="15">
        <f>IF(ISNA(VLOOKUP(A45,'Données projet'!$A$191:$I$211,3,0)),0,VLOOKUP(A45,'Données projet'!$A$191:$I$211,3,0))</f>
        <v>5</v>
      </c>
      <c r="ER45" s="15">
        <f>IF(ISNA(VLOOKUP(A45,'Données projet'!$A$191:$I$211,4,0)),0,VLOOKUP(A45,'Données projet'!$A$191:$I$211,4,0))</f>
        <v>73.392307692307682</v>
      </c>
      <c r="ES45" s="16">
        <f>IF(ISNA(VLOOKUP(A45,'Données projet'!$A$191:$I$211,5,0)),0%,VLOOKUP(A45,'Données projet'!$A$191:$I$211,5,0)*VLOOKUP('Données projet'!$B$15,Paramètres!$A$1:$I$89,7,0))</f>
        <v>0.38500000000000001</v>
      </c>
      <c r="ET45" s="16">
        <f>IF(ISNA(VLOOKUP(A45,'Données projet'!$A$191:$I$211,6,0)),0%,VLOOKUP(A45,'Données projet'!$A$191:$I$211,6,0)*VLOOKUP('Données projet'!$B$15,Paramètres!$A$1:$I$89,7,0))</f>
        <v>9.240000000000001E-2</v>
      </c>
      <c r="EU45" s="16">
        <f>IF(ISNA(VLOOKUP(A45,'Données projet'!$A$191:$I$211,7,0)),0%,VLOOKUP(A45,'Données projet'!$A$191:$I$211,7,0))</f>
        <v>0.13200000000000001</v>
      </c>
      <c r="EV45" s="21">
        <f>EXP(-LN(2)/35)*EV44+(1-EXP(-LN(2)/35))/(LN(2)/35)*ER45*ES45*VLOOKUP('Données projet'!$B$15,Paramètres!$A$1:$I$89,3,0)*0.475*44/12</f>
        <v>61.831684880697594</v>
      </c>
      <c r="EW45" s="21">
        <f>EXP(-LN(2)/25)*EW44+(1-EXP(-LN(2)/25))/(LN(2)/25)*Calculateur!ER45*Calculateur!ET45*VLOOKUP('Données projet'!$B$15,Paramètres!$A$1:$I$89,3,0)*0.475*44/12</f>
        <v>22.097488925021114</v>
      </c>
      <c r="EX45" s="21">
        <f>EXP(-LN(2)/2)*EX44+(1-EXP(-LN(2)/2))/(LN(2)/2)*ER45*EU45*VLOOKUP('Données projet'!$B$15,Paramètres!$A$1:$I$89,3,0)*0.475*44/12</f>
        <v>6.9526777981796624</v>
      </c>
      <c r="EY45" s="22">
        <f t="shared" si="21"/>
        <v>90.881851603898369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11.142857142857142</v>
      </c>
      <c r="N46" s="13">
        <f>IF('Données projet'!$A$36&gt;35,N45+M46-V45,IF(A46&lt;'Données projet'!$A$36,$K$205^A46,IF(A46='Données projet'!$A$36,'Données projet'!$B$36,N45+M46-V45)))</f>
        <v>218.85714285714283</v>
      </c>
      <c r="O46" s="13">
        <f>N46*VLOOKUP('Données projet'!$B$9,Paramètres!$A$1:$I$89,3,0)*VLOOKUP('Données projet'!$B$9,Paramètres!$A$1:$I$89,5,0)</f>
        <v>177.53691428571426</v>
      </c>
      <c r="P46" s="13">
        <f t="shared" si="33"/>
        <v>44.773756317302826</v>
      </c>
      <c r="Q46" s="20">
        <f t="shared" si="53"/>
        <v>387.1910846335881</v>
      </c>
      <c r="R46" s="59">
        <f t="shared" si="0"/>
        <v>680.52441796692142</v>
      </c>
      <c r="S46" s="59">
        <f ca="1">AVERAGE(OFFSET($R$3,0,0,'Données projet'!$E$9+1,1))-AVERAGE(OFFSET($H$3,0,0,'Données projet'!$E$9+1,1))</f>
        <v>298.96480270023716</v>
      </c>
      <c r="T46" s="59">
        <f t="shared" si="34"/>
        <v>293.11447542333889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8.4928156811652844</v>
      </c>
      <c r="AA46" s="21">
        <f>EXP(-LN(2)/25)*AA45+(1-EXP(-LN(2)/25))/(LN(2)/25)*Calculateur!V46*Calculateur!X46*VLOOKUP('Données projet'!$B$9,Paramètres!$A$1:$I$89,3,0)*0.475*44/12</f>
        <v>17.531796832380202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26.024612513545485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10.449786324786322</v>
      </c>
      <c r="AI46" s="13">
        <f>IF('Données projet'!$A$62&gt;35,AI45+AH46-AQ45,IF(A46&lt;'Données projet'!$A$62,$AF$205^A46,IF(A46='Données projet'!$A$62,'Données projet'!$B$62,AI45+AH46-AQ45)))</f>
        <v>134.37286324786334</v>
      </c>
      <c r="AJ46" s="13">
        <f>AI46*VLOOKUP('Données projet'!$B$10,Paramètres!$A$1:$I$89,3,0)*VLOOKUP('Données projet'!$B$10,Paramètres!$A$1:$I$89,5,0)</f>
        <v>115.29191666666676</v>
      </c>
      <c r="AK46" s="13">
        <f t="shared" si="35"/>
        <v>30.574371399110063</v>
      </c>
      <c r="AL46" s="20">
        <f t="shared" si="4"/>
        <v>254.05045171456126</v>
      </c>
      <c r="AM46" s="59">
        <f t="shared" si="5"/>
        <v>547.38378504789455</v>
      </c>
      <c r="AN46" s="59">
        <f ca="1">AVERAGE(OFFSET($AM$3,0,0,'Données projet'!$E$10+1,1))-AVERAGE(OFFSET($H$3,0,0,'Données projet'!$E$10+1,1))</f>
        <v>335.02113791949211</v>
      </c>
      <c r="AO46" s="59">
        <f t="shared" si="36"/>
        <v>222.06886429435099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19.789389892857212</v>
      </c>
      <c r="AX46" s="21">
        <f t="shared" si="6"/>
        <v>19.789389892857212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-5.6843418860808015E-14</v>
      </c>
      <c r="BE46" s="13">
        <f>BD46*VLOOKUP('Données projet'!$B$11,Paramètres!$A$1:$I$89,3,0)*VLOOKUP('Données projet'!$B$11,Paramètres!$A$1:$I$89,5,0)</f>
        <v>-3.1036506698001178E-14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207.02306964567629</v>
      </c>
      <c r="BJ46" s="59">
        <f t="shared" si="38"/>
        <v>342.06887933351783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63.549698128799236</v>
      </c>
      <c r="BQ46" s="21">
        <f>EXP(-LN(2)/25)*BQ45+(1-EXP(-LN(2)/25))/(LN(2)/25)*Calculateur!BL46*Calculateur!BN46*VLOOKUP('Données projet'!$B$11,Paramètres!$A$1:$I$89,3,0)*0.475*44/12</f>
        <v>137.95830330392022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201.50800143271945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163.06368000000001</v>
      </c>
      <c r="CA46" s="13">
        <f t="shared" si="39"/>
        <v>41.532772330984628</v>
      </c>
      <c r="CB46" s="20">
        <f t="shared" si="10"/>
        <v>356.33882114313155</v>
      </c>
      <c r="CC46" s="59">
        <f t="shared" si="11"/>
        <v>649.67215447646481</v>
      </c>
      <c r="CD46" s="59">
        <f ca="1">AVERAGE(OFFSET($CC$3,0,0,'Données projet'!$E$12+1,1))-AVERAGE(OFFSET($H$3,0,0,'Données projet'!$E$12+1,1))</f>
        <v>328.55201074501201</v>
      </c>
      <c r="CE46" s="59">
        <f t="shared" si="40"/>
        <v>321.81422611044985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15.404962988465329</v>
      </c>
      <c r="CL46" s="21">
        <f>EXP(-LN(2)/25)*CL45+(1-EXP(-LN(2)/25))/(LN(2)/25)*Calculateur!CG46*Calculateur!CI46*VLOOKUP('Données projet'!$B$12,Paramètres!$A$1:$I$89,3,0)*0.475*44/12</f>
        <v>11.078289251517379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26.483252239982708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</v>
      </c>
      <c r="CT46" s="12">
        <f>IF('Données projet'!$A$140&gt;35,CT45+CS46-DB45,IF(A46&lt;'Données projet'!$A$140,$CQ$205^A46,IF(A46='Données projet'!$A$140,'Données projet'!$B$140,CT45+CS46-DB45)))</f>
        <v>182.00000000000003</v>
      </c>
      <c r="CU46" s="17">
        <f>CT46*VLOOKUP('Données projet'!$B$13,Paramètres!$A$1:$I$89,3,0)*VLOOKUP('Données projet'!$B$13,Paramètres!$A$1:$I$89,5,0)</f>
        <v>158.99520000000004</v>
      </c>
      <c r="CV46" s="13">
        <f t="shared" si="41"/>
        <v>40.615796933386044</v>
      </c>
      <c r="CW46" s="20">
        <f t="shared" si="13"/>
        <v>347.65581965898076</v>
      </c>
      <c r="CX46" s="59">
        <f t="shared" si="14"/>
        <v>640.98915299231408</v>
      </c>
      <c r="CY46" s="59">
        <f ca="1">AVERAGE(OFFSET($CX$3,0,0,'Données projet'!$E$13+1,1))-AVERAGE(OFFSET($H$3,0,0,'Données projet'!$E$13+1,1))</f>
        <v>354.24684313982857</v>
      </c>
      <c r="CZ46" s="59">
        <f t="shared" si="42"/>
        <v>322.65043486962185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9.6115726823892427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9.6115726823892427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11.142857142857142</v>
      </c>
      <c r="DO46" s="12">
        <f>IF('Données projet'!$A$166&gt;35,DO45+DN46-DW45,IF(A46&lt;'Données projet'!$A$166,$DL$205^A46,IF(A46='Données projet'!$A$166,'Données projet'!$B$166,DO45+DN46-DW45)))</f>
        <v>218.85714285714283</v>
      </c>
      <c r="DP46" s="17">
        <f>DO46*VLOOKUP('Données projet'!$B$14,Paramètres!$A$1:$I$89,3,0)*VLOOKUP('Données projet'!$B$14,Paramètres!$A$1:$I$89,5,0)</f>
        <v>170.70857142857142</v>
      </c>
      <c r="DQ46" s="13">
        <f t="shared" si="43"/>
        <v>43.248681576985412</v>
      </c>
      <c r="DR46" s="20">
        <f t="shared" si="16"/>
        <v>372.64221565134477</v>
      </c>
      <c r="DS46" s="59">
        <f t="shared" si="17"/>
        <v>665.97554898467808</v>
      </c>
      <c r="DT46" s="59">
        <f ca="1">AVERAGE(OFFSET($DS$3,0,0,'Données projet'!$E$14+1,1))-AVERAGE(OFFSET($H$3,0,0,'Données projet'!$E$14+1,1))</f>
        <v>288.80569134263209</v>
      </c>
      <c r="DU46" s="59">
        <f t="shared" si="44"/>
        <v>283.48738729114024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6.6253823347261829</v>
      </c>
      <c r="EB46" s="21">
        <f>EXP(-LN(2)/25)*EB45+(1-EXP(-LN(2)/25))/(LN(2)/25)*Calculateur!DW46*Calculateur!DY46*VLOOKUP('Données projet'!$B$14,Paramètres!$A$1:$I$89,3,0)*0.475*44/12</f>
        <v>13.676837151530274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20.302219486256455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21.625641025641034</v>
      </c>
      <c r="EJ46" s="12">
        <f>IF('Données projet'!$A$192&gt;35,EJ45+EI46-ER45,IF(A46&lt;'Données projet'!$A$192,$EG$205^A46,IF(A46='Données projet'!$A$192,'Données projet'!$B$192,EJ45+EI46-ER45)))</f>
        <v>416.95641025641021</v>
      </c>
      <c r="EK46" s="17">
        <f>EJ46*VLOOKUP('Données projet'!$B$15,Paramètres!$A$1:$I$89,3,0)*VLOOKUP('Données projet'!$B$15,Paramètres!$A$1:$I$89,5,0)</f>
        <v>233.0786333333333</v>
      </c>
      <c r="EL46" s="13">
        <f t="shared" si="45"/>
        <v>56.947838023653489</v>
      </c>
      <c r="EM46" s="20">
        <f t="shared" si="19"/>
        <v>505.1294376134187</v>
      </c>
      <c r="EN46" s="59">
        <f t="shared" si="20"/>
        <v>798.46277094675202</v>
      </c>
      <c r="EO46" s="59">
        <f ca="1">AVERAGE(OFFSET($EN$3,0,0,'Données projet'!$E$15+1,1))-AVERAGE(OFFSET($H$3,0,0,'Données projet'!$E$15+1,1))</f>
        <v>335.04906256888819</v>
      </c>
      <c r="EP46" s="59">
        <f t="shared" si="46"/>
        <v>440.84111898279554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60.619203253790985</v>
      </c>
      <c r="EW46" s="21">
        <f>EXP(-LN(2)/25)*EW45+(1-EXP(-LN(2)/25))/(LN(2)/25)*Calculateur!ER46*Calculateur!ET46*VLOOKUP('Données projet'!$B$15,Paramètres!$A$1:$I$89,3,0)*0.475*44/12</f>
        <v>21.493231928309974</v>
      </c>
      <c r="EX46" s="21">
        <f>EXP(-LN(2)/2)*EX45+(1-EXP(-LN(2)/2))/(LN(2)/2)*ER46*EU46*VLOOKUP('Données projet'!$B$15,Paramètres!$A$1:$I$89,3,0)*0.475*44/12</f>
        <v>4.9162856184979935</v>
      </c>
      <c r="EY46" s="22">
        <f t="shared" si="21"/>
        <v>87.028720800598961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230</v>
      </c>
      <c r="L47" s="12">
        <f>VLOOKUP(A47,'Données projet'!$A$35:$I$55,9,0)</f>
        <v>11.142857142857142</v>
      </c>
      <c r="M47" s="12">
        <f t="array" ref="M47">INDEX(L:L,MIN(IF(ISNUMBER(L47:L243),ROW(L47:L243),"")))</f>
        <v>11.142857142857142</v>
      </c>
      <c r="N47" s="13">
        <f>IF('Données projet'!$A$36&gt;35,N46+M47-V46,IF(A47&lt;'Données projet'!$A$36,$K$205^A47,IF(A47='Données projet'!$A$36,'Données projet'!$B$36,N46+M47-V46)))</f>
        <v>229.99999999999997</v>
      </c>
      <c r="O47" s="13">
        <f>N47*VLOOKUP('Données projet'!$B$9,Paramètres!$A$1:$I$89,3,0)*VLOOKUP('Données projet'!$B$9,Paramètres!$A$1:$I$89,5,0)</f>
        <v>186.57599999999999</v>
      </c>
      <c r="P47" s="13">
        <f t="shared" si="33"/>
        <v>46.782155731694274</v>
      </c>
      <c r="Q47" s="20">
        <f t="shared" si="53"/>
        <v>406.43212123270087</v>
      </c>
      <c r="R47" s="59">
        <f t="shared" si="0"/>
        <v>699.76545456603412</v>
      </c>
      <c r="S47" s="59">
        <f ca="1">AVERAGE(OFFSET($R$3,0,0,'Données projet'!$E$9+1,1))-AVERAGE(OFFSET($H$3,0,0,'Données projet'!$E$9+1,1))</f>
        <v>298.96480270023716</v>
      </c>
      <c r="T47" s="59">
        <f t="shared" si="34"/>
        <v>293.11447542333889</v>
      </c>
      <c r="U47" s="15">
        <f>IF(ISNA(VLOOKUP(A47,'Données projet'!$A$35:$I$55,3,0)),0,VLOOKUP(A47,'Données projet'!$A$35:$I$55,3,0))</f>
        <v>6</v>
      </c>
      <c r="V47" s="15">
        <f>IF(ISNA(VLOOKUP(A47,'Données projet'!$A$35:$I$55,4,0)),0,VLOOKUP(A47,'Données projet'!$A$35:$I$55,4,0))</f>
        <v>43</v>
      </c>
      <c r="W47" s="16">
        <f>IF(ISNA(VLOOKUP(A47,'Données projet'!$A$35:$I$55,5,0)),0%,VLOOKUP(A47,'Données projet'!$A$35:$I$55,5,0)*VLOOKUP('Données projet'!$B$9,Paramètres!$A$1:$I$89,7,0))</f>
        <v>0.21200000000000002</v>
      </c>
      <c r="X47" s="16">
        <f>IF(ISNA(VLOOKUP(A47,'Données projet'!$A$35:$I$55,6,0)),0%,VLOOKUP(A47,'Données projet'!$A$35:$I$55,6,0)*VLOOKUP('Données projet'!$B$9,Paramètres!$A$1:$I$89,7,0))</f>
        <v>0.21200000000000002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16.501118770995618</v>
      </c>
      <c r="AA47" s="21">
        <f>EXP(-LN(2)/25)*AA46+(1-EXP(-LN(2)/25))/(LN(2)/25)*Calculateur!V47*Calculateur!X47*VLOOKUP('Données projet'!$B$9,Paramètres!$A$1:$I$89,3,0)*0.475*44/12</f>
        <v>25.195043483361196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41.696162254356814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10.449786324786322</v>
      </c>
      <c r="AI47" s="13">
        <f>IF('Données projet'!$A$62&gt;35,AI46+AH47-AQ46,IF(A47&lt;'Données projet'!$A$62,$AF$205^A47,IF(A47='Données projet'!$A$62,'Données projet'!$B$62,AI46+AH47-AQ46)))</f>
        <v>144.82264957264965</v>
      </c>
      <c r="AJ47" s="13">
        <f>AI47*VLOOKUP('Données projet'!$B$10,Paramètres!$A$1:$I$89,3,0)*VLOOKUP('Données projet'!$B$10,Paramètres!$A$1:$I$89,5,0)</f>
        <v>124.25783333333342</v>
      </c>
      <c r="AK47" s="13">
        <f t="shared" si="35"/>
        <v>32.66604484039636</v>
      </c>
      <c r="AL47" s="20">
        <f t="shared" si="4"/>
        <v>273.30908781924603</v>
      </c>
      <c r="AM47" s="59">
        <f t="shared" si="5"/>
        <v>566.64242115257935</v>
      </c>
      <c r="AN47" s="59">
        <f ca="1">AVERAGE(OFFSET($AM$3,0,0,'Données projet'!$E$10+1,1))-AVERAGE(OFFSET($H$3,0,0,'Données projet'!$E$10+1,1))</f>
        <v>335.02113791949211</v>
      </c>
      <c r="AO47" s="59">
        <f t="shared" si="36"/>
        <v>222.06886429435099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13.99321178878386</v>
      </c>
      <c r="AX47" s="21">
        <f t="shared" si="6"/>
        <v>13.99321178878386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-5.6843418860808015E-14</v>
      </c>
      <c r="BE47" s="13">
        <f>BD47*VLOOKUP('Données projet'!$B$11,Paramètres!$A$1:$I$89,3,0)*VLOOKUP('Données projet'!$B$11,Paramètres!$A$1:$I$89,5,0)</f>
        <v>-3.1036506698001178E-14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207.02306964567629</v>
      </c>
      <c r="BJ47" s="59">
        <f t="shared" si="38"/>
        <v>342.06887933351783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62.303527309981959</v>
      </c>
      <c r="BQ47" s="21">
        <f>EXP(-LN(2)/25)*BQ46+(1-EXP(-LN(2)/25))/(LN(2)/25)*Calculateur!BL47*Calculateur!BN47*VLOOKUP('Données projet'!$B$11,Paramètres!$A$1:$I$89,3,0)*0.475*44/12</f>
        <v>134.18582624516264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196.48935355514459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170.24904000000004</v>
      </c>
      <c r="CA47" s="13">
        <f t="shared" si="39"/>
        <v>43.145795507930117</v>
      </c>
      <c r="CB47" s="20">
        <f t="shared" si="10"/>
        <v>371.6626718429784</v>
      </c>
      <c r="CC47" s="59">
        <f t="shared" si="11"/>
        <v>664.99600517631166</v>
      </c>
      <c r="CD47" s="59">
        <f ca="1">AVERAGE(OFFSET($CC$3,0,0,'Données projet'!$E$12+1,1))-AVERAGE(OFFSET($H$3,0,0,'Données projet'!$E$12+1,1))</f>
        <v>328.55201074501201</v>
      </c>
      <c r="CE47" s="59">
        <f t="shared" si="40"/>
        <v>321.81422611044985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15.102881060361158</v>
      </c>
      <c r="CL47" s="21">
        <f>EXP(-LN(2)/25)*CL46+(1-EXP(-LN(2)/25))/(LN(2)/25)*Calculateur!CG47*Calculateur!CI47*VLOOKUP('Données projet'!$B$12,Paramètres!$A$1:$I$89,3,0)*0.475*44/12</f>
        <v>10.775352849352725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25.878233909713884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</v>
      </c>
      <c r="CT47" s="12">
        <f>IF('Données projet'!$A$140&gt;35,CT46+CS47-DB46,IF(A47&lt;'Données projet'!$A$140,$CQ$205^A47,IF(A47='Données projet'!$A$140,'Données projet'!$B$140,CT46+CS47-DB46)))</f>
        <v>190.00000000000003</v>
      </c>
      <c r="CU47" s="17">
        <f>CT47*VLOOKUP('Données projet'!$B$13,Paramètres!$A$1:$I$89,3,0)*VLOOKUP('Données projet'!$B$13,Paramètres!$A$1:$I$89,5,0)</f>
        <v>165.98400000000004</v>
      </c>
      <c r="CV47" s="13">
        <f t="shared" si="41"/>
        <v>42.189325525922285</v>
      </c>
      <c r="CW47" s="20">
        <f t="shared" si="13"/>
        <v>362.56854195764805</v>
      </c>
      <c r="CX47" s="59">
        <f t="shared" si="14"/>
        <v>655.90187529098137</v>
      </c>
      <c r="CY47" s="59">
        <f ca="1">AVERAGE(OFFSET($CX$3,0,0,'Données projet'!$E$13+1,1))-AVERAGE(OFFSET($H$3,0,0,'Données projet'!$E$13+1,1))</f>
        <v>354.24684313982857</v>
      </c>
      <c r="CZ47" s="59">
        <f t="shared" si="42"/>
        <v>322.65043486962185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9.3487437219386695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9.3487437219386695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230</v>
      </c>
      <c r="DM47" s="12">
        <f>VLOOKUP(A47,'Données projet'!$A$165:$I$185,9,0)</f>
        <v>11.142857142857142</v>
      </c>
      <c r="DN47" s="12">
        <f t="array" ref="DN47">INDEX(DM:DM,MIN(IF(ISNUMBER(DM47:DM243),ROW(DM47:DM243),"")))</f>
        <v>11.142857142857142</v>
      </c>
      <c r="DO47" s="12">
        <f>IF('Données projet'!$A$166&gt;35,DO46+DN47-DW46,IF(A47&lt;'Données projet'!$A$166,$DL$205^A47,IF(A47='Données projet'!$A$166,'Données projet'!$B$166,DO46+DN47-DW46)))</f>
        <v>229.99999999999997</v>
      </c>
      <c r="DP47" s="17">
        <f>DO47*VLOOKUP('Données projet'!$B$14,Paramètres!$A$1:$I$89,3,0)*VLOOKUP('Données projet'!$B$14,Paramètres!$A$1:$I$89,5,0)</f>
        <v>179.39999999999998</v>
      </c>
      <c r="DQ47" s="13">
        <f t="shared" si="43"/>
        <v>45.188671291872232</v>
      </c>
      <c r="DR47" s="20">
        <f t="shared" si="16"/>
        <v>391.15860250001077</v>
      </c>
      <c r="DS47" s="59">
        <f t="shared" si="17"/>
        <v>684.49193583334409</v>
      </c>
      <c r="DT47" s="59">
        <f ca="1">AVERAGE(OFFSET($DS$3,0,0,'Données projet'!$E$14+1,1))-AVERAGE(OFFSET($H$3,0,0,'Données projet'!$E$14+1,1))</f>
        <v>288.80569134263209</v>
      </c>
      <c r="DU47" s="59">
        <f t="shared" si="44"/>
        <v>283.48738729114024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43</v>
      </c>
      <c r="DX47" s="16">
        <f>IF(ISNA(VLOOKUP(A47,'Données projet'!$A$165:$I$185,5,0)),0%,VLOOKUP(A47,'Données projet'!$A$165:$I$185,5,0)*VLOOKUP('Données projet'!$B$14,Paramètres!$A$1:$I$89,7,0))</f>
        <v>0.17200000000000001</v>
      </c>
      <c r="DY47" s="16">
        <f>IF(ISNA(VLOOKUP(A47,'Données projet'!$A$165:$I$185,6,0)),0%,VLOOKUP(A47,'Données projet'!$A$165:$I$185,6,0)*VLOOKUP('Données projet'!$B$14,Paramètres!$A$1:$I$89,7,0))</f>
        <v>0.17200000000000001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12.872788591306449</v>
      </c>
      <c r="EB47" s="21">
        <f>EXP(-LN(2)/25)*EB46+(1-EXP(-LN(2)/25))/(LN(2)/25)*Calculateur!DW47*Calculateur!DY47*VLOOKUP('Données projet'!$B$14,Paramètres!$A$1:$I$89,3,0)*0.475*44/12</f>
        <v>19.655059321199772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32.527847912506218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21.625641025641034</v>
      </c>
      <c r="EJ47" s="12">
        <f>IF('Données projet'!$A$192&gt;35,EJ46+EI47-ER46,IF(A47&lt;'Données projet'!$A$192,$EG$205^A47,IF(A47='Données projet'!$A$192,'Données projet'!$B$192,EJ46+EI47-ER46)))</f>
        <v>438.58205128205122</v>
      </c>
      <c r="EK47" s="17">
        <f>EJ47*VLOOKUP('Données projet'!$B$15,Paramètres!$A$1:$I$89,3,0)*VLOOKUP('Données projet'!$B$15,Paramètres!$A$1:$I$89,5,0)</f>
        <v>245.16736666666665</v>
      </c>
      <c r="EL47" s="13">
        <f t="shared" si="45"/>
        <v>59.549932468183236</v>
      </c>
      <c r="EM47" s="20">
        <f t="shared" si="19"/>
        <v>530.71596265986352</v>
      </c>
      <c r="EN47" s="59">
        <f t="shared" si="20"/>
        <v>824.04929599319689</v>
      </c>
      <c r="EO47" s="59">
        <f ca="1">AVERAGE(OFFSET($EN$3,0,0,'Données projet'!$E$15+1,1))-AVERAGE(OFFSET($H$3,0,0,'Données projet'!$E$15+1,1))</f>
        <v>335.04906256888819</v>
      </c>
      <c r="EP47" s="59">
        <f t="shared" si="46"/>
        <v>440.84111898279554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59.430497652047244</v>
      </c>
      <c r="EW47" s="21">
        <f>EXP(-LN(2)/25)*EW46+(1-EXP(-LN(2)/25))/(LN(2)/25)*Calculateur!ER47*Calculateur!ET47*VLOOKUP('Données projet'!$B$15,Paramètres!$A$1:$I$89,3,0)*0.475*44/12</f>
        <v>20.905498370950394</v>
      </c>
      <c r="EX47" s="21">
        <f>EXP(-LN(2)/2)*EX46+(1-EXP(-LN(2)/2))/(LN(2)/2)*ER47*EU47*VLOOKUP('Données projet'!$B$15,Paramètres!$A$1:$I$89,3,0)*0.475*44/12</f>
        <v>3.4763388990898312</v>
      </c>
      <c r="EY47" s="22">
        <f t="shared" si="21"/>
        <v>83.812334922087459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10.375</v>
      </c>
      <c r="N48" s="13">
        <f>IF('Données projet'!$A$36&gt;35,N47+M48-V47,IF(A48&lt;'Données projet'!$A$36,$K$205^A48,IF(A48='Données projet'!$A$36,'Données projet'!$B$36,N47+M48-V47)))</f>
        <v>197.37499999999997</v>
      </c>
      <c r="O48" s="13">
        <f>N48*VLOOKUP('Données projet'!$B$9,Paramètres!$A$1:$I$89,3,0)*VLOOKUP('Données projet'!$B$9,Paramètres!$A$1:$I$89,5,0)</f>
        <v>160.11060000000001</v>
      </c>
      <c r="P48" s="13">
        <f t="shared" si="33"/>
        <v>40.867460542073509</v>
      </c>
      <c r="Q48" s="20">
        <f t="shared" si="53"/>
        <v>350.03678877744466</v>
      </c>
      <c r="R48" s="59">
        <f t="shared" si="0"/>
        <v>643.37012211077797</v>
      </c>
      <c r="S48" s="59">
        <f ca="1">AVERAGE(OFFSET($R$3,0,0,'Données projet'!$E$9+1,1))-AVERAGE(OFFSET($H$3,0,0,'Données projet'!$E$9+1,1))</f>
        <v>298.96480270023716</v>
      </c>
      <c r="T48" s="59">
        <f t="shared" si="34"/>
        <v>293.11447542333889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16.177541896585037</v>
      </c>
      <c r="AA48" s="21">
        <f>EXP(-LN(2)/25)*AA47+(1-EXP(-LN(2)/25))/(LN(2)/25)*Calculateur!V48*Calculateur!X48*VLOOKUP('Données projet'!$B$9,Paramètres!$A$1:$I$89,3,0)*0.475*44/12</f>
        <v>24.506083694358932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40.683625590943969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10.449786324786322</v>
      </c>
      <c r="AI48" s="13">
        <f>IF('Données projet'!$A$62&gt;35,AI47+AH48-AQ47,IF(A48&lt;'Données projet'!$A$62,$AF$205^A48,IF(A48='Données projet'!$A$62,'Données projet'!$B$62,AI47+AH48-AQ47)))</f>
        <v>155.27243589743597</v>
      </c>
      <c r="AJ48" s="13">
        <f>AI48*VLOOKUP('Données projet'!$B$10,Paramètres!$A$1:$I$89,3,0)*VLOOKUP('Données projet'!$B$10,Paramètres!$A$1:$I$89,5,0)</f>
        <v>133.22375000000008</v>
      </c>
      <c r="AK48" s="13">
        <f t="shared" si="35"/>
        <v>34.74020800305474</v>
      </c>
      <c r="AL48" s="20">
        <f t="shared" si="4"/>
        <v>292.53722685532045</v>
      </c>
      <c r="AM48" s="59">
        <f t="shared" si="5"/>
        <v>585.87056018865383</v>
      </c>
      <c r="AN48" s="59">
        <f ca="1">AVERAGE(OFFSET($AM$3,0,0,'Données projet'!$E$10+1,1))-AVERAGE(OFFSET($H$3,0,0,'Données projet'!$E$10+1,1))</f>
        <v>335.02113791949211</v>
      </c>
      <c r="AO48" s="59">
        <f t="shared" si="36"/>
        <v>222.06886429435099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9.894694946428606</v>
      </c>
      <c r="AX48" s="21">
        <f t="shared" si="6"/>
        <v>9.894694946428606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-5.6843418860808015E-14</v>
      </c>
      <c r="BE48" s="13">
        <f>BD48*VLOOKUP('Données projet'!$B$11,Paramètres!$A$1:$I$89,3,0)*VLOOKUP('Données projet'!$B$11,Paramètres!$A$1:$I$89,5,0)</f>
        <v>-3.1036506698001178E-14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207.02306964567629</v>
      </c>
      <c r="BJ48" s="59">
        <f t="shared" si="38"/>
        <v>342.06887933351783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61.081793140832545</v>
      </c>
      <c r="BQ48" s="21">
        <f>EXP(-LN(2)/25)*BQ47+(1-EXP(-LN(2)/25))/(LN(2)/25)*Calculateur!BL48*Calculateur!BN48*VLOOKUP('Données projet'!$B$11,Paramètres!$A$1:$I$89,3,0)*0.475*44/12</f>
        <v>130.51650776996274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191.59830091079527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177.43440000000004</v>
      </c>
      <c r="CA48" s="13">
        <f t="shared" si="39"/>
        <v>44.750911401641211</v>
      </c>
      <c r="CB48" s="20">
        <f t="shared" si="10"/>
        <v>386.97275069119183</v>
      </c>
      <c r="CC48" s="59">
        <f t="shared" si="11"/>
        <v>680.30608402452515</v>
      </c>
      <c r="CD48" s="59">
        <f ca="1">AVERAGE(OFFSET($CC$3,0,0,'Données projet'!$E$12+1,1))-AVERAGE(OFFSET($H$3,0,0,'Données projet'!$E$12+1,1))</f>
        <v>328.55201074501201</v>
      </c>
      <c r="CE48" s="59">
        <f t="shared" si="40"/>
        <v>321.81422611044985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0.3569</v>
      </c>
      <c r="CI48" s="16">
        <f>IF(ISNA(VLOOKUP(A48,'Données projet'!$A$113:$I$133,6,0)),0%,VLOOKUP(A48,'Données projet'!$A$113:$I$133,6,0)*VLOOKUP('Données projet'!$B$12,Paramètres!$A$1:$I$89,7,0))</f>
        <v>5.5899999999999998E-2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21.749406099817726</v>
      </c>
      <c r="CL48" s="21">
        <f>EXP(-LN(2)/25)*CL47+(1-EXP(-LN(2)/25))/(LN(2)/25)*Calculateur!CG48*Calculateur!CI48*VLOOKUP('Données projet'!$B$12,Paramètres!$A$1:$I$89,3,0)*0.475*44/12</f>
        <v>11.563826950151144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33.313233049968872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198</v>
      </c>
      <c r="CR48" s="12">
        <f>VLOOKUP(A48,'Données projet'!$A$139:$I$159,9,0)</f>
        <v>8</v>
      </c>
      <c r="CS48" s="12">
        <f t="array" ref="CS48">INDEX(CR:CR,MIN(IF(ISNUMBER(CR48:CR244),ROW(CR48:CR244),"")))</f>
        <v>8</v>
      </c>
      <c r="CT48" s="12">
        <f>IF('Données projet'!$A$140&gt;35,CT47+CS48-DB47,IF(A48&lt;'Données projet'!$A$140,$CQ$205^A48,IF(A48='Données projet'!$A$140,'Données projet'!$B$140,CT47+CS48-DB47)))</f>
        <v>198.00000000000003</v>
      </c>
      <c r="CU48" s="17">
        <f>CT48*VLOOKUP('Données projet'!$B$13,Paramètres!$A$1:$I$89,3,0)*VLOOKUP('Données projet'!$B$13,Paramètres!$A$1:$I$89,5,0)</f>
        <v>172.97280000000003</v>
      </c>
      <c r="CV48" s="13">
        <f t="shared" si="41"/>
        <v>43.75515863819728</v>
      </c>
      <c r="CW48" s="20">
        <f t="shared" si="13"/>
        <v>377.46786129486031</v>
      </c>
      <c r="CX48" s="59">
        <f t="shared" si="14"/>
        <v>670.80119462819357</v>
      </c>
      <c r="CY48" s="59">
        <f ca="1">AVERAGE(OFFSET($CX$3,0,0,'Données projet'!$E$13+1,1))-AVERAGE(OFFSET($H$3,0,0,'Données projet'!$E$13+1,1))</f>
        <v>354.24684313982857</v>
      </c>
      <c r="CZ48" s="59">
        <f t="shared" si="42"/>
        <v>322.65043486962185</v>
      </c>
      <c r="DA48" s="15">
        <f>IF(ISNA(VLOOKUP(A48,'Données projet'!$A$139:$I$159,3,0)),0,VLOOKUP(A48,'Données projet'!$A$139:$I$159,3,0))</f>
        <v>6</v>
      </c>
      <c r="DB48" s="15" t="str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0.17200000000000001</v>
      </c>
      <c r="DD48" s="16">
        <f>IF(ISNA(VLOOKUP(A48,'Données projet'!$A$139:$I$159,6,0)),0%,VLOOKUP(A48,'Données projet'!$A$139:$I$159,6,0)*VLOOKUP('Données projet'!$B$13,Paramètres!$A$1:$I$89,7,0))</f>
        <v>0.17200000000000001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4.3187844661602552</v>
      </c>
      <c r="DG48" s="21">
        <f>EXP(-LN(2)/25)*DG47+(1-EXP(-LN(2)/25))/(LN(2)/25)*Calculateur!DB48*Calculateur!DD48*VLOOKUP('Données projet'!$B$13,Paramètres!$A$1:$I$89,3,0)*0.475*44/12</f>
        <v>13.394881599364279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17.713666065524535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10.375</v>
      </c>
      <c r="DO48" s="12">
        <f>IF('Données projet'!$A$166&gt;35,DO47+DN48-DW47,IF(A48&lt;'Données projet'!$A$166,$DL$205^A48,IF(A48='Données projet'!$A$166,'Données projet'!$B$166,DO47+DN48-DW47)))</f>
        <v>197.37499999999997</v>
      </c>
      <c r="DP48" s="17">
        <f>DO48*VLOOKUP('Données projet'!$B$14,Paramètres!$A$1:$I$89,3,0)*VLOOKUP('Données projet'!$B$14,Paramètres!$A$1:$I$89,5,0)</f>
        <v>153.95249999999999</v>
      </c>
      <c r="DQ48" s="13">
        <f t="shared" si="43"/>
        <v>39.475441267837397</v>
      </c>
      <c r="DR48" s="20">
        <f t="shared" si="16"/>
        <v>336.88699770815009</v>
      </c>
      <c r="DS48" s="59">
        <f t="shared" si="17"/>
        <v>630.2203310414834</v>
      </c>
      <c r="DT48" s="59">
        <f ca="1">AVERAGE(OFFSET($DS$3,0,0,'Données projet'!$E$14+1,1))-AVERAGE(OFFSET($H$3,0,0,'Données projet'!$E$14+1,1))</f>
        <v>288.80569134263209</v>
      </c>
      <c r="DU48" s="59">
        <f t="shared" si="44"/>
        <v>283.48738729114024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12.620361058656687</v>
      </c>
      <c r="EB48" s="21">
        <f>EXP(-LN(2)/25)*EB47+(1-EXP(-LN(2)/25))/(LN(2)/25)*Calculateur!DW48*Calculateur!DY48*VLOOKUP('Données projet'!$B$14,Paramètres!$A$1:$I$89,3,0)*0.475*44/12</f>
        <v>19.117590690446917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31.737951749103605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21.625641025641034</v>
      </c>
      <c r="EJ48" s="12">
        <f>IF('Données projet'!$A$192&gt;35,EJ47+EI48-ER47,IF(A48&lt;'Données projet'!$A$192,$EG$205^A48,IF(A48='Données projet'!$A$192,'Données projet'!$B$192,EJ47+EI48-ER47)))</f>
        <v>460.20769230769224</v>
      </c>
      <c r="EK48" s="17">
        <f>EJ48*VLOOKUP('Données projet'!$B$15,Paramètres!$A$1:$I$89,3,0)*VLOOKUP('Données projet'!$B$15,Paramètres!$A$1:$I$89,5,0)</f>
        <v>257.25609999999995</v>
      </c>
      <c r="EL48" s="13">
        <f t="shared" si="45"/>
        <v>62.137128695600659</v>
      </c>
      <c r="EM48" s="20">
        <f t="shared" si="19"/>
        <v>556.27653997817106</v>
      </c>
      <c r="EN48" s="59">
        <f t="shared" si="20"/>
        <v>849.60987331150432</v>
      </c>
      <c r="EO48" s="59">
        <f ca="1">AVERAGE(OFFSET($EN$3,0,0,'Données projet'!$E$15+1,1))-AVERAGE(OFFSET($H$3,0,0,'Données projet'!$E$15+1,1))</f>
        <v>335.04906256888819</v>
      </c>
      <c r="EP48" s="59">
        <f t="shared" si="46"/>
        <v>440.84111898279554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58.265101842114873</v>
      </c>
      <c r="EW48" s="21">
        <f>EXP(-LN(2)/25)*EW47+(1-EXP(-LN(2)/25))/(LN(2)/25)*Calculateur!ER48*Calculateur!ET48*VLOOKUP('Données projet'!$B$15,Paramètres!$A$1:$I$89,3,0)*0.475*44/12</f>
        <v>20.333836418624376</v>
      </c>
      <c r="EX48" s="21">
        <f>EXP(-LN(2)/2)*EX47+(1-EXP(-LN(2)/2))/(LN(2)/2)*ER48*EU48*VLOOKUP('Données projet'!$B$15,Paramètres!$A$1:$I$89,3,0)*0.475*44/12</f>
        <v>2.4581428092489968</v>
      </c>
      <c r="EY48" s="22">
        <f t="shared" si="21"/>
        <v>81.057081069988243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10.375</v>
      </c>
      <c r="N49" s="13">
        <f>IF('Données projet'!$A$36&gt;35,N48+M49-V48,IF(A49&lt;'Données projet'!$A$36,$K$205^A49,IF(A49='Données projet'!$A$36,'Données projet'!$B$36,N48+M49-V48)))</f>
        <v>207.74999999999997</v>
      </c>
      <c r="O49" s="13">
        <f>N49*VLOOKUP('Données projet'!$B$9,Paramètres!$A$1:$I$89,3,0)*VLOOKUP('Données projet'!$B$9,Paramètres!$A$1:$I$89,5,0)</f>
        <v>168.52679999999998</v>
      </c>
      <c r="P49" s="13">
        <f t="shared" si="33"/>
        <v>42.759908842532369</v>
      </c>
      <c r="Q49" s="20">
        <f t="shared" si="53"/>
        <v>367.99101790074377</v>
      </c>
      <c r="R49" s="59">
        <f t="shared" si="0"/>
        <v>661.32435123407708</v>
      </c>
      <c r="S49" s="59">
        <f ca="1">AVERAGE(OFFSET($R$3,0,0,'Données projet'!$E$9+1,1))-AVERAGE(OFFSET($H$3,0,0,'Données projet'!$E$9+1,1))</f>
        <v>298.96480270023716</v>
      </c>
      <c r="T49" s="59">
        <f t="shared" si="34"/>
        <v>293.11447542333889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15.860310167319243</v>
      </c>
      <c r="AA49" s="21">
        <f>EXP(-LN(2)/25)*AA48+(1-EXP(-LN(2)/25))/(LN(2)/25)*Calculateur!V49*Calculateur!X49*VLOOKUP('Données projet'!$B$9,Paramètres!$A$1:$I$89,3,0)*0.475*44/12</f>
        <v>23.835963547017755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39.696273714336996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10.449786324786322</v>
      </c>
      <c r="AI49" s="13">
        <f>IF('Données projet'!$A$62&gt;35,AI48+AH49-AQ48,IF(A49&lt;'Données projet'!$A$62,$AF$205^A49,IF(A49='Données projet'!$A$62,'Données projet'!$B$62,AI48+AH49-AQ48)))</f>
        <v>165.72222222222229</v>
      </c>
      <c r="AJ49" s="13">
        <f>AI49*VLOOKUP('Données projet'!$B$10,Paramètres!$A$1:$I$89,3,0)*VLOOKUP('Données projet'!$B$10,Paramètres!$A$1:$I$89,5,0)</f>
        <v>142.18966666666674</v>
      </c>
      <c r="AK49" s="13">
        <f t="shared" si="35"/>
        <v>36.798173401682028</v>
      </c>
      <c r="AL49" s="20">
        <f t="shared" si="4"/>
        <v>311.73715478570745</v>
      </c>
      <c r="AM49" s="59">
        <f t="shared" si="5"/>
        <v>605.07048811904076</v>
      </c>
      <c r="AN49" s="59">
        <f ca="1">AVERAGE(OFFSET($AM$3,0,0,'Données projet'!$E$10+1,1))-AVERAGE(OFFSET($H$3,0,0,'Données projet'!$E$10+1,1))</f>
        <v>335.02113791949211</v>
      </c>
      <c r="AO49" s="59">
        <f t="shared" si="36"/>
        <v>222.06886429435099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6.99660589439193</v>
      </c>
      <c r="AX49" s="21">
        <f t="shared" si="6"/>
        <v>6.99660589439193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-5.6843418860808015E-14</v>
      </c>
      <c r="BE49" s="13">
        <f>BD49*VLOOKUP('Données projet'!$B$11,Paramètres!$A$1:$I$89,3,0)*VLOOKUP('Données projet'!$B$11,Paramètres!$A$1:$I$89,5,0)</f>
        <v>-3.1036506698001178E-14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207.02306964567629</v>
      </c>
      <c r="BJ49" s="59">
        <f t="shared" si="38"/>
        <v>342.06887933351783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59.884016433555892</v>
      </c>
      <c r="BQ49" s="21">
        <f>EXP(-LN(2)/25)*BQ48+(1-EXP(-LN(2)/25))/(LN(2)/25)*Calculateur!BL49*Calculateur!BN49*VLOOKUP('Données projet'!$B$11,Paramètres!$A$1:$I$89,3,0)*0.475*44/12</f>
        <v>126.94752700142827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186.83154343498416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166.14312000000004</v>
      </c>
      <c r="CA49" s="13">
        <f t="shared" si="39"/>
        <v>42.225060429180481</v>
      </c>
      <c r="CB49" s="20">
        <f t="shared" si="10"/>
        <v>362.90791424748937</v>
      </c>
      <c r="CC49" s="59">
        <f t="shared" si="11"/>
        <v>656.24124758082269</v>
      </c>
      <c r="CD49" s="59">
        <f ca="1">AVERAGE(OFFSET($CC$3,0,0,'Données projet'!$E$12+1,1))-AVERAGE(OFFSET($H$3,0,0,'Données projet'!$E$12+1,1))</f>
        <v>328.55201074501201</v>
      </c>
      <c r="CE49" s="59">
        <f t="shared" si="40"/>
        <v>321.81422611044985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21.32291351202813</v>
      </c>
      <c r="CL49" s="21">
        <f>EXP(-LN(2)/25)*CL48+(1-EXP(-LN(2)/25))/(LN(2)/25)*Calculateur!CG49*Calculateur!CI49*VLOOKUP('Données projet'!$B$12,Paramètres!$A$1:$I$89,3,0)*0.475*44/12</f>
        <v>11.247613494084032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32.570527006112158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7.4</v>
      </c>
      <c r="CT49" s="12">
        <f>IF('Données projet'!$A$140&gt;35,CT48+CS49-DB48,IF(A49&lt;'Données projet'!$A$140,$CQ$205^A49,IF(A49='Données projet'!$A$140,'Données projet'!$B$140,CT48+CS49-DB48)))</f>
        <v>179.40000000000003</v>
      </c>
      <c r="CU49" s="17">
        <f>CT49*VLOOKUP('Données projet'!$B$13,Paramètres!$A$1:$I$89,3,0)*VLOOKUP('Données projet'!$B$13,Paramètres!$A$1:$I$89,5,0)</f>
        <v>156.72384000000005</v>
      </c>
      <c r="CV49" s="13">
        <f t="shared" si="41"/>
        <v>40.102680984620484</v>
      </c>
      <c r="CW49" s="20">
        <f t="shared" si="13"/>
        <v>342.80619071488076</v>
      </c>
      <c r="CX49" s="59">
        <f t="shared" si="14"/>
        <v>636.13952404821407</v>
      </c>
      <c r="CY49" s="59">
        <f ca="1">AVERAGE(OFFSET($CX$3,0,0,'Données projet'!$E$13+1,1))-AVERAGE(OFFSET($H$3,0,0,'Données projet'!$E$13+1,1))</f>
        <v>354.24684313982857</v>
      </c>
      <c r="CZ49" s="59">
        <f t="shared" si="42"/>
        <v>322.65043486962185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4.2340957369772712</v>
      </c>
      <c r="DG49" s="21">
        <f>EXP(-LN(2)/25)*DG48+(1-EXP(-LN(2)/25))/(LN(2)/25)*Calculateur!DB49*Calculateur!DD49*VLOOKUP('Données projet'!$B$13,Paramètres!$A$1:$I$89,3,0)*0.475*44/12</f>
        <v>13.028597857623454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17.262693594600726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10.375</v>
      </c>
      <c r="DO49" s="12">
        <f>IF('Données projet'!$A$166&gt;35,DO48+DN49-DW48,IF(A49&lt;'Données projet'!$A$166,$DL$205^A49,IF(A49='Données projet'!$A$166,'Données projet'!$B$166,DO48+DN49-DW48)))</f>
        <v>207.74999999999997</v>
      </c>
      <c r="DP49" s="17">
        <f>DO49*VLOOKUP('Données projet'!$B$14,Paramètres!$A$1:$I$89,3,0)*VLOOKUP('Données projet'!$B$14,Paramètres!$A$1:$I$89,5,0)</f>
        <v>162.04499999999999</v>
      </c>
      <c r="DQ49" s="13">
        <f t="shared" si="43"/>
        <v>41.303429372463391</v>
      </c>
      <c r="DR49" s="20">
        <f t="shared" si="16"/>
        <v>354.16518115704031</v>
      </c>
      <c r="DS49" s="59">
        <f t="shared" si="17"/>
        <v>647.49851449037362</v>
      </c>
      <c r="DT49" s="59">
        <f ca="1">AVERAGE(OFFSET($DS$3,0,0,'Données projet'!$E$14+1,1))-AVERAGE(OFFSET($H$3,0,0,'Données projet'!$E$14+1,1))</f>
        <v>288.80569134263209</v>
      </c>
      <c r="DU49" s="59">
        <f t="shared" si="44"/>
        <v>283.48738729114024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12.372883475956595</v>
      </c>
      <c r="EB49" s="21">
        <f>EXP(-LN(2)/25)*EB48+(1-EXP(-LN(2)/25))/(LN(2)/25)*Calculateur!DW49*Calculateur!DY49*VLOOKUP('Données projet'!$B$14,Paramètres!$A$1:$I$89,3,0)*0.475*44/12</f>
        <v>18.594819167666245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30.96770264362284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21.625641025641034</v>
      </c>
      <c r="EJ49" s="12">
        <f>IF('Données projet'!$A$192&gt;35,EJ48+EI49-ER48,IF(A49&lt;'Données projet'!$A$192,$EG$205^A49,IF(A49='Données projet'!$A$192,'Données projet'!$B$192,EJ48+EI49-ER48)))</f>
        <v>481.83333333333326</v>
      </c>
      <c r="EK49" s="17">
        <f>EJ49*VLOOKUP('Données projet'!$B$15,Paramètres!$A$1:$I$89,3,0)*VLOOKUP('Données projet'!$B$15,Paramètres!$A$1:$I$89,5,0)</f>
        <v>269.34483333333333</v>
      </c>
      <c r="EL49" s="13">
        <f t="shared" si="45"/>
        <v>64.710206731812576</v>
      </c>
      <c r="EM49" s="20">
        <f t="shared" si="19"/>
        <v>581.81252811346246</v>
      </c>
      <c r="EN49" s="59">
        <f t="shared" si="20"/>
        <v>875.14586144679583</v>
      </c>
      <c r="EO49" s="59">
        <f ca="1">AVERAGE(OFFSET($EN$3,0,0,'Données projet'!$E$15+1,1))-AVERAGE(OFFSET($H$3,0,0,'Données projet'!$E$15+1,1))</f>
        <v>335.04906256888819</v>
      </c>
      <c r="EP49" s="59">
        <f t="shared" si="46"/>
        <v>440.84111898279554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57.122558733194019</v>
      </c>
      <c r="EW49" s="21">
        <f>EXP(-LN(2)/25)*EW48+(1-EXP(-LN(2)/25))/(LN(2)/25)*Calculateur!ER49*Calculateur!ET49*VLOOKUP('Données projet'!$B$15,Paramètres!$A$1:$I$89,3,0)*0.475*44/12</f>
        <v>19.77780659244711</v>
      </c>
      <c r="EX49" s="21">
        <f>EXP(-LN(2)/2)*EX48+(1-EXP(-LN(2)/2))/(LN(2)/2)*ER49*EU49*VLOOKUP('Données projet'!$B$15,Paramètres!$A$1:$I$89,3,0)*0.475*44/12</f>
        <v>1.7381694495449156</v>
      </c>
      <c r="EY49" s="22">
        <f t="shared" si="21"/>
        <v>78.638534775186045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10.375</v>
      </c>
      <c r="N50" s="13">
        <f>IF('Données projet'!$A$36&gt;35,N49+M50-V49,IF(A50&lt;'Données projet'!$A$36,$K$205^A50,IF(A50='Données projet'!$A$36,'Données projet'!$B$36,N49+M50-V49)))</f>
        <v>218.12499999999997</v>
      </c>
      <c r="O50" s="13">
        <f>N50*VLOOKUP('Données projet'!$B$9,Paramètres!$A$1:$I$89,3,0)*VLOOKUP('Données projet'!$B$9,Paramètres!$A$1:$I$89,5,0)</f>
        <v>176.94299999999998</v>
      </c>
      <c r="P50" s="13">
        <f t="shared" si="33"/>
        <v>44.641383444033245</v>
      </c>
      <c r="Q50" s="20">
        <f t="shared" si="53"/>
        <v>385.92613449835784</v>
      </c>
      <c r="R50" s="59">
        <f t="shared" si="0"/>
        <v>679.25946783169115</v>
      </c>
      <c r="S50" s="59">
        <f ca="1">AVERAGE(OFFSET($R$3,0,0,'Données projet'!$E$9+1,1))-AVERAGE(OFFSET($H$3,0,0,'Données projet'!$E$9+1,1))</f>
        <v>298.96480270023716</v>
      </c>
      <c r="T50" s="59">
        <f t="shared" si="34"/>
        <v>293.11447542333889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15.549299158772103</v>
      </c>
      <c r="AA50" s="21">
        <f>EXP(-LN(2)/25)*AA49+(1-EXP(-LN(2)/25))/(LN(2)/25)*Calculateur!V50*Calculateur!X50*VLOOKUP('Données projet'!$B$9,Paramètres!$A$1:$I$89,3,0)*0.475*44/12</f>
        <v>23.184167870345711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38.733467029117811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10.449786324786322</v>
      </c>
      <c r="AI50" s="13">
        <f>IF('Données projet'!$A$62&gt;35,AI49+AH50-AQ49,IF(A50&lt;'Données projet'!$A$62,$AF$205^A50,IF(A50='Données projet'!$A$62,'Données projet'!$B$62,AI49+AH50-AQ49)))</f>
        <v>176.1720085470086</v>
      </c>
      <c r="AJ50" s="13">
        <f>AI50*VLOOKUP('Données projet'!$B$10,Paramètres!$A$1:$I$89,3,0)*VLOOKUP('Données projet'!$B$10,Paramètres!$A$1:$I$89,5,0)</f>
        <v>151.1555833333334</v>
      </c>
      <c r="AK50" s="13">
        <f t="shared" si="35"/>
        <v>38.841078670511202</v>
      </c>
      <c r="AL50" s="20">
        <f t="shared" si="4"/>
        <v>330.91085299002935</v>
      </c>
      <c r="AM50" s="59">
        <f t="shared" si="5"/>
        <v>624.24418632336267</v>
      </c>
      <c r="AN50" s="59">
        <f ca="1">AVERAGE(OFFSET($AM$3,0,0,'Données projet'!$E$10+1,1))-AVERAGE(OFFSET($H$3,0,0,'Données projet'!$E$10+1,1))</f>
        <v>335.02113791949211</v>
      </c>
      <c r="AO50" s="59">
        <f t="shared" si="36"/>
        <v>222.06886429435099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4.947347473214303</v>
      </c>
      <c r="AX50" s="21">
        <f t="shared" si="6"/>
        <v>4.947347473214303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-5.6843418860808015E-14</v>
      </c>
      <c r="BE50" s="13">
        <f>BD50*VLOOKUP('Données projet'!$B$11,Paramètres!$A$1:$I$89,3,0)*VLOOKUP('Données projet'!$B$11,Paramètres!$A$1:$I$89,5,0)</f>
        <v>-3.1036506698001178E-14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207.02306964567629</v>
      </c>
      <c r="BJ50" s="59">
        <f t="shared" si="38"/>
        <v>342.06887933351783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58.709727396937275</v>
      </c>
      <c r="BQ50" s="21">
        <f>EXP(-LN(2)/25)*BQ49+(1-EXP(-LN(2)/25))/(LN(2)/25)*Calculateur!BL50*Calculateur!BN50*VLOOKUP('Données projet'!$B$11,Paramètres!$A$1:$I$89,3,0)*0.475*44/12</f>
        <v>123.47614019969392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182.1858675966312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172.44864000000001</v>
      </c>
      <c r="CA50" s="13">
        <f t="shared" si="39"/>
        <v>43.637980200453676</v>
      </c>
      <c r="CB50" s="20">
        <f t="shared" si="10"/>
        <v>376.35086351579019</v>
      </c>
      <c r="CC50" s="59">
        <f t="shared" si="11"/>
        <v>669.68419684912351</v>
      </c>
      <c r="CD50" s="59">
        <f ca="1">AVERAGE(OFFSET($CC$3,0,0,'Données projet'!$E$12+1,1))-AVERAGE(OFFSET($H$3,0,0,'Données projet'!$E$12+1,1))</f>
        <v>328.55201074501201</v>
      </c>
      <c r="CE50" s="59">
        <f t="shared" si="40"/>
        <v>321.81422611044985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20.904784183750294</v>
      </c>
      <c r="CL50" s="21">
        <f>EXP(-LN(2)/25)*CL49+(1-EXP(-LN(2)/25))/(LN(2)/25)*Calculateur!CG50*Calculateur!CI50*VLOOKUP('Données projet'!$B$12,Paramètres!$A$1:$I$89,3,0)*0.475*44/12</f>
        <v>10.940046911602018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31.844831095352312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7.4</v>
      </c>
      <c r="CT50" s="12">
        <f>IF('Données projet'!$A$140&gt;35,CT49+CS50-DB49,IF(A50&lt;'Données projet'!$A$140,$CQ$205^A50,IF(A50='Données projet'!$A$140,'Données projet'!$B$140,CT49+CS50-DB49)))</f>
        <v>186.80000000000004</v>
      </c>
      <c r="CU50" s="17">
        <f>CT50*VLOOKUP('Données projet'!$B$13,Paramètres!$A$1:$I$89,3,0)*VLOOKUP('Données projet'!$B$13,Paramètres!$A$1:$I$89,5,0)</f>
        <v>163.18848000000006</v>
      </c>
      <c r="CV50" s="13">
        <f t="shared" si="41"/>
        <v>41.560857991048017</v>
      </c>
      <c r="CW50" s="20">
        <f t="shared" si="13"/>
        <v>356.60509700107536</v>
      </c>
      <c r="CX50" s="59">
        <f t="shared" si="14"/>
        <v>649.93843033440862</v>
      </c>
      <c r="CY50" s="59">
        <f ca="1">AVERAGE(OFFSET($CX$3,0,0,'Données projet'!$E$13+1,1))-AVERAGE(OFFSET($H$3,0,0,'Données projet'!$E$13+1,1))</f>
        <v>354.24684313982857</v>
      </c>
      <c r="CZ50" s="59">
        <f t="shared" si="42"/>
        <v>322.65043486962185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4.1510677021185414</v>
      </c>
      <c r="DG50" s="21">
        <f>EXP(-LN(2)/25)*DG49+(1-EXP(-LN(2)/25))/(LN(2)/25)*Calculateur!DB50*Calculateur!DD50*VLOOKUP('Données projet'!$B$13,Paramètres!$A$1:$I$89,3,0)*0.475*44/12</f>
        <v>12.672330164062558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16.8233978661811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10.375</v>
      </c>
      <c r="DO50" s="12">
        <f>IF('Données projet'!$A$166&gt;35,DO49+DN50-DW49,IF(A50&lt;'Données projet'!$A$166,$DL$205^A50,IF(A50='Données projet'!$A$166,'Données projet'!$B$166,DO49+DN50-DW49)))</f>
        <v>218.12499999999997</v>
      </c>
      <c r="DP50" s="17">
        <f>DO50*VLOOKUP('Données projet'!$B$14,Paramètres!$A$1:$I$89,3,0)*VLOOKUP('Données projet'!$B$14,Paramètres!$A$1:$I$89,5,0)</f>
        <v>170.13749999999999</v>
      </c>
      <c r="DQ50" s="13">
        <f t="shared" si="43"/>
        <v>43.120817562072411</v>
      </c>
      <c r="DR50" s="20">
        <f t="shared" si="16"/>
        <v>371.42490308727605</v>
      </c>
      <c r="DS50" s="59">
        <f t="shared" si="17"/>
        <v>664.75823642060936</v>
      </c>
      <c r="DT50" s="59">
        <f ca="1">AVERAGE(OFFSET($DS$3,0,0,'Données projet'!$E$14+1,1))-AVERAGE(OFFSET($H$3,0,0,'Données projet'!$E$14+1,1))</f>
        <v>288.80569134263209</v>
      </c>
      <c r="DU50" s="59">
        <f t="shared" si="44"/>
        <v>283.48738729114024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12.13025877770683</v>
      </c>
      <c r="EB50" s="21">
        <f>EXP(-LN(2)/25)*EB49+(1-EXP(-LN(2)/25))/(LN(2)/25)*Calculateur!DW50*Calculateur!DY50*VLOOKUP('Données projet'!$B$14,Paramètres!$A$1:$I$89,3,0)*0.475*44/12</f>
        <v>18.086342859667369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30.216601637374197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21.625641025641034</v>
      </c>
      <c r="EJ50" s="12">
        <f>IF('Données projet'!$A$192&gt;35,EJ49+EI50-ER49,IF(A50&lt;'Données projet'!$A$192,$EG$205^A50,IF(A50='Données projet'!$A$192,'Données projet'!$B$192,EJ49+EI50-ER49)))</f>
        <v>503.45897435897427</v>
      </c>
      <c r="EK50" s="17">
        <f>EJ50*VLOOKUP('Données projet'!$B$15,Paramètres!$A$1:$I$89,3,0)*VLOOKUP('Données projet'!$B$15,Paramètres!$A$1:$I$89,5,0)</f>
        <v>281.43356666666659</v>
      </c>
      <c r="EL50" s="13">
        <f t="shared" si="45"/>
        <v>67.26987262617007</v>
      </c>
      <c r="EM50" s="20">
        <f t="shared" si="19"/>
        <v>607.32515676835726</v>
      </c>
      <c r="EN50" s="59">
        <f t="shared" si="20"/>
        <v>900.65849010169063</v>
      </c>
      <c r="EO50" s="59">
        <f ca="1">AVERAGE(OFFSET($EN$3,0,0,'Données projet'!$E$15+1,1))-AVERAGE(OFFSET($H$3,0,0,'Données projet'!$E$15+1,1))</f>
        <v>335.04906256888819</v>
      </c>
      <c r="EP50" s="59">
        <f t="shared" si="46"/>
        <v>440.84111898279554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56.002420197756614</v>
      </c>
      <c r="EW50" s="21">
        <f>EXP(-LN(2)/25)*EW49+(1-EXP(-LN(2)/25))/(LN(2)/25)*Calculateur!ER50*Calculateur!ET50*VLOOKUP('Données projet'!$B$15,Paramètres!$A$1:$I$89,3,0)*0.475*44/12</f>
        <v>19.236981431106997</v>
      </c>
      <c r="EX50" s="21">
        <f>EXP(-LN(2)/2)*EX49+(1-EXP(-LN(2)/2))/(LN(2)/2)*ER50*EU50*VLOOKUP('Données projet'!$B$15,Paramètres!$A$1:$I$89,3,0)*0.475*44/12</f>
        <v>1.2290714046244984</v>
      </c>
      <c r="EY50" s="22">
        <f t="shared" si="21"/>
        <v>76.46847303348811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10.375</v>
      </c>
      <c r="N51" s="13">
        <f>IF('Données projet'!$A$36&gt;35,N50+M51-V50,IF(A51&lt;'Données projet'!$A$36,$K$205^A51,IF(A51='Données projet'!$A$36,'Données projet'!$B$36,N50+M51-V50)))</f>
        <v>228.49999999999997</v>
      </c>
      <c r="O51" s="13">
        <f>N51*VLOOKUP('Données projet'!$B$9,Paramètres!$A$1:$I$89,3,0)*VLOOKUP('Données projet'!$B$9,Paramètres!$A$1:$I$89,5,0)</f>
        <v>185.35919999999999</v>
      </c>
      <c r="P51" s="13">
        <f t="shared" si="33"/>
        <v>46.512465899126433</v>
      </c>
      <c r="Q51" s="20">
        <f t="shared" si="53"/>
        <v>403.84315144097854</v>
      </c>
      <c r="R51" s="59">
        <f t="shared" si="0"/>
        <v>697.1764847743118</v>
      </c>
      <c r="S51" s="59">
        <f ca="1">AVERAGE(OFFSET($R$3,0,0,'Données projet'!$E$9+1,1))-AVERAGE(OFFSET($H$3,0,0,'Données projet'!$E$9+1,1))</f>
        <v>298.96480270023716</v>
      </c>
      <c r="T51" s="59">
        <f t="shared" si="34"/>
        <v>293.11447542333889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15.244386886404588</v>
      </c>
      <c r="AA51" s="21">
        <f>EXP(-LN(2)/25)*AA50+(1-EXP(-LN(2)/25))/(LN(2)/25)*Calculateur!V51*Calculateur!X51*VLOOKUP('Données projet'!$B$9,Paramètres!$A$1:$I$89,3,0)*0.475*44/12</f>
        <v>22.550195580728708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37.794582467133296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186.62179487179486</v>
      </c>
      <c r="AG51" s="12">
        <f>VLOOKUP(A51,'Données projet'!$A$61:$I$81,9,0)</f>
        <v>10.449786324786322</v>
      </c>
      <c r="AH51" s="12">
        <f t="array" ref="AH51">INDEX(AG:AG,MIN(IF(ISNUMBER(AG51:AG247),ROW(AG51:AG247),"")))</f>
        <v>10.449786324786322</v>
      </c>
      <c r="AI51" s="13">
        <f>IF('Données projet'!$A$62&gt;35,AI50+AH51-AQ50,IF(A51&lt;'Données projet'!$A$62,$AF$205^A51,IF(A51='Données projet'!$A$62,'Données projet'!$B$62,AI50+AH51-AQ50)))</f>
        <v>186.62179487179492</v>
      </c>
      <c r="AJ51" s="13">
        <f>AI51*VLOOKUP('Données projet'!$B$10,Paramètres!$A$1:$I$89,3,0)*VLOOKUP('Données projet'!$B$10,Paramètres!$A$1:$I$89,5,0)</f>
        <v>160.12150000000005</v>
      </c>
      <c r="AK51" s="13">
        <f t="shared" si="35"/>
        <v>40.869918860018721</v>
      </c>
      <c r="AL51" s="20">
        <f t="shared" si="4"/>
        <v>350.06005451453262</v>
      </c>
      <c r="AM51" s="59">
        <f t="shared" si="5"/>
        <v>643.39338784786594</v>
      </c>
      <c r="AN51" s="59">
        <f ca="1">AVERAGE(OFFSET($AM$3,0,0,'Données projet'!$E$10+1,1))-AVERAGE(OFFSET($H$3,0,0,'Données projet'!$E$10+1,1))</f>
        <v>335.02113791949211</v>
      </c>
      <c r="AO51" s="59">
        <f t="shared" si="36"/>
        <v>222.06886429435099</v>
      </c>
      <c r="AP51" s="15">
        <f>IF(ISNA(VLOOKUP(A51,'Données projet'!$A$61:$I$81,3,0)),0,VLOOKUP(A51,'Données projet'!$A$61:$I$81,3,0))</f>
        <v>2</v>
      </c>
      <c r="AQ51" s="15">
        <f>IF(ISNA(VLOOKUP(A51,'Données projet'!$A$61:$I$81,4,0)),0,VLOOKUP(A51,'Données projet'!$A$61:$I$81,4,0))</f>
        <v>44.737179487179489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0.5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21.606707374031224</v>
      </c>
      <c r="AX51" s="21">
        <f t="shared" si="6"/>
        <v>21.606707374031224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-5.6843418860808015E-14</v>
      </c>
      <c r="BE51" s="13">
        <f>BD51*VLOOKUP('Données projet'!$B$11,Paramètres!$A$1:$I$89,3,0)*VLOOKUP('Données projet'!$B$11,Paramètres!$A$1:$I$89,5,0)</f>
        <v>-3.1036506698001178E-14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207.02306964567629</v>
      </c>
      <c r="BJ51" s="59">
        <f t="shared" si="38"/>
        <v>342.06887933351783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57.558465452081165</v>
      </c>
      <c r="BQ51" s="21">
        <f>EXP(-LN(2)/25)*BQ50+(1-EXP(-LN(2)/25))/(LN(2)/25)*Calculateur!BL51*Calculateur!BN51*VLOOKUP('Données projet'!$B$11,Paramètres!$A$1:$I$89,3,0)*0.475*44/12</f>
        <v>120.09967865260528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177.65814410468644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178.75416000000001</v>
      </c>
      <c r="CA51" s="13">
        <f t="shared" si="39"/>
        <v>45.044897778507469</v>
      </c>
      <c r="CB51" s="20">
        <f t="shared" si="10"/>
        <v>389.78335896423386</v>
      </c>
      <c r="CC51" s="59">
        <f t="shared" si="11"/>
        <v>683.11669229756717</v>
      </c>
      <c r="CD51" s="59">
        <f ca="1">AVERAGE(OFFSET($CC$3,0,0,'Données projet'!$E$12+1,1))-AVERAGE(OFFSET($H$3,0,0,'Données projet'!$E$12+1,1))</f>
        <v>328.55201074501201</v>
      </c>
      <c r="CE51" s="59">
        <f t="shared" si="40"/>
        <v>321.81422611044985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20.49485411656628</v>
      </c>
      <c r="CL51" s="21">
        <f>EXP(-LN(2)/25)*CL50+(1-EXP(-LN(2)/25))/(LN(2)/25)*Calculateur!CG51*Calculateur!CI51*VLOOKUP('Données projet'!$B$12,Paramètres!$A$1:$I$89,3,0)*0.475*44/12</f>
        <v>10.640890753492197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31.135744870058478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7.4</v>
      </c>
      <c r="CT51" s="12">
        <f>IF('Données projet'!$A$140&gt;35,CT50+CS51-DB50,IF(A51&lt;'Données projet'!$A$140,$CQ$205^A51,IF(A51='Données projet'!$A$140,'Données projet'!$B$140,CT50+CS51-DB50)))</f>
        <v>194.20000000000005</v>
      </c>
      <c r="CU51" s="17">
        <f>CT51*VLOOKUP('Données projet'!$B$13,Paramètres!$A$1:$I$89,3,0)*VLOOKUP('Données projet'!$B$13,Paramètres!$A$1:$I$89,5,0)</f>
        <v>169.65312000000006</v>
      </c>
      <c r="CV51" s="13">
        <f t="shared" si="41"/>
        <v>43.012324771430336</v>
      </c>
      <c r="CW51" s="20">
        <f t="shared" si="13"/>
        <v>370.39231631024131</v>
      </c>
      <c r="CX51" s="59">
        <f t="shared" si="14"/>
        <v>663.72564964357457</v>
      </c>
      <c r="CY51" s="59">
        <f ca="1">AVERAGE(OFFSET($CX$3,0,0,'Données projet'!$E$13+1,1))-AVERAGE(OFFSET($H$3,0,0,'Données projet'!$E$13+1,1))</f>
        <v>354.24684313982857</v>
      </c>
      <c r="CZ51" s="59">
        <f t="shared" si="42"/>
        <v>322.65043486962185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4.0696677963812906</v>
      </c>
      <c r="DG51" s="21">
        <f>EXP(-LN(2)/25)*DG50+(1-EXP(-LN(2)/25))/(LN(2)/25)*Calculateur!DB51*Calculateur!DD51*VLOOKUP('Données projet'!$B$13,Paramètres!$A$1:$I$89,3,0)*0.475*44/12</f>
        <v>12.325804629317387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16.395472425698678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10.375</v>
      </c>
      <c r="DO51" s="12">
        <f>IF('Données projet'!$A$166&gt;35,DO50+DN51-DW50,IF(A51&lt;'Données projet'!$A$166,$DL$205^A51,IF(A51='Données projet'!$A$166,'Données projet'!$B$166,DO50+DN51-DW50)))</f>
        <v>228.49999999999997</v>
      </c>
      <c r="DP51" s="17">
        <f>DO51*VLOOKUP('Données projet'!$B$14,Paramètres!$A$1:$I$89,3,0)*VLOOKUP('Données projet'!$B$14,Paramètres!$A$1:$I$89,5,0)</f>
        <v>178.23</v>
      </c>
      <c r="DQ51" s="13">
        <f t="shared" si="43"/>
        <v>44.928167580487852</v>
      </c>
      <c r="DR51" s="20">
        <f t="shared" si="16"/>
        <v>388.66714186934956</v>
      </c>
      <c r="DS51" s="59">
        <f t="shared" si="17"/>
        <v>682.00047520268288</v>
      </c>
      <c r="DT51" s="59">
        <f ca="1">AVERAGE(OFFSET($DS$3,0,0,'Données projet'!$E$14+1,1))-AVERAGE(OFFSET($H$3,0,0,'Données projet'!$E$14+1,1))</f>
        <v>288.80569134263209</v>
      </c>
      <c r="DU51" s="59">
        <f t="shared" si="44"/>
        <v>283.48738729114024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11.89239180180329</v>
      </c>
      <c r="EB51" s="21">
        <f>EXP(-LN(2)/25)*EB50+(1-EXP(-LN(2)/25))/(LN(2)/25)*Calculateur!DW51*Calculateur!DY51*VLOOKUP('Données projet'!$B$14,Paramètres!$A$1:$I$89,3,0)*0.475*44/12</f>
        <v>17.591770863050332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29.484162664853621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525.0846153846154</v>
      </c>
      <c r="EH51" s="12">
        <f>VLOOKUP(A51,'Données projet'!$A$191:$I$211,9,0)</f>
        <v>21.625641025641034</v>
      </c>
      <c r="EI51" s="12">
        <f t="array" ref="EI51">INDEX(EH:EH,MIN(IF(ISNUMBER(EH51:EH247),ROW(EH51:EH247),"")))</f>
        <v>21.625641025641034</v>
      </c>
      <c r="EJ51" s="12">
        <f>IF('Données projet'!$A$192&gt;35,EJ50+EI51-ER50,IF(A51&lt;'Données projet'!$A$192,$EG$205^A51,IF(A51='Données projet'!$A$192,'Données projet'!$B$192,EJ50+EI51-ER50)))</f>
        <v>525.08461538461529</v>
      </c>
      <c r="EK51" s="17">
        <f>EJ51*VLOOKUP('Données projet'!$B$15,Paramètres!$A$1:$I$89,3,0)*VLOOKUP('Données projet'!$B$15,Paramètres!$A$1:$I$89,5,0)</f>
        <v>293.52229999999997</v>
      </c>
      <c r="EL51" s="13">
        <f t="shared" si="45"/>
        <v>69.816768342057628</v>
      </c>
      <c r="EM51" s="20">
        <f t="shared" si="19"/>
        <v>632.81554402908364</v>
      </c>
      <c r="EN51" s="59">
        <f t="shared" si="20"/>
        <v>926.1488773624169</v>
      </c>
      <c r="EO51" s="59">
        <f ca="1">AVERAGE(OFFSET($EN$3,0,0,'Données projet'!$E$15+1,1))-AVERAGE(OFFSET($H$3,0,0,'Données projet'!$E$15+1,1))</f>
        <v>335.04906256888819</v>
      </c>
      <c r="EP51" s="59">
        <f t="shared" si="46"/>
        <v>440.84111898279554</v>
      </c>
      <c r="EQ51" s="15">
        <f>IF(ISNA(VLOOKUP(A51,'Données projet'!$A$191:$I$211,3,0)),0,VLOOKUP(A51,'Données projet'!$A$191:$I$211,3,0))</f>
        <v>6</v>
      </c>
      <c r="ER51" s="15">
        <f>IF(ISNA(VLOOKUP(A51,'Données projet'!$A$191:$I$211,4,0)),0,VLOOKUP(A51,'Données projet'!$A$191:$I$211,4,0))</f>
        <v>81.330769230769235</v>
      </c>
      <c r="ES51" s="16">
        <f>IF(ISNA(VLOOKUP(A51,'Données projet'!$A$191:$I$211,5,0)),0%,VLOOKUP(A51,'Données projet'!$A$191:$I$211,5,0)*VLOOKUP('Données projet'!$B$15,Paramètres!$A$1:$I$89,7,0))</f>
        <v>0.38500000000000001</v>
      </c>
      <c r="ET51" s="16">
        <f>IF(ISNA(VLOOKUP(A51,'Données projet'!$A$191:$I$211,6,0)),0%,VLOOKUP(A51,'Données projet'!$A$191:$I$211,6,0)*VLOOKUP('Données projet'!$B$15,Paramètres!$A$1:$I$89,7,0))</f>
        <v>9.240000000000001E-2</v>
      </c>
      <c r="EU51" s="16">
        <f>IF(ISNA(VLOOKUP(A51,'Données projet'!$A$191:$I$211,7,0)),0%,VLOOKUP(A51,'Données projet'!$A$191:$I$211,7,0))</f>
        <v>0.13200000000000001</v>
      </c>
      <c r="EV51" s="21">
        <f>EXP(-LN(2)/35)*EV50+(1-EXP(-LN(2)/35))/(LN(2)/35)*ER51*ES51*VLOOKUP('Données projet'!$B$15,Paramètres!$A$1:$I$89,3,0)*0.475*44/12</f>
        <v>78.12390248786032</v>
      </c>
      <c r="EW51" s="21">
        <f>EXP(-LN(2)/25)*EW50+(1-EXP(-LN(2)/25))/(LN(2)/25)*Calculateur!ER51*Calculateur!ET51*VLOOKUP('Données projet'!$B$15,Paramètres!$A$1:$I$89,3,0)*0.475*44/12</f>
        <v>24.261720592795644</v>
      </c>
      <c r="EX51" s="21">
        <f>EXP(-LN(2)/2)*EX50+(1-EXP(-LN(2)/2))/(LN(2)/2)*ER51*EU51*VLOOKUP('Données projet'!$B$15,Paramètres!$A$1:$I$89,3,0)*0.475*44/12</f>
        <v>7.6638765903722392</v>
      </c>
      <c r="EY51" s="22">
        <f t="shared" si="21"/>
        <v>110.0494996710282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10.375</v>
      </c>
      <c r="N52" s="13">
        <f>IF('Données projet'!$A$36&gt;35,N51+M52-V51,IF(A52&lt;'Données projet'!$A$36,$K$205^A52,IF(A52='Données projet'!$A$36,'Données projet'!$B$36,N51+M52-V51)))</f>
        <v>238.87499999999997</v>
      </c>
      <c r="O52" s="13">
        <f>N52*VLOOKUP('Données projet'!$B$9,Paramètres!$A$1:$I$89,3,0)*VLOOKUP('Données projet'!$B$9,Paramètres!$A$1:$I$89,5,0)</f>
        <v>193.77539999999999</v>
      </c>
      <c r="P52" s="13">
        <f t="shared" si="33"/>
        <v>48.373681964577997</v>
      </c>
      <c r="Q52" s="20">
        <f t="shared" si="53"/>
        <v>421.74298442163996</v>
      </c>
      <c r="R52" s="59">
        <f t="shared" si="0"/>
        <v>715.07631775497327</v>
      </c>
      <c r="S52" s="59">
        <f ca="1">AVERAGE(OFFSET($R$3,0,0,'Données projet'!$E$9+1,1))-AVERAGE(OFFSET($H$3,0,0,'Données projet'!$E$9+1,1))</f>
        <v>298.96480270023716</v>
      </c>
      <c r="T52" s="59">
        <f t="shared" si="34"/>
        <v>293.11447542333889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14.945453757720077</v>
      </c>
      <c r="AA52" s="21">
        <f>EXP(-LN(2)/25)*AA51+(1-EXP(-LN(2)/25))/(LN(2)/25)*Calculateur!V52*Calculateur!X52*VLOOKUP('Données projet'!$B$9,Paramètres!$A$1:$I$89,3,0)*0.475*44/12</f>
        <v>21.933559296710435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36.879013054430516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10.317307692307699</v>
      </c>
      <c r="AI52" s="13">
        <f>IF('Données projet'!$A$62&gt;35,AI51+AH52-AQ51,IF(A52&lt;'Données projet'!$A$62,$AF$205^A52,IF(A52='Données projet'!$A$62,'Données projet'!$B$62,AI51+AH52-AQ51)))</f>
        <v>152.20192307692315</v>
      </c>
      <c r="AJ52" s="13">
        <f>AI52*VLOOKUP('Données projet'!$B$10,Paramètres!$A$1:$I$89,3,0)*VLOOKUP('Données projet'!$B$10,Paramètres!$A$1:$I$89,5,0)</f>
        <v>130.58925000000008</v>
      </c>
      <c r="AK52" s="13">
        <f t="shared" si="35"/>
        <v>34.132481848040264</v>
      </c>
      <c r="AL52" s="20">
        <f t="shared" si="4"/>
        <v>286.89034963533692</v>
      </c>
      <c r="AM52" s="59">
        <f t="shared" si="5"/>
        <v>580.22368296867023</v>
      </c>
      <c r="AN52" s="59">
        <f ca="1">AVERAGE(OFFSET($AM$3,0,0,'Données projet'!$E$10+1,1))-AVERAGE(OFFSET($H$3,0,0,'Données projet'!$E$10+1,1))</f>
        <v>335.02113791949211</v>
      </c>
      <c r="AO52" s="59">
        <f t="shared" si="36"/>
        <v>222.06886429435099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15.27824930329086</v>
      </c>
      <c r="AX52" s="21">
        <f t="shared" si="6"/>
        <v>15.27824930329086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-5.6843418860808015E-14</v>
      </c>
      <c r="BE52" s="13">
        <f>BD52*VLOOKUP('Données projet'!$B$11,Paramètres!$A$1:$I$89,3,0)*VLOOKUP('Données projet'!$B$11,Paramètres!$A$1:$I$89,5,0)</f>
        <v>-3.1036506698001178E-14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207.02306964567629</v>
      </c>
      <c r="BJ52" s="59">
        <f t="shared" si="38"/>
        <v>342.06887933351783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56.429779051763234</v>
      </c>
      <c r="BQ52" s="21">
        <f>EXP(-LN(2)/25)*BQ51+(1-EXP(-LN(2)/25))/(LN(2)/25)*Calculateur!BL52*Calculateur!BN52*VLOOKUP('Données projet'!$B$11,Paramètres!$A$1:$I$89,3,0)*0.475*44/12</f>
        <v>116.81554662408217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173.24532567584541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185.05968000000004</v>
      </c>
      <c r="CA52" s="13">
        <f t="shared" si="39"/>
        <v>46.44604914943055</v>
      </c>
      <c r="CB52" s="20">
        <f t="shared" si="10"/>
        <v>403.20581160192484</v>
      </c>
      <c r="CC52" s="59">
        <f t="shared" si="11"/>
        <v>696.53914493525815</v>
      </c>
      <c r="CD52" s="59">
        <f ca="1">AVERAGE(OFFSET($CC$3,0,0,'Données projet'!$E$12+1,1))-AVERAGE(OFFSET($H$3,0,0,'Données projet'!$E$12+1,1))</f>
        <v>328.55201074501201</v>
      </c>
      <c r="CE52" s="59">
        <f t="shared" si="40"/>
        <v>321.81422611044985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20.092962527967092</v>
      </c>
      <c r="CL52" s="21">
        <f>EXP(-LN(2)/25)*CL51+(1-EXP(-LN(2)/25))/(LN(2)/25)*Calculateur!CG52*Calculateur!CI52*VLOOKUP('Données projet'!$B$12,Paramètres!$A$1:$I$89,3,0)*0.475*44/12</f>
        <v>10.349915036257828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30.442877564224922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7.4</v>
      </c>
      <c r="CT52" s="12">
        <f>IF('Données projet'!$A$140&gt;35,CT51+CS52-DB51,IF(A52&lt;'Données projet'!$A$140,$CQ$205^A52,IF(A52='Données projet'!$A$140,'Données projet'!$B$140,CT51+CS52-DB51)))</f>
        <v>201.60000000000005</v>
      </c>
      <c r="CU52" s="17">
        <f>CT52*VLOOKUP('Données projet'!$B$13,Paramètres!$A$1:$I$89,3,0)*VLOOKUP('Données projet'!$B$13,Paramètres!$A$1:$I$89,5,0)</f>
        <v>176.11776000000006</v>
      </c>
      <c r="CV52" s="13">
        <f t="shared" si="41"/>
        <v>44.457366290237246</v>
      </c>
      <c r="CW52" s="20">
        <f t="shared" si="13"/>
        <v>384.16834495549665</v>
      </c>
      <c r="CX52" s="59">
        <f t="shared" si="14"/>
        <v>677.50167828882991</v>
      </c>
      <c r="CY52" s="59">
        <f ca="1">AVERAGE(OFFSET($CX$3,0,0,'Données projet'!$E$13+1,1))-AVERAGE(OFFSET($H$3,0,0,'Données projet'!$E$13+1,1))</f>
        <v>354.24684313982857</v>
      </c>
      <c r="CZ52" s="59">
        <f t="shared" si="42"/>
        <v>322.65043486962185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3.9898640931465073</v>
      </c>
      <c r="DG52" s="21">
        <f>EXP(-LN(2)/25)*DG51+(1-EXP(-LN(2)/25))/(LN(2)/25)*Calculateur!DB52*Calculateur!DD52*VLOOKUP('Données projet'!$B$13,Paramètres!$A$1:$I$89,3,0)*0.475*44/12</f>
        <v>11.988754853542808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15.978618946689316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10.375</v>
      </c>
      <c r="DO52" s="12">
        <f>IF('Données projet'!$A$166&gt;35,DO51+DN52-DW51,IF(A52&lt;'Données projet'!$A$166,$DL$205^A52,IF(A52='Données projet'!$A$166,'Données projet'!$B$166,DO51+DN52-DW51)))</f>
        <v>238.87499999999997</v>
      </c>
      <c r="DP52" s="17">
        <f>DO52*VLOOKUP('Données projet'!$B$14,Paramètres!$A$1:$I$89,3,0)*VLOOKUP('Données projet'!$B$14,Paramètres!$A$1:$I$89,5,0)</f>
        <v>186.32249999999999</v>
      </c>
      <c r="DQ52" s="13">
        <f t="shared" si="43"/>
        <v>46.725987276254116</v>
      </c>
      <c r="DR52" s="20">
        <f t="shared" si="16"/>
        <v>405.89278200614257</v>
      </c>
      <c r="DS52" s="59">
        <f t="shared" si="17"/>
        <v>699.22611533947588</v>
      </c>
      <c r="DT52" s="59">
        <f ca="1">AVERAGE(OFFSET($DS$3,0,0,'Données projet'!$E$14+1,1))-AVERAGE(OFFSET($H$3,0,0,'Données projet'!$E$14+1,1))</f>
        <v>288.80569134263209</v>
      </c>
      <c r="DU52" s="59">
        <f t="shared" si="44"/>
        <v>283.48738729114024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11.659189252212689</v>
      </c>
      <c r="EB52" s="21">
        <f>EXP(-LN(2)/25)*EB51+(1-EXP(-LN(2)/25))/(LN(2)/25)*Calculateur!DW52*Calculateur!DY52*VLOOKUP('Données projet'!$B$14,Paramètres!$A$1:$I$89,3,0)*0.475*44/12</f>
        <v>17.110722963689199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28.76991221590189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20.507692307692299</v>
      </c>
      <c r="EJ52" s="12">
        <f>IF('Données projet'!$A$192&gt;35,EJ51+EI52-ER51,IF(A52&lt;'Données projet'!$A$192,$EG$205^A52,IF(A52='Données projet'!$A$192,'Données projet'!$B$192,EJ51+EI52-ER51)))</f>
        <v>464.26153846153835</v>
      </c>
      <c r="EK52" s="17">
        <f>EJ52*VLOOKUP('Données projet'!$B$15,Paramètres!$A$1:$I$89,3,0)*VLOOKUP('Données projet'!$B$15,Paramètres!$A$1:$I$89,5,0)</f>
        <v>259.52219999999994</v>
      </c>
      <c r="EL52" s="13">
        <f t="shared" si="45"/>
        <v>62.620519404058925</v>
      </c>
      <c r="EM52" s="20">
        <f t="shared" si="19"/>
        <v>561.06523629540254</v>
      </c>
      <c r="EN52" s="59">
        <f t="shared" si="20"/>
        <v>854.39856962873591</v>
      </c>
      <c r="EO52" s="59">
        <f ca="1">AVERAGE(OFFSET($EN$3,0,0,'Données projet'!$E$15+1,1))-AVERAGE(OFFSET($H$3,0,0,'Données projet'!$E$15+1,1))</f>
        <v>335.04906256888819</v>
      </c>
      <c r="EP52" s="59">
        <f t="shared" si="46"/>
        <v>440.84111898279554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76.591940410948766</v>
      </c>
      <c r="EW52" s="21">
        <f>EXP(-LN(2)/25)*EW51+(1-EXP(-LN(2)/25))/(LN(2)/25)*Calculateur!ER52*Calculateur!ET52*VLOOKUP('Données projet'!$B$15,Paramètres!$A$1:$I$89,3,0)*0.475*44/12</f>
        <v>23.598282567317213</v>
      </c>
      <c r="EX52" s="21">
        <f>EXP(-LN(2)/2)*EX51+(1-EXP(-LN(2)/2))/(LN(2)/2)*ER52*EU52*VLOOKUP('Données projet'!$B$15,Paramètres!$A$1:$I$89,3,0)*0.475*44/12</f>
        <v>5.4191791072290476</v>
      </c>
      <c r="EY52" s="22">
        <f t="shared" si="21"/>
        <v>105.60940208549502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10.375</v>
      </c>
      <c r="N53" s="13">
        <f>IF('Données projet'!$A$36&gt;35,N52+M53-V52,IF(A53&lt;'Données projet'!$A$36,$K$205^A53,IF(A53='Données projet'!$A$36,'Données projet'!$B$36,N52+M53-V52)))</f>
        <v>249.24999999999997</v>
      </c>
      <c r="O53" s="13">
        <f>N53*VLOOKUP('Données projet'!$B$9,Paramètres!$A$1:$I$89,3,0)*VLOOKUP('Données projet'!$B$9,Paramètres!$A$1:$I$89,5,0)</f>
        <v>202.19159999999999</v>
      </c>
      <c r="P53" s="13">
        <f t="shared" si="33"/>
        <v>50.225509144346276</v>
      </c>
      <c r="Q53" s="20">
        <f t="shared" si="53"/>
        <v>439.62646509306978</v>
      </c>
      <c r="R53" s="59">
        <f t="shared" si="0"/>
        <v>732.95979842640304</v>
      </c>
      <c r="S53" s="59">
        <f ca="1">AVERAGE(OFFSET($R$3,0,0,'Données projet'!$E$9+1,1))-AVERAGE(OFFSET($H$3,0,0,'Données projet'!$E$9+1,1))</f>
        <v>298.96480270023716</v>
      </c>
      <c r="T53" s="59">
        <f t="shared" si="34"/>
        <v>293.11447542333889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14.652382525357865</v>
      </c>
      <c r="AA53" s="21">
        <f>EXP(-LN(2)/25)*AA52+(1-EXP(-LN(2)/25))/(LN(2)/25)*Calculateur!V53*Calculateur!X53*VLOOKUP('Données projet'!$B$9,Paramètres!$A$1:$I$89,3,0)*0.475*44/12</f>
        <v>21.333784964306133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35.986167489663998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10.317307692307699</v>
      </c>
      <c r="AI53" s="13">
        <f>IF('Données projet'!$A$62&gt;35,AI52+AH53-AQ52,IF(A53&lt;'Données projet'!$A$62,$AF$205^A53,IF(A53='Données projet'!$A$62,'Données projet'!$B$62,AI52+AH53-AQ52)))</f>
        <v>162.51923076923086</v>
      </c>
      <c r="AJ53" s="13">
        <f>AI53*VLOOKUP('Données projet'!$B$10,Paramètres!$A$1:$I$89,3,0)*VLOOKUP('Données projet'!$B$10,Paramètres!$A$1:$I$89,5,0)</f>
        <v>139.4415000000001</v>
      </c>
      <c r="AK53" s="13">
        <f t="shared" si="35"/>
        <v>36.169031237831206</v>
      </c>
      <c r="AL53" s="20">
        <f t="shared" si="4"/>
        <v>305.85500857255619</v>
      </c>
      <c r="AM53" s="59">
        <f t="shared" si="5"/>
        <v>599.1883419058895</v>
      </c>
      <c r="AN53" s="59">
        <f ca="1">AVERAGE(OFFSET($AM$3,0,0,'Données projet'!$E$10+1,1))-AVERAGE(OFFSET($H$3,0,0,'Données projet'!$E$10+1,1))</f>
        <v>335.02113791949211</v>
      </c>
      <c r="AO53" s="59">
        <f t="shared" si="36"/>
        <v>222.06886429435099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10.803353687015614</v>
      </c>
      <c r="AX53" s="21">
        <f t="shared" si="6"/>
        <v>10.803353687015614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-5.6843418860808015E-14</v>
      </c>
      <c r="BE53" s="13">
        <f>BD53*VLOOKUP('Données projet'!$B$11,Paramètres!$A$1:$I$89,3,0)*VLOOKUP('Données projet'!$B$11,Paramètres!$A$1:$I$89,5,0)</f>
        <v>-3.1036506698001178E-14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207.02306964567629</v>
      </c>
      <c r="BJ53" s="59">
        <f t="shared" si="38"/>
        <v>342.06887933351783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55.323225503324807</v>
      </c>
      <c r="BQ53" s="21">
        <f>EXP(-LN(2)/25)*BQ52+(1-EXP(-LN(2)/25))/(LN(2)/25)*Calculateur!BL53*Calculateur!BN53*VLOOKUP('Données projet'!$B$11,Paramètres!$A$1:$I$89,3,0)*0.475*44/12</f>
        <v>113.62121935858404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168.94444486190883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191.36520000000004</v>
      </c>
      <c r="CA53" s="13">
        <f t="shared" si="39"/>
        <v>47.841653305605021</v>
      </c>
      <c r="CB53" s="20">
        <f t="shared" si="10"/>
        <v>416.61860284059549</v>
      </c>
      <c r="CC53" s="59">
        <f t="shared" si="11"/>
        <v>709.95193617392874</v>
      </c>
      <c r="CD53" s="59">
        <f ca="1">AVERAGE(OFFSET($CC$3,0,0,'Données projet'!$E$12+1,1))-AVERAGE(OFFSET($H$3,0,0,'Données projet'!$E$12+1,1))</f>
        <v>328.55201074501201</v>
      </c>
      <c r="CE53" s="59">
        <f t="shared" si="40"/>
        <v>321.81422611044985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0.36119999999999997</v>
      </c>
      <c r="CI53" s="16">
        <f>IF(ISNA(VLOOKUP(A53,'Données projet'!$A$113:$I$133,6,0)),0%,VLOOKUP(A53,'Données projet'!$A$113:$I$133,6,0)*VLOOKUP('Données projet'!$B$12,Paramètres!$A$1:$I$89,7,0))</f>
        <v>4.7300000000000002E-2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25.261463127157651</v>
      </c>
      <c r="CL53" s="21">
        <f>EXP(-LN(2)/25)*CL52+(1-EXP(-LN(2)/25))/(LN(2)/25)*Calculateur!CG53*Calculateur!CI53*VLOOKUP('Données projet'!$B$12,Paramètres!$A$1:$I$89,3,0)*0.475*44/12</f>
        <v>10.792452085963834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36.053915213121485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209</v>
      </c>
      <c r="CR53" s="12">
        <f>VLOOKUP(A53,'Données projet'!$A$139:$I$159,9,0)</f>
        <v>7.4</v>
      </c>
      <c r="CS53" s="12">
        <f t="array" ref="CS53">INDEX(CR:CR,MIN(IF(ISNUMBER(CR53:CR249),ROW(CR53:CR249),"")))</f>
        <v>7.4</v>
      </c>
      <c r="CT53" s="12">
        <f>IF('Données projet'!$A$140&gt;35,CT52+CS53-DB52,IF(A53&lt;'Données projet'!$A$140,$CQ$205^A53,IF(A53='Données projet'!$A$140,'Données projet'!$B$140,CT52+CS53-DB52)))</f>
        <v>209.00000000000006</v>
      </c>
      <c r="CU53" s="17">
        <f>CT53*VLOOKUP('Données projet'!$B$13,Paramètres!$A$1:$I$89,3,0)*VLOOKUP('Données projet'!$B$13,Paramètres!$A$1:$I$89,5,0)</f>
        <v>182.58240000000009</v>
      </c>
      <c r="CV53" s="13">
        <f t="shared" si="41"/>
        <v>45.896245406460288</v>
      </c>
      <c r="CW53" s="20">
        <f t="shared" si="13"/>
        <v>397.93364074958509</v>
      </c>
      <c r="CX53" s="59">
        <f t="shared" si="14"/>
        <v>691.26697408291841</v>
      </c>
      <c r="CY53" s="59">
        <f ca="1">AVERAGE(OFFSET($CX$3,0,0,'Données projet'!$E$13+1,1))-AVERAGE(OFFSET($H$3,0,0,'Données projet'!$E$13+1,1))</f>
        <v>354.24684313982857</v>
      </c>
      <c r="CZ53" s="59">
        <f t="shared" si="42"/>
        <v>322.65043486962185</v>
      </c>
      <c r="DA53" s="15">
        <f>IF(ISNA(VLOOKUP(A53,'Données projet'!$A$139:$I$159,3,0)),0,VLOOKUP(A53,'Données projet'!$A$139:$I$159,3,0))</f>
        <v>7</v>
      </c>
      <c r="DB53" s="15" t="str">
        <f>IF(ISNA(VLOOKUP(A53,'Données projet'!$A$139:$I$159,4,0)),0,VLOOKUP(A53,'Données projet'!$A$139:$I$159,4,0))</f>
        <v>24</v>
      </c>
      <c r="DC53" s="16">
        <f>IF(ISNA(VLOOKUP(A53,'Données projet'!$A$139:$I$159,5,0)),0%,VLOOKUP(A53,'Données projet'!$A$139:$I$159,5,0)*VLOOKUP('Données projet'!$B$13,Paramètres!$A$1:$I$89,7,0))</f>
        <v>0.17200000000000001</v>
      </c>
      <c r="DD53" s="16">
        <f>IF(ISNA(VLOOKUP(A53,'Données projet'!$A$139:$I$159,6,0)),0%,VLOOKUP(A53,'Données projet'!$A$139:$I$159,6,0)*VLOOKUP('Données projet'!$B$13,Paramètres!$A$1:$I$89,7,0))</f>
        <v>0.17200000000000001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7.8981955683123255</v>
      </c>
      <c r="DG53" s="21">
        <f>EXP(-LN(2)/25)*DG52+(1-EXP(-LN(2)/25))/(LN(2)/25)*Calculateur!DB53*Calculateur!DD53*VLOOKUP('Données projet'!$B$13,Paramètres!$A$1:$I$89,3,0)*0.475*44/12</f>
        <v>15.631795351886314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23.529990920198639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10.375</v>
      </c>
      <c r="DO53" s="12">
        <f>IF('Données projet'!$A$166&gt;35,DO52+DN53-DW52,IF(A53&lt;'Données projet'!$A$166,$DL$205^A53,IF(A53='Données projet'!$A$166,'Données projet'!$B$166,DO52+DN53-DW52)))</f>
        <v>249.24999999999997</v>
      </c>
      <c r="DP53" s="17">
        <f>DO53*VLOOKUP('Données projet'!$B$14,Paramètres!$A$1:$I$89,3,0)*VLOOKUP('Données projet'!$B$14,Paramètres!$A$1:$I$89,5,0)</f>
        <v>194.41499999999999</v>
      </c>
      <c r="DQ53" s="13">
        <f t="shared" si="43"/>
        <v>48.514737888684969</v>
      </c>
      <c r="DR53" s="20">
        <f t="shared" si="16"/>
        <v>423.10262682279296</v>
      </c>
      <c r="DS53" s="59">
        <f t="shared" si="17"/>
        <v>716.43596015612627</v>
      </c>
      <c r="DT53" s="59">
        <f ca="1">AVERAGE(OFFSET($DS$3,0,0,'Données projet'!$E$14+1,1))-AVERAGE(OFFSET($H$3,0,0,'Données projet'!$E$14+1,1))</f>
        <v>288.80569134263209</v>
      </c>
      <c r="DU53" s="59">
        <f t="shared" si="44"/>
        <v>283.48738729114024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11.43055966238005</v>
      </c>
      <c r="EB53" s="21">
        <f>EXP(-LN(2)/25)*EB52+(1-EXP(-LN(2)/25))/(LN(2)/25)*Calculateur!DW53*Calculateur!DY53*VLOOKUP('Données projet'!$B$14,Paramètres!$A$1:$I$89,3,0)*0.475*44/12</f>
        <v>16.642829344433302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28.07338900681335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20.507692307692299</v>
      </c>
      <c r="EJ53" s="12">
        <f>IF('Données projet'!$A$192&gt;35,EJ52+EI53-ER52,IF(A53&lt;'Données projet'!$A$192,$EG$205^A53,IF(A53='Données projet'!$A$192,'Données projet'!$B$192,EJ52+EI53-ER52)))</f>
        <v>484.76923076923066</v>
      </c>
      <c r="EK53" s="17">
        <f>EJ53*VLOOKUP('Données projet'!$B$15,Paramètres!$A$1:$I$89,3,0)*VLOOKUP('Données projet'!$B$15,Paramètres!$A$1:$I$89,5,0)</f>
        <v>270.98599999999993</v>
      </c>
      <c r="EL53" s="13">
        <f t="shared" si="45"/>
        <v>65.058478958733772</v>
      </c>
      <c r="EM53" s="20">
        <f t="shared" si="19"/>
        <v>585.27746751979453</v>
      </c>
      <c r="EN53" s="59">
        <f t="shared" si="20"/>
        <v>878.61080085312778</v>
      </c>
      <c r="EO53" s="59">
        <f ca="1">AVERAGE(OFFSET($EN$3,0,0,'Données projet'!$E$15+1,1))-AVERAGE(OFFSET($H$3,0,0,'Données projet'!$E$15+1,1))</f>
        <v>335.04906256888819</v>
      </c>
      <c r="EP53" s="59">
        <f t="shared" si="46"/>
        <v>440.84111898279554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75.090019175960848</v>
      </c>
      <c r="EW53" s="21">
        <f>EXP(-LN(2)/25)*EW52+(1-EXP(-LN(2)/25))/(LN(2)/25)*Calculateur!ER53*Calculateur!ET53*VLOOKUP('Données projet'!$B$15,Paramètres!$A$1:$I$89,3,0)*0.475*44/12</f>
        <v>22.952986289534177</v>
      </c>
      <c r="EX53" s="21">
        <f>EXP(-LN(2)/2)*EX52+(1-EXP(-LN(2)/2))/(LN(2)/2)*ER53*EU53*VLOOKUP('Données projet'!$B$15,Paramètres!$A$1:$I$89,3,0)*0.475*44/12</f>
        <v>3.8319382951861205</v>
      </c>
      <c r="EY53" s="22">
        <f t="shared" si="21"/>
        <v>101.87494376068115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10.375</v>
      </c>
      <c r="N54" s="13">
        <f>IF('Données projet'!$A$36&gt;35,N53+M54-V53,IF(A54&lt;'Données projet'!$A$36,$K$205^A54,IF(A54='Données projet'!$A$36,'Données projet'!$B$36,N53+M54-V53)))</f>
        <v>259.625</v>
      </c>
      <c r="O54" s="13">
        <f>N54*VLOOKUP('Données projet'!$B$9,Paramètres!$A$1:$I$89,3,0)*VLOOKUP('Données projet'!$B$9,Paramètres!$A$1:$I$89,5,0)</f>
        <v>210.6078</v>
      </c>
      <c r="P54" s="13">
        <f t="shared" si="33"/>
        <v>52.06838294126775</v>
      </c>
      <c r="Q54" s="20">
        <f t="shared" si="53"/>
        <v>457.49435195604133</v>
      </c>
      <c r="R54" s="59">
        <f t="shared" si="0"/>
        <v>750.82768528937459</v>
      </c>
      <c r="S54" s="59">
        <f ca="1">AVERAGE(OFFSET($R$3,0,0,'Données projet'!$E$9+1,1))-AVERAGE(OFFSET($H$3,0,0,'Données projet'!$E$9+1,1))</f>
        <v>298.96480270023716</v>
      </c>
      <c r="T54" s="59">
        <f t="shared" si="34"/>
        <v>293.11447542333889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14.365058241106475</v>
      </c>
      <c r="AA54" s="21">
        <f>EXP(-LN(2)/25)*AA53+(1-EXP(-LN(2)/25))/(LN(2)/25)*Calculateur!V54*Calculateur!X54*VLOOKUP('Données projet'!$B$9,Paramètres!$A$1:$I$89,3,0)*0.475*44/12</f>
        <v>20.75041149256219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35.115469733668661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10.317307692307699</v>
      </c>
      <c r="AI54" s="13">
        <f>IF('Données projet'!$A$62&gt;35,AI53+AH54-AQ53,IF(A54&lt;'Données projet'!$A$62,$AF$205^A54,IF(A54='Données projet'!$A$62,'Données projet'!$B$62,AI53+AH54-AQ53)))</f>
        <v>172.83653846153857</v>
      </c>
      <c r="AJ54" s="13">
        <f>AI54*VLOOKUP('Données projet'!$B$10,Paramètres!$A$1:$I$89,3,0)*VLOOKUP('Données projet'!$B$10,Paramètres!$A$1:$I$89,5,0)</f>
        <v>148.2937500000001</v>
      </c>
      <c r="AK54" s="13">
        <f t="shared" si="35"/>
        <v>38.190576391357162</v>
      </c>
      <c r="AL54" s="20">
        <f t="shared" si="4"/>
        <v>324.79353513161385</v>
      </c>
      <c r="AM54" s="59">
        <f t="shared" si="5"/>
        <v>618.12686846494717</v>
      </c>
      <c r="AN54" s="59">
        <f ca="1">AVERAGE(OFFSET($AM$3,0,0,'Données projet'!$E$10+1,1))-AVERAGE(OFFSET($H$3,0,0,'Données projet'!$E$10+1,1))</f>
        <v>335.02113791949211</v>
      </c>
      <c r="AO54" s="59">
        <f t="shared" si="36"/>
        <v>222.06886429435099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7.6391246516454316</v>
      </c>
      <c r="AX54" s="21">
        <f t="shared" si="6"/>
        <v>7.6391246516454316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-5.6843418860808015E-14</v>
      </c>
      <c r="BE54" s="13">
        <f>BD54*VLOOKUP('Données projet'!$B$11,Paramètres!$A$1:$I$89,3,0)*VLOOKUP('Données projet'!$B$11,Paramètres!$A$1:$I$89,5,0)</f>
        <v>-3.1036506698001178E-14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207.02306964567629</v>
      </c>
      <c r="BJ54" s="59">
        <f t="shared" si="38"/>
        <v>342.06887933351783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54.23837079504024</v>
      </c>
      <c r="BQ54" s="21">
        <f>EXP(-LN(2)/25)*BQ53+(1-EXP(-LN(2)/25))/(LN(2)/25)*Calculateur!BL54*Calculateur!BN54*VLOOKUP('Données projet'!$B$11,Paramètres!$A$1:$I$89,3,0)*0.475*44/12</f>
        <v>110.51424114014333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164.75261193518355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182.86008000000001</v>
      </c>
      <c r="CA54" s="13">
        <f t="shared" si="39"/>
        <v>45.957916284909473</v>
      </c>
      <c r="CB54" s="20">
        <f t="shared" si="10"/>
        <v>398.52467686288401</v>
      </c>
      <c r="CC54" s="59">
        <f t="shared" si="11"/>
        <v>691.85801019621726</v>
      </c>
      <c r="CD54" s="59">
        <f ca="1">AVERAGE(OFFSET($CC$3,0,0,'Données projet'!$E$12+1,1))-AVERAGE(OFFSET($H$3,0,0,'Données projet'!$E$12+1,1))</f>
        <v>328.55201074501201</v>
      </c>
      <c r="CE54" s="59">
        <f t="shared" si="40"/>
        <v>321.81422611044985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24.766101243205185</v>
      </c>
      <c r="CL54" s="21">
        <f>EXP(-LN(2)/25)*CL53+(1-EXP(-LN(2)/25))/(LN(2)/25)*Calculateur!CG54*Calculateur!CI54*VLOOKUP('Données projet'!$B$12,Paramètres!$A$1:$I$89,3,0)*0.475*44/12</f>
        <v>10.497331916122764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35.263433159327946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6.6</v>
      </c>
      <c r="CT54" s="12">
        <f>IF('Données projet'!$A$140&gt;35,CT53+CS54-DB53,IF(A54&lt;'Données projet'!$A$140,$CQ$205^A54,IF(A54='Données projet'!$A$140,'Données projet'!$B$140,CT53+CS54-DB53)))</f>
        <v>191.60000000000005</v>
      </c>
      <c r="CU54" s="17">
        <f>CT54*VLOOKUP('Données projet'!$B$13,Paramètres!$A$1:$I$89,3,0)*VLOOKUP('Données projet'!$B$13,Paramètres!$A$1:$I$89,5,0)</f>
        <v>167.38176000000007</v>
      </c>
      <c r="CV54" s="13">
        <f t="shared" si="41"/>
        <v>42.503096259839239</v>
      </c>
      <c r="CW54" s="20">
        <f t="shared" si="13"/>
        <v>365.5494579858867</v>
      </c>
      <c r="CX54" s="59">
        <f t="shared" si="14"/>
        <v>658.88279131922002</v>
      </c>
      <c r="CY54" s="59">
        <f ca="1">AVERAGE(OFFSET($CX$3,0,0,'Données projet'!$E$13+1,1))-AVERAGE(OFFSET($H$3,0,0,'Données projet'!$E$13+1,1))</f>
        <v>354.24684313982857</v>
      </c>
      <c r="CZ54" s="59">
        <f t="shared" si="42"/>
        <v>322.65043486962185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7.7433167706413366</v>
      </c>
      <c r="DG54" s="21">
        <f>EXP(-LN(2)/25)*DG53+(1-EXP(-LN(2)/25))/(LN(2)/25)*Calculateur!DB54*Calculateur!DD54*VLOOKUP('Données projet'!$B$13,Paramètres!$A$1:$I$89,3,0)*0.475*44/12</f>
        <v>15.204343085948592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22.947659856589929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10.375</v>
      </c>
      <c r="DO54" s="12">
        <f>IF('Données projet'!$A$166&gt;35,DO53+DN54-DW53,IF(A54&lt;'Données projet'!$A$166,$DL$205^A54,IF(A54='Données projet'!$A$166,'Données projet'!$B$166,DO53+DN54-DW53)))</f>
        <v>259.625</v>
      </c>
      <c r="DP54" s="17">
        <f>DO54*VLOOKUP('Données projet'!$B$14,Paramètres!$A$1:$I$89,3,0)*VLOOKUP('Données projet'!$B$14,Paramètres!$A$1:$I$89,5,0)</f>
        <v>202.50749999999999</v>
      </c>
      <c r="DQ54" s="13">
        <f t="shared" si="43"/>
        <v>50.294840086606349</v>
      </c>
      <c r="DR54" s="20">
        <f t="shared" si="16"/>
        <v>440.29740898417271</v>
      </c>
      <c r="DS54" s="59">
        <f t="shared" si="17"/>
        <v>733.63074231750602</v>
      </c>
      <c r="DT54" s="59">
        <f ca="1">AVERAGE(OFFSET($DS$3,0,0,'Données projet'!$E$14+1,1))-AVERAGE(OFFSET($H$3,0,0,'Données projet'!$E$14+1,1))</f>
        <v>288.80569134263209</v>
      </c>
      <c r="DU54" s="59">
        <f t="shared" si="44"/>
        <v>283.48738729114024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11.206413359353748</v>
      </c>
      <c r="EB54" s="21">
        <f>EXP(-LN(2)/25)*EB53+(1-EXP(-LN(2)/25))/(LN(2)/25)*Calculateur!DW54*Calculateur!DY54*VLOOKUP('Données projet'!$B$14,Paramètres!$A$1:$I$89,3,0)*0.475*44/12</f>
        <v>16.187730300801416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27.394143660155166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20.507692307692299</v>
      </c>
      <c r="EJ54" s="12">
        <f>IF('Données projet'!$A$192&gt;35,EJ53+EI54-ER53,IF(A54&lt;'Données projet'!$A$192,$EG$205^A54,IF(A54='Données projet'!$A$192,'Données projet'!$B$192,EJ53+EI54-ER53)))</f>
        <v>505.27692307692297</v>
      </c>
      <c r="EK54" s="17">
        <f>EJ54*VLOOKUP('Données projet'!$B$15,Paramètres!$A$1:$I$89,3,0)*VLOOKUP('Données projet'!$B$15,Paramètres!$A$1:$I$89,5,0)</f>
        <v>282.44979999999998</v>
      </c>
      <c r="EL54" s="13">
        <f t="shared" si="45"/>
        <v>67.484459274997945</v>
      </c>
      <c r="EM54" s="20">
        <f t="shared" si="19"/>
        <v>609.46883490395464</v>
      </c>
      <c r="EN54" s="59">
        <f t="shared" si="20"/>
        <v>902.80216823728802</v>
      </c>
      <c r="EO54" s="59">
        <f ca="1">AVERAGE(OFFSET($EN$3,0,0,'Données projet'!$E$15+1,1))-AVERAGE(OFFSET($H$3,0,0,'Données projet'!$E$15+1,1))</f>
        <v>335.04906256888819</v>
      </c>
      <c r="EP54" s="59">
        <f t="shared" si="46"/>
        <v>440.84111898279554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73.617549700309539</v>
      </c>
      <c r="EW54" s="21">
        <f>EXP(-LN(2)/25)*EW53+(1-EXP(-LN(2)/25))/(LN(2)/25)*Calculateur!ER54*Calculateur!ET54*VLOOKUP('Données projet'!$B$15,Paramètres!$A$1:$I$89,3,0)*0.475*44/12</f>
        <v>22.325335672401774</v>
      </c>
      <c r="EX54" s="21">
        <f>EXP(-LN(2)/2)*EX53+(1-EXP(-LN(2)/2))/(LN(2)/2)*ER54*EU54*VLOOKUP('Données projet'!$B$15,Paramètres!$A$1:$I$89,3,0)*0.475*44/12</f>
        <v>2.7095895536145242</v>
      </c>
      <c r="EY54" s="22">
        <f t="shared" si="21"/>
        <v>98.652474926325837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270</v>
      </c>
      <c r="L55" s="12">
        <f>VLOOKUP(A55,'Données projet'!$A$35:$I$55,9,0)</f>
        <v>10.375</v>
      </c>
      <c r="M55" s="12">
        <f t="array" ref="M55">INDEX(L:L,MIN(IF(ISNUMBER(L55:L251),ROW(L55:L251),"")))</f>
        <v>10.375</v>
      </c>
      <c r="N55" s="13">
        <f>IF('Données projet'!$A$36&gt;35,N54+M55-V54,IF(A55&lt;'Données projet'!$A$36,$K$205^A55,IF(A55='Données projet'!$A$36,'Données projet'!$B$36,N54+M55-V54)))</f>
        <v>270</v>
      </c>
      <c r="O55" s="13">
        <f>N55*VLOOKUP('Données projet'!$B$9,Paramètres!$A$1:$I$89,3,0)*VLOOKUP('Données projet'!$B$9,Paramètres!$A$1:$I$89,5,0)</f>
        <v>219.02400000000003</v>
      </c>
      <c r="P55" s="13">
        <f t="shared" si="33"/>
        <v>53.902702081308355</v>
      </c>
      <c r="Q55" s="20">
        <f t="shared" si="53"/>
        <v>475.34733945827878</v>
      </c>
      <c r="R55" s="59">
        <f t="shared" si="0"/>
        <v>768.6806727916121</v>
      </c>
      <c r="S55" s="59">
        <f ca="1">AVERAGE(OFFSET($R$3,0,0,'Données projet'!$E$9+1,1))-AVERAGE(OFFSET($H$3,0,0,'Données projet'!$E$9+1,1))</f>
        <v>298.96480270023716</v>
      </c>
      <c r="T55" s="59">
        <f t="shared" si="34"/>
        <v>293.11447542333889</v>
      </c>
      <c r="U55" s="15">
        <f>IF(ISNA(VLOOKUP(A55,'Données projet'!$A$35:$I$55,3,0)),0,VLOOKUP(A55,'Données projet'!$A$35:$I$55,3,0))</f>
        <v>7</v>
      </c>
      <c r="V55" s="15">
        <f>IF(ISNA(VLOOKUP(A55,'Données projet'!$A$35:$I$55,4,0)),0,VLOOKUP(A55,'Données projet'!$A$35:$I$55,4,0))</f>
        <v>49</v>
      </c>
      <c r="W55" s="16">
        <f>IF(ISNA(VLOOKUP(A55,'Données projet'!$A$35:$I$55,5,0)),0%,VLOOKUP(A55,'Données projet'!$A$35:$I$55,5,0)*VLOOKUP('Données projet'!$B$9,Paramètres!$A$1:$I$89,7,0))</f>
        <v>0.21200000000000002</v>
      </c>
      <c r="X55" s="16">
        <f>IF(ISNA(VLOOKUP(A55,'Données projet'!$A$35:$I$55,6,0)),0%,VLOOKUP(A55,'Données projet'!$A$35:$I$55,6,0)*VLOOKUP('Données projet'!$B$9,Paramètres!$A$1:$I$89,7,0))</f>
        <v>0.21200000000000002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23.398885867478363</v>
      </c>
      <c r="AA55" s="21">
        <f>EXP(-LN(2)/25)*AA54+(1-EXP(-LN(2)/25))/(LN(2)/25)*Calculateur!V55*Calculateur!X55*VLOOKUP('Données projet'!$B$9,Paramètres!$A$1:$I$89,3,0)*0.475*44/12</f>
        <v>29.461829313236208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52.860715180714571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10.317307692307699</v>
      </c>
      <c r="AI55" s="13">
        <f>IF('Données projet'!$A$62&gt;35,AI54+AH55-AQ54,IF(A55&lt;'Données projet'!$A$62,$AF$205^A55,IF(A55='Données projet'!$A$62,'Données projet'!$B$62,AI54+AH55-AQ54)))</f>
        <v>183.15384615384627</v>
      </c>
      <c r="AJ55" s="13">
        <f>AI55*VLOOKUP('Données projet'!$B$10,Paramètres!$A$1:$I$89,3,0)*VLOOKUP('Données projet'!$B$10,Paramètres!$A$1:$I$89,5,0)</f>
        <v>157.1460000000001</v>
      </c>
      <c r="AK55" s="13">
        <f t="shared" si="35"/>
        <v>40.198114980841993</v>
      </c>
      <c r="AL55" s="20">
        <f t="shared" si="4"/>
        <v>343.70766692496665</v>
      </c>
      <c r="AM55" s="59">
        <f t="shared" si="5"/>
        <v>637.04100025829996</v>
      </c>
      <c r="AN55" s="59">
        <f ca="1">AVERAGE(OFFSET($AM$3,0,0,'Données projet'!$E$10+1,1))-AVERAGE(OFFSET($H$3,0,0,'Données projet'!$E$10+1,1))</f>
        <v>335.02113791949211</v>
      </c>
      <c r="AO55" s="59">
        <f t="shared" si="36"/>
        <v>222.06886429435099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5.4016768435078077</v>
      </c>
      <c r="AX55" s="21">
        <f t="shared" si="6"/>
        <v>5.4016768435078077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-5.6843418860808015E-14</v>
      </c>
      <c r="BE55" s="13">
        <f>BD55*VLOOKUP('Données projet'!$B$11,Paramètres!$A$1:$I$89,3,0)*VLOOKUP('Données projet'!$B$11,Paramètres!$A$1:$I$89,5,0)</f>
        <v>-3.1036506698001178E-14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207.02306964567629</v>
      </c>
      <c r="BJ55" s="59">
        <f t="shared" si="38"/>
        <v>342.06887933351783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53.174789425889095</v>
      </c>
      <c r="BQ55" s="21">
        <f>EXP(-LN(2)/25)*BQ54+(1-EXP(-LN(2)/25))/(LN(2)/25)*Calculateur!BL55*Calculateur!BN55*VLOOKUP('Données projet'!$B$11,Paramètres!$A$1:$I$89,3,0)*0.475*44/12</f>
        <v>107.49222340447474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160.66701283036383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188.28576000000001</v>
      </c>
      <c r="CA55" s="13">
        <f t="shared" si="39"/>
        <v>47.160759045639651</v>
      </c>
      <c r="CB55" s="20">
        <f t="shared" si="10"/>
        <v>410.06935400448907</v>
      </c>
      <c r="CC55" s="59">
        <f t="shared" si="11"/>
        <v>703.40268733782239</v>
      </c>
      <c r="CD55" s="59">
        <f ca="1">AVERAGE(OFFSET($CC$3,0,0,'Données projet'!$E$12+1,1))-AVERAGE(OFFSET($H$3,0,0,'Données projet'!$E$12+1,1))</f>
        <v>328.55201074501201</v>
      </c>
      <c r="CE55" s="59">
        <f t="shared" si="40"/>
        <v>321.81422611044985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24.280453103656111</v>
      </c>
      <c r="CL55" s="21">
        <f>EXP(-LN(2)/25)*CL54+(1-EXP(-LN(2)/25))/(LN(2)/25)*Calculateur!CG55*Calculateur!CI55*VLOOKUP('Données projet'!$B$12,Paramètres!$A$1:$I$89,3,0)*0.475*44/12</f>
        <v>10.210281822845694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34.490734926501801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6.6</v>
      </c>
      <c r="CT55" s="12">
        <f>IF('Données projet'!$A$140&gt;35,CT54+CS55-DB54,IF(A55&lt;'Données projet'!$A$140,$CQ$205^A55,IF(A55='Données projet'!$A$140,'Données projet'!$B$140,CT54+CS55-DB54)))</f>
        <v>198.20000000000005</v>
      </c>
      <c r="CU55" s="17">
        <f>CT55*VLOOKUP('Données projet'!$B$13,Paramètres!$A$1:$I$89,3,0)*VLOOKUP('Données projet'!$B$13,Paramètres!$A$1:$I$89,5,0)</f>
        <v>173.14752000000007</v>
      </c>
      <c r="CV55" s="13">
        <f t="shared" si="41"/>
        <v>43.794208927254068</v>
      </c>
      <c r="CW55" s="20">
        <f t="shared" si="13"/>
        <v>377.84017788163425</v>
      </c>
      <c r="CX55" s="59">
        <f t="shared" si="14"/>
        <v>671.17351121496756</v>
      </c>
      <c r="CY55" s="59">
        <f ca="1">AVERAGE(OFFSET($CX$3,0,0,'Données projet'!$E$13+1,1))-AVERAGE(OFFSET($H$3,0,0,'Données projet'!$E$13+1,1))</f>
        <v>354.24684313982857</v>
      </c>
      <c r="CZ55" s="59">
        <f t="shared" si="42"/>
        <v>322.65043486962185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7.5914750517259364</v>
      </c>
      <c r="DG55" s="21">
        <f>EXP(-LN(2)/25)*DG54+(1-EXP(-LN(2)/25))/(LN(2)/25)*Calculateur!DB55*Calculateur!DD55*VLOOKUP('Données projet'!$B$13,Paramètres!$A$1:$I$89,3,0)*0.475*44/12</f>
        <v>14.788579524701674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22.380054576427611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270</v>
      </c>
      <c r="DM55" s="12">
        <f>VLOOKUP(A55,'Données projet'!$A$165:$I$185,9,0)</f>
        <v>10.375</v>
      </c>
      <c r="DN55" s="12">
        <f t="array" ref="DN55">INDEX(DM:DM,MIN(IF(ISNUMBER(DM55:DM251),ROW(DM55:DM251),"")))</f>
        <v>10.375</v>
      </c>
      <c r="DO55" s="12">
        <f>IF('Données projet'!$A$166&gt;35,DO54+DN55-DW54,IF(A55&lt;'Données projet'!$A$166,$DL$205^A55,IF(A55='Données projet'!$A$166,'Données projet'!$B$166,DO54+DN55-DW54)))</f>
        <v>270</v>
      </c>
      <c r="DP55" s="17">
        <f>DO55*VLOOKUP('Données projet'!$B$14,Paramètres!$A$1:$I$89,3,0)*VLOOKUP('Données projet'!$B$14,Paramètres!$A$1:$I$89,5,0)</f>
        <v>210.6</v>
      </c>
      <c r="DQ55" s="13">
        <f t="shared" si="43"/>
        <v>52.066679014659961</v>
      </c>
      <c r="DR55" s="20">
        <f t="shared" si="16"/>
        <v>457.47779928386609</v>
      </c>
      <c r="DS55" s="59">
        <f t="shared" si="17"/>
        <v>750.81113261719941</v>
      </c>
      <c r="DT55" s="59">
        <f ca="1">AVERAGE(OFFSET($DS$3,0,0,'Données projet'!$E$14+1,1))-AVERAGE(OFFSET($H$3,0,0,'Données projet'!$E$14+1,1))</f>
        <v>288.80569134263209</v>
      </c>
      <c r="DU55" s="59">
        <f t="shared" si="44"/>
        <v>283.48738729114024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49</v>
      </c>
      <c r="DX55" s="16">
        <f>IF(ISNA(VLOOKUP(A55,'Données projet'!$A$165:$I$185,5,0)),0%,VLOOKUP(A55,'Données projet'!$A$165:$I$185,5,0)*VLOOKUP('Données projet'!$B$14,Paramètres!$A$1:$I$89,7,0))</f>
        <v>0.17200000000000001</v>
      </c>
      <c r="DY55" s="16">
        <f>IF(ISNA(VLOOKUP(A55,'Données projet'!$A$165:$I$185,6,0)),0%,VLOOKUP(A55,'Données projet'!$A$165:$I$185,6,0)*VLOOKUP('Données projet'!$B$14,Paramètres!$A$1:$I$89,7,0))</f>
        <v>0.17200000000000001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18.253847828402936</v>
      </c>
      <c r="EB55" s="21">
        <f>EXP(-LN(2)/25)*EB54+(1-EXP(-LN(2)/25))/(LN(2)/25)*Calculateur!DW55*Calculateur!DY55*VLOOKUP('Données projet'!$B$14,Paramètres!$A$1:$I$89,3,0)*0.475*44/12</f>
        <v>22.983647686305456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41.237495514708392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20.507692307692299</v>
      </c>
      <c r="EJ55" s="12">
        <f>IF('Données projet'!$A$192&gt;35,EJ54+EI55-ER54,IF(A55&lt;'Données projet'!$A$192,$EG$205^A55,IF(A55='Données projet'!$A$192,'Données projet'!$B$192,EJ54+EI55-ER54)))</f>
        <v>525.78461538461522</v>
      </c>
      <c r="EK55" s="17">
        <f>EJ55*VLOOKUP('Données projet'!$B$15,Paramètres!$A$1:$I$89,3,0)*VLOOKUP('Données projet'!$B$15,Paramètres!$A$1:$I$89,5,0)</f>
        <v>293.91359999999992</v>
      </c>
      <c r="EL55" s="13">
        <f t="shared" si="45"/>
        <v>69.899002171586702</v>
      </c>
      <c r="EM55" s="20">
        <f t="shared" si="19"/>
        <v>633.64028211551329</v>
      </c>
      <c r="EN55" s="59">
        <f t="shared" si="20"/>
        <v>926.97361544884666</v>
      </c>
      <c r="EO55" s="59">
        <f ca="1">AVERAGE(OFFSET($EN$3,0,0,'Données projet'!$E$15+1,1))-AVERAGE(OFFSET($H$3,0,0,'Données projet'!$E$15+1,1))</f>
        <v>335.04906256888819</v>
      </c>
      <c r="EP55" s="59">
        <f t="shared" si="46"/>
        <v>440.84111898279554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72.173954452958057</v>
      </c>
      <c r="EW55" s="21">
        <f>EXP(-LN(2)/25)*EW54+(1-EXP(-LN(2)/25))/(LN(2)/25)*Calculateur!ER55*Calculateur!ET55*VLOOKUP('Données projet'!$B$15,Paramètres!$A$1:$I$89,3,0)*0.475*44/12</f>
        <v>21.714848194401569</v>
      </c>
      <c r="EX55" s="21">
        <f>EXP(-LN(2)/2)*EX54+(1-EXP(-LN(2)/2))/(LN(2)/2)*ER55*EU55*VLOOKUP('Données projet'!$B$15,Paramètres!$A$1:$I$89,3,0)*0.475*44/12</f>
        <v>1.9159691475930605</v>
      </c>
      <c r="EY55" s="22">
        <f t="shared" si="21"/>
        <v>95.804771794952686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</v>
      </c>
      <c r="N56" s="13">
        <f>IF('Données projet'!$A$36&gt;35,N55+M56-V55,IF(A56&lt;'Données projet'!$A$36,$K$205^A56,IF(A56='Données projet'!$A$36,'Données projet'!$B$36,N55+M56-V55)))</f>
        <v>230.5</v>
      </c>
      <c r="O56" s="13">
        <f>N56*VLOOKUP('Données projet'!$B$9,Paramètres!$A$1:$I$89,3,0)*VLOOKUP('Données projet'!$B$9,Paramètres!$A$1:$I$89,5,0)</f>
        <v>186.98160000000001</v>
      </c>
      <c r="P56" s="13">
        <f t="shared" si="33"/>
        <v>46.872006790472206</v>
      </c>
      <c r="Q56" s="20">
        <f t="shared" si="53"/>
        <v>407.29503182673903</v>
      </c>
      <c r="R56" s="59">
        <f t="shared" si="0"/>
        <v>700.62836516007235</v>
      </c>
      <c r="S56" s="59">
        <f ca="1">AVERAGE(OFFSET($R$3,0,0,'Données projet'!$E$9+1,1))-AVERAGE(OFFSET($H$3,0,0,'Données projet'!$E$9+1,1))</f>
        <v>298.96480270023716</v>
      </c>
      <c r="T56" s="59">
        <f t="shared" si="34"/>
        <v>293.11447542333889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22.940047987528256</v>
      </c>
      <c r="AA56" s="21">
        <f>EXP(-LN(2)/25)*AA55+(1-EXP(-LN(2)/25))/(LN(2)/25)*Calculateur!V56*Calculateur!X56*VLOOKUP('Données projet'!$B$9,Paramètres!$A$1:$I$89,3,0)*0.475*44/12</f>
        <v>28.656194041335496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51.596242028863756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10.317307692307699</v>
      </c>
      <c r="AI56" s="13">
        <f>IF('Données projet'!$A$62&gt;35,AI55+AH56-AQ55,IF(A56&lt;'Données projet'!$A$62,$AF$205^A56,IF(A56='Données projet'!$A$62,'Données projet'!$B$62,AI55+AH56-AQ55)))</f>
        <v>193.47115384615398</v>
      </c>
      <c r="AJ56" s="13">
        <f>AI56*VLOOKUP('Données projet'!$B$10,Paramètres!$A$1:$I$89,3,0)*VLOOKUP('Données projet'!$B$10,Paramètres!$A$1:$I$89,5,0)</f>
        <v>165.99825000000013</v>
      </c>
      <c r="AK56" s="13">
        <f t="shared" si="35"/>
        <v>42.192525929577521</v>
      </c>
      <c r="AL56" s="20">
        <f t="shared" si="4"/>
        <v>362.59893474401434</v>
      </c>
      <c r="AM56" s="59">
        <f t="shared" si="5"/>
        <v>655.93226807734766</v>
      </c>
      <c r="AN56" s="59">
        <f ca="1">AVERAGE(OFFSET($AM$3,0,0,'Données projet'!$E$10+1,1))-AVERAGE(OFFSET($H$3,0,0,'Données projet'!$E$10+1,1))</f>
        <v>335.02113791949211</v>
      </c>
      <c r="AO56" s="59">
        <f t="shared" si="36"/>
        <v>222.06886429435099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3.8195623258227163</v>
      </c>
      <c r="AX56" s="21">
        <f t="shared" si="6"/>
        <v>3.8195623258227163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-5.6843418860808015E-14</v>
      </c>
      <c r="BE56" s="13">
        <f>BD56*VLOOKUP('Données projet'!$B$11,Paramètres!$A$1:$I$89,3,0)*VLOOKUP('Données projet'!$B$11,Paramètres!$A$1:$I$89,5,0)</f>
        <v>-3.1036506698001178E-14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207.02306964567629</v>
      </c>
      <c r="BJ56" s="59">
        <f t="shared" si="38"/>
        <v>342.06887933351783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52.132064238666423</v>
      </c>
      <c r="BQ56" s="21">
        <f>EXP(-LN(2)/25)*BQ55+(1-EXP(-LN(2)/25))/(LN(2)/25)*Calculateur!BL56*Calculateur!BN56*VLOOKUP('Données projet'!$B$11,Paramètres!$A$1:$I$89,3,0)*0.475*44/12</f>
        <v>104.55284290270903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156.68490714137545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193.71143999999998</v>
      </c>
      <c r="CA56" s="13">
        <f t="shared" si="39"/>
        <v>48.359573394195209</v>
      </c>
      <c r="CB56" s="20">
        <f t="shared" si="10"/>
        <v>421.60701499488988</v>
      </c>
      <c r="CC56" s="59">
        <f t="shared" si="11"/>
        <v>714.94034832822319</v>
      </c>
      <c r="CD56" s="59">
        <f ca="1">AVERAGE(OFFSET($CC$3,0,0,'Données projet'!$E$12+1,1))-AVERAGE(OFFSET($H$3,0,0,'Données projet'!$E$12+1,1))</f>
        <v>328.55201074501201</v>
      </c>
      <c r="CE56" s="59">
        <f t="shared" si="40"/>
        <v>321.81422611044985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23.804328227907479</v>
      </c>
      <c r="CL56" s="21">
        <f>EXP(-LN(2)/25)*CL55+(1-EXP(-LN(2)/25))/(LN(2)/25)*Calculateur!CG56*Calculateur!CI56*VLOOKUP('Données projet'!$B$12,Paramètres!$A$1:$I$89,3,0)*0.475*44/12</f>
        <v>9.9310811294645926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33.73540935737207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6.6</v>
      </c>
      <c r="CT56" s="12">
        <f>IF('Données projet'!$A$140&gt;35,CT55+CS56-DB55,IF(A56&lt;'Données projet'!$A$140,$CQ$205^A56,IF(A56='Données projet'!$A$140,'Données projet'!$B$140,CT55+CS56-DB55)))</f>
        <v>204.80000000000004</v>
      </c>
      <c r="CU56" s="17">
        <f>CT56*VLOOKUP('Données projet'!$B$13,Paramètres!$A$1:$I$89,3,0)*VLOOKUP('Données projet'!$B$13,Paramètres!$A$1:$I$89,5,0)</f>
        <v>178.91328000000004</v>
      </c>
      <c r="CV56" s="13">
        <f t="shared" si="41"/>
        <v>45.080325843494848</v>
      </c>
      <c r="CW56" s="20">
        <f t="shared" si="13"/>
        <v>390.12219684408689</v>
      </c>
      <c r="CX56" s="59">
        <f t="shared" si="14"/>
        <v>683.4555301774202</v>
      </c>
      <c r="CY56" s="59">
        <f ca="1">AVERAGE(OFFSET($CX$3,0,0,'Données projet'!$E$13+1,1))-AVERAGE(OFFSET($H$3,0,0,'Données projet'!$E$13+1,1))</f>
        <v>354.24684313982857</v>
      </c>
      <c r="CZ56" s="59">
        <f t="shared" si="42"/>
        <v>322.65043486962185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7.4426108563041637</v>
      </c>
      <c r="DG56" s="21">
        <f>EXP(-LN(2)/25)*DG55+(1-EXP(-LN(2)/25))/(LN(2)/25)*Calculateur!DB56*Calculateur!DD56*VLOOKUP('Données projet'!$B$13,Paramètres!$A$1:$I$89,3,0)*0.475*44/12</f>
        <v>14.38418503990111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21.826795896205276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9.5</v>
      </c>
      <c r="DO56" s="12">
        <f>IF('Données projet'!$A$166&gt;35,DO55+DN56-DW55,IF(A56&lt;'Données projet'!$A$166,$DL$205^A56,IF(A56='Données projet'!$A$166,'Données projet'!$B$166,DO55+DN56-DW55)))</f>
        <v>230.5</v>
      </c>
      <c r="DP56" s="17">
        <f>DO56*VLOOKUP('Données projet'!$B$14,Paramètres!$A$1:$I$89,3,0)*VLOOKUP('Données projet'!$B$14,Paramètres!$A$1:$I$89,5,0)</f>
        <v>179.79</v>
      </c>
      <c r="DQ56" s="13">
        <f t="shared" si="43"/>
        <v>45.275461861841535</v>
      </c>
      <c r="DR56" s="20">
        <f t="shared" si="16"/>
        <v>391.9890127427073</v>
      </c>
      <c r="DS56" s="59">
        <f t="shared" si="17"/>
        <v>685.32234607604062</v>
      </c>
      <c r="DT56" s="59">
        <f ca="1">AVERAGE(OFFSET($DS$3,0,0,'Données projet'!$E$14+1,1))-AVERAGE(OFFSET($H$3,0,0,'Données projet'!$E$14+1,1))</f>
        <v>288.80569134263209</v>
      </c>
      <c r="DU56" s="59">
        <f t="shared" si="44"/>
        <v>283.48738729114024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17.895901006235764</v>
      </c>
      <c r="EB56" s="21">
        <f>EXP(-LN(2)/25)*EB55+(1-EXP(-LN(2)/25))/(LN(2)/25)*Calculateur!DW56*Calculateur!DY56*VLOOKUP('Données projet'!$B$14,Paramètres!$A$1:$I$89,3,0)*0.475*44/12</f>
        <v>22.355158631665933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40.251059637901697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20.507692307692299</v>
      </c>
      <c r="EJ56" s="12">
        <f>IF('Données projet'!$A$192&gt;35,EJ55+EI56-ER55,IF(A56&lt;'Données projet'!$A$192,$EG$205^A56,IF(A56='Données projet'!$A$192,'Données projet'!$B$192,EJ55+EI56-ER55)))</f>
        <v>546.29230769230753</v>
      </c>
      <c r="EK56" s="17">
        <f>EJ56*VLOOKUP('Données projet'!$B$15,Paramètres!$A$1:$I$89,3,0)*VLOOKUP('Données projet'!$B$15,Paramètres!$A$1:$I$89,5,0)</f>
        <v>305.37739999999991</v>
      </c>
      <c r="EL56" s="13">
        <f t="shared" si="45"/>
        <v>72.302604807906476</v>
      </c>
      <c r="EM56" s="20">
        <f t="shared" si="19"/>
        <v>657.79267504043685</v>
      </c>
      <c r="EN56" s="59">
        <f t="shared" si="20"/>
        <v>951.12600837377022</v>
      </c>
      <c r="EO56" s="59">
        <f ca="1">AVERAGE(OFFSET($EN$3,0,0,'Données projet'!$E$15+1,1))-AVERAGE(OFFSET($H$3,0,0,'Données projet'!$E$15+1,1))</f>
        <v>335.04906256888819</v>
      </c>
      <c r="EP56" s="59">
        <f t="shared" si="46"/>
        <v>440.84111898279554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70.758667227900972</v>
      </c>
      <c r="EW56" s="21">
        <f>EXP(-LN(2)/25)*EW55+(1-EXP(-LN(2)/25))/(LN(2)/25)*Calculateur!ER56*Calculateur!ET56*VLOOKUP('Données projet'!$B$15,Paramètres!$A$1:$I$89,3,0)*0.475*44/12</f>
        <v>21.121054528591422</v>
      </c>
      <c r="EX56" s="21">
        <f>EXP(-LN(2)/2)*EX55+(1-EXP(-LN(2)/2))/(LN(2)/2)*ER56*EU56*VLOOKUP('Données projet'!$B$15,Paramètres!$A$1:$I$89,3,0)*0.475*44/12</f>
        <v>1.3547947768072623</v>
      </c>
      <c r="EY56" s="22">
        <f t="shared" si="21"/>
        <v>93.234516533299654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</v>
      </c>
      <c r="N57" s="13">
        <f>IF('Données projet'!$A$36&gt;35,N56+M57-V56,IF(A57&lt;'Données projet'!$A$36,$K$205^A57,IF(A57='Données projet'!$A$36,'Données projet'!$B$36,N56+M57-V56)))</f>
        <v>240</v>
      </c>
      <c r="O57" s="13">
        <f>N57*VLOOKUP('Données projet'!$B$9,Paramètres!$A$1:$I$89,3,0)*VLOOKUP('Données projet'!$B$9,Paramètres!$A$1:$I$89,5,0)</f>
        <v>194.68800000000002</v>
      </c>
      <c r="P57" s="13">
        <f t="shared" si="33"/>
        <v>48.574928228914978</v>
      </c>
      <c r="Q57" s="20">
        <f t="shared" si="53"/>
        <v>423.68293333202695</v>
      </c>
      <c r="R57" s="59">
        <f t="shared" si="0"/>
        <v>717.01626666536026</v>
      </c>
      <c r="S57" s="59">
        <f ca="1">AVERAGE(OFFSET($R$3,0,0,'Données projet'!$E$9+1,1))-AVERAGE(OFFSET($H$3,0,0,'Données projet'!$E$9+1,1))</f>
        <v>298.96480270023716</v>
      </c>
      <c r="T57" s="59">
        <f t="shared" si="34"/>
        <v>293.11447542333889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22.4902076385405</v>
      </c>
      <c r="AA57" s="21">
        <f>EXP(-LN(2)/25)*AA56+(1-EXP(-LN(2)/25))/(LN(2)/25)*Calculateur!V57*Calculateur!X57*VLOOKUP('Données projet'!$B$9,Paramètres!$A$1:$I$89,3,0)*0.475*44/12</f>
        <v>27.872588908311428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50.362796546851925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203.78846153846155</v>
      </c>
      <c r="AG57" s="12">
        <f>VLOOKUP(A57,'Données projet'!$A$61:$I$81,9,0)</f>
        <v>10.317307692307699</v>
      </c>
      <c r="AH57" s="12">
        <f t="array" ref="AH57">INDEX(AG:AG,MIN(IF(ISNUMBER(AG57:AG253),ROW(AG57:AG253),"")))</f>
        <v>10.317307692307699</v>
      </c>
      <c r="AI57" s="13">
        <f>IF('Données projet'!$A$62&gt;35,AI56+AH57-AQ56,IF(A57&lt;'Données projet'!$A$62,$AF$205^A57,IF(A57='Données projet'!$A$62,'Données projet'!$B$62,AI56+AH57-AQ56)))</f>
        <v>203.78846153846169</v>
      </c>
      <c r="AJ57" s="13">
        <f>AI57*VLOOKUP('Données projet'!$B$10,Paramètres!$A$1:$I$89,3,0)*VLOOKUP('Données projet'!$B$10,Paramètres!$A$1:$I$89,5,0)</f>
        <v>174.85050000000015</v>
      </c>
      <c r="AK57" s="13">
        <f t="shared" si="35"/>
        <v>44.174589125143505</v>
      </c>
      <c r="AL57" s="20">
        <f t="shared" si="4"/>
        <v>381.46869689295846</v>
      </c>
      <c r="AM57" s="59">
        <f t="shared" si="5"/>
        <v>674.80203022629178</v>
      </c>
      <c r="AN57" s="59">
        <f ca="1">AVERAGE(OFFSET($AM$3,0,0,'Données projet'!$E$10+1,1))-AVERAGE(OFFSET($H$3,0,0,'Données projet'!$E$10+1,1))</f>
        <v>335.02113791949211</v>
      </c>
      <c r="AO57" s="59">
        <f t="shared" si="36"/>
        <v>222.06886429435099</v>
      </c>
      <c r="AP57" s="15">
        <f>IF(ISNA(VLOOKUP(A57,'Données projet'!$A$61:$I$81,3,0)),0,VLOOKUP(A57,'Données projet'!$A$61:$I$81,3,0))</f>
        <v>3</v>
      </c>
      <c r="AQ57" s="15">
        <f>IF(ISNA(VLOOKUP(A57,'Données projet'!$A$61:$I$81,4,0)),0,VLOOKUP(A57,'Données projet'!$A$61:$I$81,4,0))</f>
        <v>47.025641025641022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0.21200000000000002</v>
      </c>
      <c r="AT57" s="16">
        <f>IF(ISNA(VLOOKUP(A57,'Données projet'!$A$61:$I$81,7,0)),0%,VLOOKUP(A57,'Données projet'!$A$61:$I$81,7,0))</f>
        <v>0.3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9.4187143387553771</v>
      </c>
      <c r="AW57" s="21">
        <f>EXP(-LN(2)/2)*AW56+(1-EXP(-LN(2)/2))/(LN(2)/2)*AQ57*AT57*VLOOKUP('Données projet'!$B$10,Paramètres!$A$1:$I$89,3,0)*0.475*44/12</f>
        <v>14.121665606903365</v>
      </c>
      <c r="AX57" s="21">
        <f t="shared" si="6"/>
        <v>23.540379945658742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-5.6843418860808015E-14</v>
      </c>
      <c r="BE57" s="13">
        <f>BD57*VLOOKUP('Données projet'!$B$11,Paramètres!$A$1:$I$89,3,0)*VLOOKUP('Données projet'!$B$11,Paramètres!$A$1:$I$89,5,0)</f>
        <v>-3.1036506698001178E-14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207.02306964567629</v>
      </c>
      <c r="BJ57" s="59">
        <f t="shared" si="38"/>
        <v>342.06887933351783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51.109786256365624</v>
      </c>
      <c r="BQ57" s="21">
        <f>EXP(-LN(2)/25)*BQ56+(1-EXP(-LN(2)/25))/(LN(2)/25)*Calculateur!BL57*Calculateur!BN57*VLOOKUP('Données projet'!$B$11,Paramètres!$A$1:$I$89,3,0)*0.475*44/12</f>
        <v>101.69383991533941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152.80362617170505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199.13711999999995</v>
      </c>
      <c r="CA57" s="13">
        <f t="shared" si="39"/>
        <v>49.554485124576232</v>
      </c>
      <c r="CB57" s="20">
        <f t="shared" si="10"/>
        <v>433.13787892530354</v>
      </c>
      <c r="CC57" s="59">
        <f t="shared" si="11"/>
        <v>726.4712122586368</v>
      </c>
      <c r="CD57" s="59">
        <f ca="1">AVERAGE(OFFSET($CC$3,0,0,'Données projet'!$E$12+1,1))-AVERAGE(OFFSET($H$3,0,0,'Données projet'!$E$12+1,1))</f>
        <v>328.55201074501201</v>
      </c>
      <c r="CE57" s="59">
        <f t="shared" si="40"/>
        <v>321.81422611044985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23.337539870564779</v>
      </c>
      <c r="CL57" s="21">
        <f>EXP(-LN(2)/25)*CL56+(1-EXP(-LN(2)/25))/(LN(2)/25)*Calculateur!CG57*Calculateur!CI57*VLOOKUP('Données projet'!$B$12,Paramètres!$A$1:$I$89,3,0)*0.475*44/12</f>
        <v>9.6595151937265253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32.997055064291303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6.6</v>
      </c>
      <c r="CT57" s="12">
        <f>IF('Données projet'!$A$140&gt;35,CT56+CS57-DB56,IF(A57&lt;'Données projet'!$A$140,$CQ$205^A57,IF(A57='Données projet'!$A$140,'Données projet'!$B$140,CT56+CS57-DB56)))</f>
        <v>211.40000000000003</v>
      </c>
      <c r="CU57" s="17">
        <f>CT57*VLOOKUP('Données projet'!$B$13,Paramètres!$A$1:$I$89,3,0)*VLOOKUP('Données projet'!$B$13,Paramètres!$A$1:$I$89,5,0)</f>
        <v>184.67904000000004</v>
      </c>
      <c r="CV57" s="13">
        <f t="shared" si="41"/>
        <v>46.361626470742223</v>
      </c>
      <c r="CW57" s="20">
        <f t="shared" si="13"/>
        <v>402.39582743654279</v>
      </c>
      <c r="CX57" s="59">
        <f t="shared" si="14"/>
        <v>695.7291607698761</v>
      </c>
      <c r="CY57" s="59">
        <f ca="1">AVERAGE(OFFSET($CX$3,0,0,'Données projet'!$E$13+1,1))-AVERAGE(OFFSET($H$3,0,0,'Données projet'!$E$13+1,1))</f>
        <v>354.24684313982857</v>
      </c>
      <c r="CZ57" s="59">
        <f t="shared" si="42"/>
        <v>322.65043486962185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7.296665796956419</v>
      </c>
      <c r="DG57" s="21">
        <f>EXP(-LN(2)/25)*DG56+(1-EXP(-LN(2)/25))/(LN(2)/25)*Calculateur!DB57*Calculateur!DD57*VLOOKUP('Données projet'!$B$13,Paramètres!$A$1:$I$89,3,0)*0.475*44/12</f>
        <v>13.990848743553599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21.287514540510017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9.5</v>
      </c>
      <c r="DO57" s="12">
        <f>IF('Données projet'!$A$166&gt;35,DO56+DN57-DW56,IF(A57&lt;'Données projet'!$A$166,$DL$205^A57,IF(A57='Données projet'!$A$166,'Données projet'!$B$166,DO56+DN57-DW56)))</f>
        <v>240</v>
      </c>
      <c r="DP57" s="17">
        <f>DO57*VLOOKUP('Données projet'!$B$14,Paramètres!$A$1:$I$89,3,0)*VLOOKUP('Données projet'!$B$14,Paramètres!$A$1:$I$89,5,0)</f>
        <v>187.20000000000002</v>
      </c>
      <c r="DQ57" s="13">
        <f t="shared" si="43"/>
        <v>46.920378730551299</v>
      </c>
      <c r="DR57" s="20">
        <f t="shared" si="16"/>
        <v>407.75965962237683</v>
      </c>
      <c r="DS57" s="59">
        <f t="shared" si="17"/>
        <v>701.09299295571009</v>
      </c>
      <c r="DT57" s="59">
        <f ca="1">AVERAGE(OFFSET($DS$3,0,0,'Données projet'!$E$14+1,1))-AVERAGE(OFFSET($H$3,0,0,'Données projet'!$E$14+1,1))</f>
        <v>288.80569134263209</v>
      </c>
      <c r="DU57" s="59">
        <f t="shared" si="44"/>
        <v>283.48738729114024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17.544973302925285</v>
      </c>
      <c r="EB57" s="21">
        <f>EXP(-LN(2)/25)*EB56+(1-EXP(-LN(2)/25))/(LN(2)/25)*Calculateur!DW57*Calculateur!DY57*VLOOKUP('Données projet'!$B$14,Paramètres!$A$1:$I$89,3,0)*0.475*44/12</f>
        <v>21.74385564327633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39.288828946201619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566.79999999999995</v>
      </c>
      <c r="EH57" s="12">
        <f>VLOOKUP(A57,'Données projet'!$A$191:$I$211,9,0)</f>
        <v>20.507692307692299</v>
      </c>
      <c r="EI57" s="12">
        <f t="array" ref="EI57">INDEX(EH:EH,MIN(IF(ISNUMBER(EH57:EH253),ROW(EH57:EH253),"")))</f>
        <v>20.507692307692299</v>
      </c>
      <c r="EJ57" s="12">
        <f>IF('Données projet'!$A$192&gt;35,EJ56+EI57-ER56,IF(A57&lt;'Données projet'!$A$192,$EG$205^A57,IF(A57='Données projet'!$A$192,'Données projet'!$B$192,EJ56+EI57-ER56)))</f>
        <v>566.79999999999984</v>
      </c>
      <c r="EK57" s="17">
        <f>EJ57*VLOOKUP('Données projet'!$B$15,Paramètres!$A$1:$I$89,3,0)*VLOOKUP('Données projet'!$B$15,Paramètres!$A$1:$I$89,5,0)</f>
        <v>316.8411999999999</v>
      </c>
      <c r="EL57" s="13">
        <f t="shared" si="45"/>
        <v>74.695724902330795</v>
      </c>
      <c r="EM57" s="20">
        <f t="shared" si="19"/>
        <v>681.92681087155927</v>
      </c>
      <c r="EN57" s="59">
        <f t="shared" si="20"/>
        <v>975.26014420489264</v>
      </c>
      <c r="EO57" s="59">
        <f ca="1">AVERAGE(OFFSET($EN$3,0,0,'Données projet'!$E$15+1,1))-AVERAGE(OFFSET($H$3,0,0,'Données projet'!$E$15+1,1))</f>
        <v>335.04906256888819</v>
      </c>
      <c r="EP57" s="59">
        <f t="shared" si="46"/>
        <v>440.84111898279554</v>
      </c>
      <c r="EQ57" s="15">
        <f>IF(ISNA(VLOOKUP(A57,'Données projet'!$A$191:$I$211,3,0)),0,VLOOKUP(A57,'Données projet'!$A$191:$I$211,3,0))</f>
        <v>7</v>
      </c>
      <c r="ER57" s="15">
        <f>IF(ISNA(VLOOKUP(A57,'Données projet'!$A$191:$I$211,4,0)),0,VLOOKUP(A57,'Données projet'!$A$191:$I$211,4,0))</f>
        <v>566.79999999999995</v>
      </c>
      <c r="ES57" s="16">
        <f>IF(ISNA(VLOOKUP(A57,'Données projet'!$A$191:$I$211,5,0)),0%,VLOOKUP(A57,'Données projet'!$A$191:$I$211,5,0)*VLOOKUP('Données projet'!$B$15,Paramètres!$A$1:$I$89,7,0))</f>
        <v>0.38500000000000001</v>
      </c>
      <c r="ET57" s="16">
        <f>IF(ISNA(VLOOKUP(A57,'Données projet'!$A$191:$I$211,6,0)),0%,VLOOKUP(A57,'Données projet'!$A$191:$I$211,6,0)*VLOOKUP('Données projet'!$B$15,Paramètres!$A$1:$I$89,7,0))</f>
        <v>9.240000000000001E-2</v>
      </c>
      <c r="EU57" s="16">
        <f>IF(ISNA(VLOOKUP(A57,'Données projet'!$A$191:$I$211,7,0)),0%,VLOOKUP(A57,'Données projet'!$A$191:$I$211,7,0))</f>
        <v>0.13200000000000001</v>
      </c>
      <c r="EV57" s="21">
        <f>EXP(-LN(2)/35)*EV56+(1-EXP(-LN(2)/35))/(LN(2)/35)*ER57*ES57*VLOOKUP('Données projet'!$B$15,Paramètres!$A$1:$I$89,3,0)*0.475*44/12</f>
        <v>231.19058838852931</v>
      </c>
      <c r="EW57" s="21">
        <f>EXP(-LN(2)/25)*EW56+(1-EXP(-LN(2)/25))/(LN(2)/25)*Calculateur!ER57*Calculateur!ET57*VLOOKUP('Données projet'!$B$15,Paramètres!$A$1:$I$89,3,0)*0.475*44/12</f>
        <v>59.227252728732921</v>
      </c>
      <c r="EX57" s="21">
        <f>EXP(-LN(2)/2)*EX56+(1-EXP(-LN(2)/2))/(LN(2)/2)*ER57*EU57*VLOOKUP('Données projet'!$B$15,Paramètres!$A$1:$I$89,3,0)*0.475*44/12</f>
        <v>48.311379430966142</v>
      </c>
      <c r="EY57" s="22">
        <f t="shared" si="21"/>
        <v>338.7292205482284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</v>
      </c>
      <c r="N58" s="13">
        <f>IF('Données projet'!$A$36&gt;35,N57+M58-V57,IF(A58&lt;'Données projet'!$A$36,$K$205^A58,IF(A58='Données projet'!$A$36,'Données projet'!$B$36,N57+M58-V57)))</f>
        <v>249.5</v>
      </c>
      <c r="O58" s="13">
        <f>N58*VLOOKUP('Données projet'!$B$9,Paramètres!$A$1:$I$89,3,0)*VLOOKUP('Données projet'!$B$9,Paramètres!$A$1:$I$89,5,0)</f>
        <v>202.39440000000002</v>
      </c>
      <c r="P58" s="13">
        <f t="shared" si="33"/>
        <v>50.270019345150196</v>
      </c>
      <c r="Q58" s="20">
        <f t="shared" si="53"/>
        <v>440.05719702613652</v>
      </c>
      <c r="R58" s="59">
        <f t="shared" si="0"/>
        <v>733.39053035946984</v>
      </c>
      <c r="S58" s="59">
        <f ca="1">AVERAGE(OFFSET($R$3,0,0,'Données projet'!$E$9+1,1))-AVERAGE(OFFSET($H$3,0,0,'Données projet'!$E$9+1,1))</f>
        <v>298.96480270023716</v>
      </c>
      <c r="T58" s="59">
        <f t="shared" si="34"/>
        <v>293.11447542333889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22.049188384420873</v>
      </c>
      <c r="AA58" s="21">
        <f>EXP(-LN(2)/25)*AA57+(1-EXP(-LN(2)/25))/(LN(2)/25)*Calculateur!V58*Calculateur!X58*VLOOKUP('Données projet'!$B$9,Paramètres!$A$1:$I$89,3,0)*0.475*44/12</f>
        <v>27.110411498857903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49.159599883278773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9.7393162393162402</v>
      </c>
      <c r="AI58" s="13">
        <f>IF('Données projet'!$A$62&gt;35,AI57+AH58-AQ57,IF(A58&lt;'Données projet'!$A$62,$AF$205^A58,IF(A58='Données projet'!$A$62,'Données projet'!$B$62,AI57+AH58-AQ57)))</f>
        <v>166.50213675213692</v>
      </c>
      <c r="AJ58" s="13">
        <f>AI58*VLOOKUP('Données projet'!$B$10,Paramètres!$A$1:$I$89,3,0)*VLOOKUP('Données projet'!$B$10,Paramètres!$A$1:$I$89,5,0)</f>
        <v>142.85883333333351</v>
      </c>
      <c r="AK58" s="13">
        <f t="shared" si="35"/>
        <v>36.951151575062688</v>
      </c>
      <c r="AL58" s="20">
        <f t="shared" si="4"/>
        <v>313.16905704879002</v>
      </c>
      <c r="AM58" s="59">
        <f t="shared" si="5"/>
        <v>606.50239038212339</v>
      </c>
      <c r="AN58" s="59">
        <f ca="1">AVERAGE(OFFSET($AM$3,0,0,'Données projet'!$E$10+1,1))-AVERAGE(OFFSET($H$3,0,0,'Données projet'!$E$10+1,1))</f>
        <v>335.02113791949211</v>
      </c>
      <c r="AO58" s="59">
        <f t="shared" si="36"/>
        <v>222.06886429435099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9.1611590998534513</v>
      </c>
      <c r="AW58" s="21">
        <f>EXP(-LN(2)/2)*AW57+(1-EXP(-LN(2)/2))/(LN(2)/2)*AQ58*AT58*VLOOKUP('Données projet'!$B$10,Paramètres!$A$1:$I$89,3,0)*0.475*44/12</f>
        <v>9.9855255122902129</v>
      </c>
      <c r="AX58" s="21">
        <f t="shared" si="6"/>
        <v>19.146684612143666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-5.6843418860808015E-14</v>
      </c>
      <c r="BE58" s="13">
        <f>BD58*VLOOKUP('Données projet'!$B$11,Paramètres!$A$1:$I$89,3,0)*VLOOKUP('Données projet'!$B$11,Paramètres!$A$1:$I$89,5,0)</f>
        <v>-3.1036506698001178E-14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207.02306964567629</v>
      </c>
      <c r="BJ58" s="59">
        <f t="shared" si="38"/>
        <v>342.06887933351783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50.107554521769742</v>
      </c>
      <c r="BQ58" s="21">
        <f>EXP(-LN(2)/25)*BQ57+(1-EXP(-LN(2)/25))/(LN(2)/25)*Calculateur!BL58*Calculateur!BN58*VLOOKUP('Données projet'!$B$11,Paramètres!$A$1:$I$89,3,0)*0.475*44/12</f>
        <v>98.91301651500784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149.0205710367776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204.56279999999995</v>
      </c>
      <c r="CA58" s="13">
        <f t="shared" si="39"/>
        <v>50.74561278586372</v>
      </c>
      <c r="CB58" s="20">
        <f t="shared" si="10"/>
        <v>444.66215226871259</v>
      </c>
      <c r="CC58" s="59">
        <f t="shared" si="11"/>
        <v>737.99548560204585</v>
      </c>
      <c r="CD58" s="59">
        <f ca="1">AVERAGE(OFFSET($CC$3,0,0,'Données projet'!$E$12+1,1))-AVERAGE(OFFSET($H$3,0,0,'Données projet'!$E$12+1,1))</f>
        <v>328.55201074501201</v>
      </c>
      <c r="CE58" s="59">
        <f t="shared" si="40"/>
        <v>321.81422611044985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0.37840000000000001</v>
      </c>
      <c r="CI58" s="16">
        <f>IF(ISNA(VLOOKUP(A58,'Données projet'!$A$113:$I$133,6,0)),0%,VLOOKUP(A58,'Données projet'!$A$113:$I$133,6,0)*VLOOKUP('Données projet'!$B$12,Paramètres!$A$1:$I$89,7,0))</f>
        <v>2.58E-2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27.78718312183382</v>
      </c>
      <c r="CL58" s="21">
        <f>EXP(-LN(2)/25)*CL57+(1-EXP(-LN(2)/25))/(LN(2)/25)*Calculateur!CG58*Calculateur!CI58*VLOOKUP('Données projet'!$B$12,Paramètres!$A$1:$I$89,3,0)*0.475*44/12</f>
        <v>9.7286449938946014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37.515828115728425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218</v>
      </c>
      <c r="CR58" s="12">
        <f>VLOOKUP(A58,'Données projet'!$A$139:$I$159,9,0)</f>
        <v>6.6</v>
      </c>
      <c r="CS58" s="12">
        <f t="array" ref="CS58">INDEX(CR:CR,MIN(IF(ISNUMBER(CR58:CR254),ROW(CR58:CR254),"")))</f>
        <v>6.6</v>
      </c>
      <c r="CT58" s="12">
        <f>IF('Données projet'!$A$140&gt;35,CT57+CS58-DB57,IF(A58&lt;'Données projet'!$A$140,$CQ$205^A58,IF(A58='Données projet'!$A$140,'Données projet'!$B$140,CT57+CS58-DB57)))</f>
        <v>218.00000000000003</v>
      </c>
      <c r="CU58" s="17">
        <f>CT58*VLOOKUP('Données projet'!$B$13,Paramètres!$A$1:$I$89,3,0)*VLOOKUP('Données projet'!$B$13,Paramètres!$A$1:$I$89,5,0)</f>
        <v>190.44480000000004</v>
      </c>
      <c r="CV58" s="13">
        <f t="shared" si="41"/>
        <v>47.638278428909231</v>
      </c>
      <c r="CW58" s="20">
        <f t="shared" si="13"/>
        <v>414.66136159701699</v>
      </c>
      <c r="CX58" s="59">
        <f t="shared" si="14"/>
        <v>707.99469493035031</v>
      </c>
      <c r="CY58" s="59">
        <f ca="1">AVERAGE(OFFSET($CX$3,0,0,'Données projet'!$E$13+1,1))-AVERAGE(OFFSET($H$3,0,0,'Données projet'!$E$13+1,1))</f>
        <v>354.24684313982857</v>
      </c>
      <c r="CZ58" s="59">
        <f t="shared" si="42"/>
        <v>322.65043486962185</v>
      </c>
      <c r="DA58" s="15">
        <f>IF(ISNA(VLOOKUP(A58,'Données projet'!$A$139:$I$159,3,0)),0,VLOOKUP(A58,'Données projet'!$A$139:$I$159,3,0))</f>
        <v>8</v>
      </c>
      <c r="DB58" s="15" t="str">
        <f>IF(ISNA(VLOOKUP(A58,'Données projet'!$A$139:$I$159,4,0)),0,VLOOKUP(A58,'Données projet'!$A$139:$I$159,4,0))</f>
        <v>23</v>
      </c>
      <c r="DC58" s="16">
        <f>IF(ISNA(VLOOKUP(A58,'Données projet'!$A$139:$I$159,5,0)),0%,VLOOKUP(A58,'Données projet'!$A$139:$I$159,5,0)*VLOOKUP('Données projet'!$B$13,Paramètres!$A$1:$I$89,7,0))</f>
        <v>0.17200000000000001</v>
      </c>
      <c r="DD58" s="16">
        <f>IF(ISNA(VLOOKUP(A58,'Données projet'!$A$139:$I$159,6,0)),0%,VLOOKUP(A58,'Données projet'!$A$139:$I$159,6,0)*VLOOKUP('Données projet'!$B$13,Paramètres!$A$1:$I$89,7,0))</f>
        <v>0.17200000000000001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10.97404581280809</v>
      </c>
      <c r="DG58" s="21">
        <f>EXP(-LN(2)/25)*DG57+(1-EXP(-LN(2)/25))/(LN(2)/25)*Calculateur!DB58*Calculateur!DD58*VLOOKUP('Données projet'!$B$13,Paramètres!$A$1:$I$89,3,0)*0.475*44/12</f>
        <v>17.4136888112611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28.387734624069189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9.5</v>
      </c>
      <c r="DO58" s="12">
        <f>IF('Données projet'!$A$166&gt;35,DO57+DN58-DW57,IF(A58&lt;'Données projet'!$A$166,$DL$205^A58,IF(A58='Données projet'!$A$166,'Données projet'!$B$166,DO57+DN58-DW57)))</f>
        <v>249.5</v>
      </c>
      <c r="DP58" s="17">
        <f>DO58*VLOOKUP('Données projet'!$B$14,Paramètres!$A$1:$I$89,3,0)*VLOOKUP('Données projet'!$B$14,Paramètres!$A$1:$I$89,5,0)</f>
        <v>194.61</v>
      </c>
      <c r="DQ58" s="13">
        <f t="shared" si="43"/>
        <v>48.557731991923845</v>
      </c>
      <c r="DR58" s="20">
        <f t="shared" si="16"/>
        <v>423.51713321926735</v>
      </c>
      <c r="DS58" s="59">
        <f t="shared" si="17"/>
        <v>716.85046655260066</v>
      </c>
      <c r="DT58" s="59">
        <f ca="1">AVERAGE(OFFSET($DS$3,0,0,'Données projet'!$E$14+1,1))-AVERAGE(OFFSET($H$3,0,0,'Données projet'!$E$14+1,1))</f>
        <v>288.80569134263209</v>
      </c>
      <c r="DU58" s="59">
        <f t="shared" si="44"/>
        <v>283.48738729114024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17.200927077831963</v>
      </c>
      <c r="EB58" s="21">
        <f>EXP(-LN(2)/25)*EB57+(1-EXP(-LN(2)/25))/(LN(2)/25)*Calculateur!DW58*Calculateur!DY58*VLOOKUP('Données projet'!$B$14,Paramètres!$A$1:$I$89,3,0)*0.475*44/12</f>
        <v>21.149268767251268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38.350195845083235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-1.1368683772161603E-13</v>
      </c>
      <c r="EK58" s="17">
        <f>EJ58*VLOOKUP('Données projet'!$B$15,Paramètres!$A$1:$I$89,3,0)*VLOOKUP('Données projet'!$B$15,Paramètres!$A$1:$I$89,5,0)</f>
        <v>-6.3550942286383367E-14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335.04906256888819</v>
      </c>
      <c r="EP58" s="59">
        <f t="shared" si="46"/>
        <v>440.84111898279554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226.65708196256534</v>
      </c>
      <c r="EW58" s="21">
        <f>EXP(-LN(2)/25)*EW57+(1-EXP(-LN(2)/25))/(LN(2)/25)*Calculateur!ER58*Calculateur!ET58*VLOOKUP('Données projet'!$B$15,Paramètres!$A$1:$I$89,3,0)*0.475*44/12</f>
        <v>57.607680388239864</v>
      </c>
      <c r="EX58" s="21">
        <f>EXP(-LN(2)/2)*EX57+(1-EXP(-LN(2)/2))/(LN(2)/2)*ER58*EU58*VLOOKUP('Données projet'!$B$15,Paramètres!$A$1:$I$89,3,0)*0.475*44/12</f>
        <v>34.161304004112452</v>
      </c>
      <c r="EY58" s="22">
        <f t="shared" si="21"/>
        <v>318.42606635491768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</v>
      </c>
      <c r="N59" s="13">
        <f>IF('Données projet'!$A$36&gt;35,N58+M59-V58,IF(A59&lt;'Données projet'!$A$36,$K$205^A59,IF(A59='Données projet'!$A$36,'Données projet'!$B$36,N58+M59-V58)))</f>
        <v>259</v>
      </c>
      <c r="O59" s="13">
        <f>N59*VLOOKUP('Données projet'!$B$9,Paramètres!$A$1:$I$89,3,0)*VLOOKUP('Données projet'!$B$9,Paramètres!$A$1:$I$89,5,0)</f>
        <v>210.10080000000002</v>
      </c>
      <c r="P59" s="13">
        <f t="shared" si="33"/>
        <v>51.95761241914623</v>
      </c>
      <c r="Q59" s="20">
        <f t="shared" si="53"/>
        <v>456.41840163001302</v>
      </c>
      <c r="R59" s="59">
        <f t="shared" si="0"/>
        <v>749.75173496334628</v>
      </c>
      <c r="S59" s="59">
        <f ca="1">AVERAGE(OFFSET($R$3,0,0,'Données projet'!$E$9+1,1))-AVERAGE(OFFSET($H$3,0,0,'Données projet'!$E$9+1,1))</f>
        <v>298.96480270023716</v>
      </c>
      <c r="T59" s="59">
        <f t="shared" si="34"/>
        <v>293.11447542333889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21.616817248879347</v>
      </c>
      <c r="AA59" s="21">
        <f>EXP(-LN(2)/25)*AA58+(1-EXP(-LN(2)/25))/(LN(2)/25)*Calculateur!V59*Calculateur!X59*VLOOKUP('Données projet'!$B$9,Paramètres!$A$1:$I$89,3,0)*0.475*44/12</f>
        <v>26.369075870747054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47.985893119626397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9.7393162393162402</v>
      </c>
      <c r="AI59" s="13">
        <f>IF('Données projet'!$A$62&gt;35,AI58+AH59-AQ58,IF(A59&lt;'Données projet'!$A$62,$AF$205^A59,IF(A59='Données projet'!$A$62,'Données projet'!$B$62,AI58+AH59-AQ58)))</f>
        <v>176.24145299145317</v>
      </c>
      <c r="AJ59" s="13">
        <f>AI59*VLOOKUP('Données projet'!$B$10,Paramètres!$A$1:$I$89,3,0)*VLOOKUP('Données projet'!$B$10,Paramètres!$A$1:$I$89,5,0)</f>
        <v>151.21516666666685</v>
      </c>
      <c r="AK59" s="13">
        <f t="shared" si="35"/>
        <v>38.854606796200571</v>
      </c>
      <c r="AL59" s="20">
        <f t="shared" si="4"/>
        <v>331.03818878116073</v>
      </c>
      <c r="AM59" s="59">
        <f t="shared" si="5"/>
        <v>624.37152211449404</v>
      </c>
      <c r="AN59" s="59">
        <f ca="1">AVERAGE(OFFSET($AM$3,0,0,'Données projet'!$E$10+1,1))-AVERAGE(OFFSET($H$3,0,0,'Données projet'!$E$10+1,1))</f>
        <v>335.02113791949211</v>
      </c>
      <c r="AO59" s="59">
        <f t="shared" si="36"/>
        <v>222.06886429435099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8.9106467225035395</v>
      </c>
      <c r="AW59" s="21">
        <f>EXP(-LN(2)/2)*AW58+(1-EXP(-LN(2)/2))/(LN(2)/2)*AQ59*AT59*VLOOKUP('Données projet'!$B$10,Paramètres!$A$1:$I$89,3,0)*0.475*44/12</f>
        <v>7.0608328034516843</v>
      </c>
      <c r="AX59" s="21">
        <f t="shared" si="6"/>
        <v>15.971479525955225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-5.6843418860808015E-14</v>
      </c>
      <c r="BE59" s="13">
        <f>BD59*VLOOKUP('Données projet'!$B$11,Paramètres!$A$1:$I$89,3,0)*VLOOKUP('Données projet'!$B$11,Paramètres!$A$1:$I$89,5,0)</f>
        <v>-3.1036506698001178E-14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207.02306964567629</v>
      </c>
      <c r="BJ59" s="59">
        <f t="shared" si="38"/>
        <v>342.06887933351783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49.124975940188293</v>
      </c>
      <c r="BQ59" s="21">
        <f>EXP(-LN(2)/25)*BQ58+(1-EXP(-LN(2)/25))/(LN(2)/25)*Calculateur!BL59*Calculateur!BN59*VLOOKUP('Données projet'!$B$11,Paramètres!$A$1:$I$89,3,0)*0.475*44/12</f>
        <v>96.208234876795487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145.33321081698378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197.37743999999995</v>
      </c>
      <c r="CA59" s="13">
        <f t="shared" si="39"/>
        <v>49.167366395757924</v>
      </c>
      <c r="CB59" s="20">
        <f t="shared" si="10"/>
        <v>429.39887113927824</v>
      </c>
      <c r="CC59" s="59">
        <f t="shared" si="11"/>
        <v>722.73220447261156</v>
      </c>
      <c r="CD59" s="59">
        <f ca="1">AVERAGE(OFFSET($CC$3,0,0,'Données projet'!$E$12+1,1))-AVERAGE(OFFSET($H$3,0,0,'Données projet'!$E$12+1,1))</f>
        <v>328.55201074501201</v>
      </c>
      <c r="CE59" s="59">
        <f t="shared" si="40"/>
        <v>321.81422611044985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27.242293409322837</v>
      </c>
      <c r="CL59" s="21">
        <f>EXP(-LN(2)/25)*CL58+(1-EXP(-LN(2)/25))/(LN(2)/25)*Calculateur!CG59*Calculateur!CI59*VLOOKUP('Données projet'!$B$12,Paramètres!$A$1:$I$89,3,0)*0.475*44/12</f>
        <v>9.4626146849293491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36.70490809425219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</v>
      </c>
      <c r="CT59" s="12">
        <f>IF('Données projet'!$A$140&gt;35,CT58+CS59-DB58,IF(A59&lt;'Données projet'!$A$140,$CQ$205^A59,IF(A59='Données projet'!$A$140,'Données projet'!$B$140,CT58+CS59-DB58)))</f>
        <v>201.00000000000003</v>
      </c>
      <c r="CU59" s="17">
        <f>CT59*VLOOKUP('Données projet'!$B$13,Paramètres!$A$1:$I$89,3,0)*VLOOKUP('Données projet'!$B$13,Paramètres!$A$1:$I$89,5,0)</f>
        <v>175.59360000000007</v>
      </c>
      <c r="CV59" s="13">
        <f t="shared" si="41"/>
        <v>44.340433728638573</v>
      </c>
      <c r="CW59" s="20">
        <f t="shared" si="13"/>
        <v>383.05177541071225</v>
      </c>
      <c r="CX59" s="59">
        <f t="shared" si="14"/>
        <v>676.38510874404551</v>
      </c>
      <c r="CY59" s="59">
        <f ca="1">AVERAGE(OFFSET($CX$3,0,0,'Données projet'!$E$13+1,1))-AVERAGE(OFFSET($H$3,0,0,'Données projet'!$E$13+1,1))</f>
        <v>354.24684313982857</v>
      </c>
      <c r="CZ59" s="59">
        <f t="shared" si="42"/>
        <v>322.65043486962185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10.75885146792594</v>
      </c>
      <c r="DG59" s="21">
        <f>EXP(-LN(2)/25)*DG58+(1-EXP(-LN(2)/25))/(LN(2)/25)*Calculateur!DB59*Calculateur!DD59*VLOOKUP('Données projet'!$B$13,Paramètres!$A$1:$I$89,3,0)*0.475*44/12</f>
        <v>16.937510574971071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27.696362042897011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9.5</v>
      </c>
      <c r="DO59" s="12">
        <f>IF('Données projet'!$A$166&gt;35,DO58+DN59-DW58,IF(A59&lt;'Données projet'!$A$166,$DL$205^A59,IF(A59='Données projet'!$A$166,'Données projet'!$B$166,DO58+DN59-DW58)))</f>
        <v>259</v>
      </c>
      <c r="DP59" s="17">
        <f>DO59*VLOOKUP('Données projet'!$B$14,Paramètres!$A$1:$I$89,3,0)*VLOOKUP('Données projet'!$B$14,Paramètres!$A$1:$I$89,5,0)</f>
        <v>202.02</v>
      </c>
      <c r="DQ59" s="13">
        <f t="shared" si="43"/>
        <v>50.187842607873506</v>
      </c>
      <c r="DR59" s="20">
        <f t="shared" si="16"/>
        <v>439.26199254204636</v>
      </c>
      <c r="DS59" s="59">
        <f t="shared" si="17"/>
        <v>732.59532587537967</v>
      </c>
      <c r="DT59" s="59">
        <f ca="1">AVERAGE(OFFSET($DS$3,0,0,'Données projet'!$E$14+1,1))-AVERAGE(OFFSET($H$3,0,0,'Données projet'!$E$14+1,1))</f>
        <v>288.80569134263209</v>
      </c>
      <c r="DU59" s="59">
        <f t="shared" si="44"/>
        <v>283.48738729114024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16.863627389365245</v>
      </c>
      <c r="EB59" s="21">
        <f>EXP(-LN(2)/25)*EB58+(1-EXP(-LN(2)/25))/(LN(2)/25)*Calculateur!DW59*Calculateur!DY59*VLOOKUP('Données projet'!$B$14,Paramètres!$A$1:$I$89,3,0)*0.475*44/12</f>
        <v>20.570940900619075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37.43456828998432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-1.1368683772161603E-13</v>
      </c>
      <c r="EK59" s="17">
        <f>EJ59*VLOOKUP('Données projet'!$B$15,Paramètres!$A$1:$I$89,3,0)*VLOOKUP('Données projet'!$B$15,Paramètres!$A$1:$I$89,5,0)</f>
        <v>-6.3550942286383367E-14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335.04906256888819</v>
      </c>
      <c r="EP59" s="59">
        <f t="shared" si="46"/>
        <v>440.84111898279554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222.21247483244866</v>
      </c>
      <c r="EW59" s="21">
        <f>EXP(-LN(2)/25)*EW58+(1-EXP(-LN(2)/25))/(LN(2)/25)*Calculateur!ER59*Calculateur!ET59*VLOOKUP('Données projet'!$B$15,Paramètres!$A$1:$I$89,3,0)*0.475*44/12</f>
        <v>56.032395338567198</v>
      </c>
      <c r="EX59" s="21">
        <f>EXP(-LN(2)/2)*EX58+(1-EXP(-LN(2)/2))/(LN(2)/2)*ER59*EU59*VLOOKUP('Données projet'!$B$15,Paramètres!$A$1:$I$89,3,0)*0.475*44/12</f>
        <v>24.155689715483074</v>
      </c>
      <c r="EY59" s="22">
        <f t="shared" si="21"/>
        <v>302.40055988649891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</v>
      </c>
      <c r="N60" s="13">
        <f>IF('Données projet'!$A$36&gt;35,N59+M60-V59,IF(A60&lt;'Données projet'!$A$36,$K$205^A60,IF(A60='Données projet'!$A$36,'Données projet'!$B$36,N59+M60-V59)))</f>
        <v>268.5</v>
      </c>
      <c r="O60" s="13">
        <f>N60*VLOOKUP('Données projet'!$B$9,Paramètres!$A$1:$I$89,3,0)*VLOOKUP('Données projet'!$B$9,Paramètres!$A$1:$I$89,5,0)</f>
        <v>217.80720000000002</v>
      </c>
      <c r="P60" s="13">
        <f t="shared" si="33"/>
        <v>53.638013973813976</v>
      </c>
      <c r="Q60" s="20">
        <f t="shared" si="53"/>
        <v>472.76708100439265</v>
      </c>
      <c r="R60" s="59">
        <f t="shared" si="0"/>
        <v>766.10041433772597</v>
      </c>
      <c r="S60" s="59">
        <f ca="1">AVERAGE(OFFSET($R$3,0,0,'Données projet'!$E$9+1,1))-AVERAGE(OFFSET($H$3,0,0,'Données projet'!$E$9+1,1))</f>
        <v>298.96480270023716</v>
      </c>
      <c r="T60" s="59">
        <f t="shared" si="34"/>
        <v>293.11447542333889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21.192924647585439</v>
      </c>
      <c r="AA60" s="21">
        <f>EXP(-LN(2)/25)*AA59+(1-EXP(-LN(2)/25))/(LN(2)/25)*Calculateur!V60*Calculateur!X60*VLOOKUP('Données projet'!$B$9,Paramètres!$A$1:$I$89,3,0)*0.475*44/12</f>
        <v>25.648012104372043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46.840936751957486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9.7393162393162402</v>
      </c>
      <c r="AI60" s="13">
        <f>IF('Données projet'!$A$62&gt;35,AI59+AH60-AQ59,IF(A60&lt;'Données projet'!$A$62,$AF$205^A60,IF(A60='Données projet'!$A$62,'Données projet'!$B$62,AI59+AH60-AQ59)))</f>
        <v>185.98076923076943</v>
      </c>
      <c r="AJ60" s="13">
        <f>AI60*VLOOKUP('Données projet'!$B$10,Paramètres!$A$1:$I$89,3,0)*VLOOKUP('Données projet'!$B$10,Paramètres!$A$1:$I$89,5,0)</f>
        <v>159.57150000000019</v>
      </c>
      <c r="AK60" s="13">
        <f t="shared" si="35"/>
        <v>40.745850956139201</v>
      </c>
      <c r="AL60" s="20">
        <f t="shared" si="4"/>
        <v>348.88605291527614</v>
      </c>
      <c r="AM60" s="59">
        <f t="shared" si="5"/>
        <v>642.21938624860945</v>
      </c>
      <c r="AN60" s="59">
        <f ca="1">AVERAGE(OFFSET($AM$3,0,0,'Données projet'!$E$10+1,1))-AVERAGE(OFFSET($H$3,0,0,'Données projet'!$E$10+1,1))</f>
        <v>335.02113791949211</v>
      </c>
      <c r="AO60" s="59">
        <f t="shared" si="36"/>
        <v>222.06886429435099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8.6669846192861346</v>
      </c>
      <c r="AW60" s="21">
        <f>EXP(-LN(2)/2)*AW59+(1-EXP(-LN(2)/2))/(LN(2)/2)*AQ60*AT60*VLOOKUP('Données projet'!$B$10,Paramètres!$A$1:$I$89,3,0)*0.475*44/12</f>
        <v>4.9927627561451073</v>
      </c>
      <c r="AX60" s="21">
        <f t="shared" si="6"/>
        <v>13.659747375431241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-5.6843418860808015E-14</v>
      </c>
      <c r="BE60" s="13">
        <f>BD60*VLOOKUP('Données projet'!$B$11,Paramètres!$A$1:$I$89,3,0)*VLOOKUP('Données projet'!$B$11,Paramètres!$A$1:$I$89,5,0)</f>
        <v>-3.1036506698001178E-14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207.02306964567629</v>
      </c>
      <c r="BJ60" s="59">
        <f t="shared" si="38"/>
        <v>342.06887933351783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48.161665125277899</v>
      </c>
      <c r="BQ60" s="21">
        <f>EXP(-LN(2)/25)*BQ59+(1-EXP(-LN(2)/25))/(LN(2)/25)*Calculateur!BL60*Calculateur!BN60*VLOOKUP('Données projet'!$B$11,Paramètres!$A$1:$I$89,3,0)*0.475*44/12</f>
        <v>93.577415634718335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141.73908075999623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201.92327999999995</v>
      </c>
      <c r="CA60" s="13">
        <f t="shared" si="39"/>
        <v>50.166610737265309</v>
      </c>
      <c r="CB60" s="20">
        <f t="shared" si="10"/>
        <v>439.05655970073695</v>
      </c>
      <c r="CC60" s="59">
        <f t="shared" si="11"/>
        <v>732.38989303407027</v>
      </c>
      <c r="CD60" s="59">
        <f ca="1">AVERAGE(OFFSET($CC$3,0,0,'Données projet'!$E$12+1,1))-AVERAGE(OFFSET($H$3,0,0,'Données projet'!$E$12+1,1))</f>
        <v>328.55201074501201</v>
      </c>
      <c r="CE60" s="59">
        <f t="shared" si="40"/>
        <v>321.81422611044985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26.708088651724285</v>
      </c>
      <c r="CL60" s="21">
        <f>EXP(-LN(2)/25)*CL59+(1-EXP(-LN(2)/25))/(LN(2)/25)*Calculateur!CG60*Calculateur!CI60*VLOOKUP('Données projet'!$B$12,Paramètres!$A$1:$I$89,3,0)*0.475*44/12</f>
        <v>9.2038589887526765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35.91194764047696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</v>
      </c>
      <c r="CT60" s="12">
        <f>IF('Données projet'!$A$140&gt;35,CT59+CS60-DB59,IF(A60&lt;'Données projet'!$A$140,$CQ$205^A60,IF(A60='Données projet'!$A$140,'Données projet'!$B$140,CT59+CS60-DB59)))</f>
        <v>207.00000000000003</v>
      </c>
      <c r="CU60" s="17">
        <f>CT60*VLOOKUP('Données projet'!$B$13,Paramètres!$A$1:$I$89,3,0)*VLOOKUP('Données projet'!$B$13,Paramètres!$A$1:$I$89,5,0)</f>
        <v>180.83520000000004</v>
      </c>
      <c r="CV60" s="13">
        <f t="shared" si="41"/>
        <v>45.507952685945142</v>
      </c>
      <c r="CW60" s="20">
        <f t="shared" si="13"/>
        <v>394.21432426135453</v>
      </c>
      <c r="CX60" s="59">
        <f t="shared" si="14"/>
        <v>687.54765759468785</v>
      </c>
      <c r="CY60" s="59">
        <f ca="1">AVERAGE(OFFSET($CX$3,0,0,'Données projet'!$E$13+1,1))-AVERAGE(OFFSET($H$3,0,0,'Données projet'!$E$13+1,1))</f>
        <v>354.24684313982857</v>
      </c>
      <c r="CZ60" s="59">
        <f t="shared" si="42"/>
        <v>322.65043486962185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10.54787695289134</v>
      </c>
      <c r="DG60" s="21">
        <f>EXP(-LN(2)/25)*DG59+(1-EXP(-LN(2)/25))/(LN(2)/25)*Calculateur!DB60*Calculateur!DD60*VLOOKUP('Données projet'!$B$13,Paramètres!$A$1:$I$89,3,0)*0.475*44/12</f>
        <v>16.474353457593516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27.022230410484855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9.5</v>
      </c>
      <c r="DO60" s="12">
        <f>IF('Données projet'!$A$166&gt;35,DO59+DN60-DW59,IF(A60&lt;'Données projet'!$A$166,$DL$205^A60,IF(A60='Données projet'!$A$166,'Données projet'!$B$166,DO59+DN60-DW59)))</f>
        <v>268.5</v>
      </c>
      <c r="DP60" s="17">
        <f>DO60*VLOOKUP('Données projet'!$B$14,Paramètres!$A$1:$I$89,3,0)*VLOOKUP('Données projet'!$B$14,Paramètres!$A$1:$I$89,5,0)</f>
        <v>209.43</v>
      </c>
      <c r="DQ60" s="13">
        <f t="shared" si="43"/>
        <v>51.811006660589165</v>
      </c>
      <c r="DR60" s="20">
        <f t="shared" si="16"/>
        <v>454.99475326719272</v>
      </c>
      <c r="DS60" s="59">
        <f t="shared" si="17"/>
        <v>748.32808660052603</v>
      </c>
      <c r="DT60" s="59">
        <f ca="1">AVERAGE(OFFSET($DS$3,0,0,'Données projet'!$E$14+1,1))-AVERAGE(OFFSET($H$3,0,0,'Données projet'!$E$14+1,1))</f>
        <v>288.80569134263209</v>
      </c>
      <c r="DU60" s="59">
        <f t="shared" si="44"/>
        <v>283.48738729114024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16.532941942056862</v>
      </c>
      <c r="EB60" s="21">
        <f>EXP(-LN(2)/25)*EB59+(1-EXP(-LN(2)/25))/(LN(2)/25)*Calculateur!DW60*Calculateur!DY60*VLOOKUP('Données projet'!$B$14,Paramètres!$A$1:$I$89,3,0)*0.475*44/12</f>
        <v>20.008427439912879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36.541369381969744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-1.1368683772161603E-13</v>
      </c>
      <c r="EK60" s="17">
        <f>EJ60*VLOOKUP('Données projet'!$B$15,Paramètres!$A$1:$I$89,3,0)*VLOOKUP('Données projet'!$B$15,Paramètres!$A$1:$I$89,5,0)</f>
        <v>-6.3550942286383367E-14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335.04906256888819</v>
      </c>
      <c r="EP60" s="59">
        <f t="shared" si="46"/>
        <v>440.84111898279554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217.8550237372109</v>
      </c>
      <c r="EW60" s="21">
        <f>EXP(-LN(2)/25)*EW59+(1-EXP(-LN(2)/25))/(LN(2)/25)*Calculateur!ER60*Calculateur!ET60*VLOOKUP('Données projet'!$B$15,Paramètres!$A$1:$I$89,3,0)*0.475*44/12</f>
        <v>54.500186541418472</v>
      </c>
      <c r="EX60" s="21">
        <f>EXP(-LN(2)/2)*EX59+(1-EXP(-LN(2)/2))/(LN(2)/2)*ER60*EU60*VLOOKUP('Données projet'!$B$15,Paramètres!$A$1:$I$89,3,0)*0.475*44/12</f>
        <v>17.08065200205623</v>
      </c>
      <c r="EY60" s="22">
        <f t="shared" si="21"/>
        <v>289.43586228068563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9.5</v>
      </c>
      <c r="N61" s="13">
        <f>IF('Données projet'!$A$36&gt;35,N60+M61-V60,IF(A61&lt;'Données projet'!$A$36,$K$205^A61,IF(A61='Données projet'!$A$36,'Données projet'!$B$36,N60+M61-V60)))</f>
        <v>278</v>
      </c>
      <c r="O61" s="13">
        <f>N61*VLOOKUP('Données projet'!$B$9,Paramètres!$A$1:$I$89,3,0)*VLOOKUP('Données projet'!$B$9,Paramètres!$A$1:$I$89,5,0)</f>
        <v>225.51360000000003</v>
      </c>
      <c r="P61" s="13">
        <f t="shared" si="33"/>
        <v>55.311507611662641</v>
      </c>
      <c r="Q61" s="20">
        <f t="shared" si="53"/>
        <v>489.10372909031236</v>
      </c>
      <c r="R61" s="59">
        <f t="shared" si="0"/>
        <v>782.43706242364567</v>
      </c>
      <c r="S61" s="59">
        <f ca="1">AVERAGE(OFFSET($R$3,0,0,'Données projet'!$E$9+1,1))-AVERAGE(OFFSET($H$3,0,0,'Données projet'!$E$9+1,1))</f>
        <v>298.96480270023716</v>
      </c>
      <c r="T61" s="59">
        <f t="shared" si="34"/>
        <v>293.11447542333889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20.777344321653946</v>
      </c>
      <c r="AA61" s="21">
        <f>EXP(-LN(2)/25)*AA60+(1-EXP(-LN(2)/25))/(LN(2)/25)*Calculateur!V61*Calculateur!X61*VLOOKUP('Données projet'!$B$9,Paramètres!$A$1:$I$89,3,0)*0.475*44/12</f>
        <v>24.946665864607652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45.724010186261594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9.7393162393162402</v>
      </c>
      <c r="AI61" s="13">
        <f>IF('Données projet'!$A$62&gt;35,AI60+AH61-AQ60,IF(A61&lt;'Données projet'!$A$62,$AF$205^A61,IF(A61='Données projet'!$A$62,'Données projet'!$B$62,AI60+AH61-AQ60)))</f>
        <v>195.72008547008568</v>
      </c>
      <c r="AJ61" s="13">
        <f>AI61*VLOOKUP('Données projet'!$B$10,Paramètres!$A$1:$I$89,3,0)*VLOOKUP('Données projet'!$B$10,Paramètres!$A$1:$I$89,5,0)</f>
        <v>167.92783333333352</v>
      </c>
      <c r="AK61" s="13">
        <f t="shared" si="35"/>
        <v>42.625596445100975</v>
      </c>
      <c r="AL61" s="20">
        <f t="shared" si="4"/>
        <v>366.71389019744009</v>
      </c>
      <c r="AM61" s="59">
        <f t="shared" si="5"/>
        <v>660.04722353077341</v>
      </c>
      <c r="AN61" s="59">
        <f ca="1">AVERAGE(OFFSET($AM$3,0,0,'Données projet'!$E$10+1,1))-AVERAGE(OFFSET($H$3,0,0,'Données projet'!$E$10+1,1))</f>
        <v>335.02113791949211</v>
      </c>
      <c r="AO61" s="59">
        <f t="shared" si="36"/>
        <v>222.06886429435099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8.4299854690948433</v>
      </c>
      <c r="AW61" s="21">
        <f>EXP(-LN(2)/2)*AW60+(1-EXP(-LN(2)/2))/(LN(2)/2)*AQ61*AT61*VLOOKUP('Données projet'!$B$10,Paramètres!$A$1:$I$89,3,0)*0.475*44/12</f>
        <v>3.5304164017258426</v>
      </c>
      <c r="AX61" s="21">
        <f t="shared" si="6"/>
        <v>11.960401870820686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-5.6843418860808015E-14</v>
      </c>
      <c r="BE61" s="13">
        <f>BD61*VLOOKUP('Données projet'!$B$11,Paramètres!$A$1:$I$89,3,0)*VLOOKUP('Données projet'!$B$11,Paramètres!$A$1:$I$89,5,0)</f>
        <v>-3.1036506698001178E-14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207.02306964567629</v>
      </c>
      <c r="BJ61" s="59">
        <f t="shared" si="38"/>
        <v>342.06887933351783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47.217244247886313</v>
      </c>
      <c r="BQ61" s="21">
        <f>EXP(-LN(2)/25)*BQ60+(1-EXP(-LN(2)/25))/(LN(2)/25)*Calculateur!BL61*Calculateur!BN61*VLOOKUP('Données projet'!$B$11,Paramètres!$A$1:$I$89,3,0)*0.475*44/12</f>
        <v>91.018536283164551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138.23578053105086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206.46911999999992</v>
      </c>
      <c r="CA61" s="13">
        <f t="shared" si="39"/>
        <v>51.163239774028327</v>
      </c>
      <c r="CB61" s="20">
        <f t="shared" si="10"/>
        <v>448.70969327309916</v>
      </c>
      <c r="CC61" s="59">
        <f t="shared" si="11"/>
        <v>742.04302660643248</v>
      </c>
      <c r="CD61" s="59">
        <f ca="1">AVERAGE(OFFSET($CC$3,0,0,'Données projet'!$E$12+1,1))-AVERAGE(OFFSET($H$3,0,0,'Données projet'!$E$12+1,1))</f>
        <v>328.55201074501201</v>
      </c>
      <c r="CE61" s="59">
        <f t="shared" si="40"/>
        <v>321.81422611044985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26.184359323589515</v>
      </c>
      <c r="CL61" s="21">
        <f>EXP(-LN(2)/25)*CL60+(1-EXP(-LN(2)/25))/(LN(2)/25)*Calculateur!CG61*Calculateur!CI61*VLOOKUP('Données projet'!$B$12,Paramètres!$A$1:$I$89,3,0)*0.475*44/12</f>
        <v>8.9521789806953258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35.136538304284841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</v>
      </c>
      <c r="CT61" s="12">
        <f>IF('Données projet'!$A$140&gt;35,CT60+CS61-DB60,IF(A61&lt;'Données projet'!$A$140,$CQ$205^A61,IF(A61='Données projet'!$A$140,'Données projet'!$B$140,CT60+CS61-DB60)))</f>
        <v>213.00000000000003</v>
      </c>
      <c r="CU61" s="17">
        <f>CT61*VLOOKUP('Données projet'!$B$13,Paramètres!$A$1:$I$89,3,0)*VLOOKUP('Données projet'!$B$13,Paramètres!$A$1:$I$89,5,0)</f>
        <v>186.07680000000005</v>
      </c>
      <c r="CV61" s="13">
        <f t="shared" si="41"/>
        <v>46.671538591528673</v>
      </c>
      <c r="CW61" s="20">
        <f t="shared" si="13"/>
        <v>405.37002304691242</v>
      </c>
      <c r="CX61" s="59">
        <f t="shared" si="14"/>
        <v>698.70335638024574</v>
      </c>
      <c r="CY61" s="59">
        <f ca="1">AVERAGE(OFFSET($CX$3,0,0,'Données projet'!$E$13+1,1))-AVERAGE(OFFSET($H$3,0,0,'Données projet'!$E$13+1,1))</f>
        <v>354.24684313982857</v>
      </c>
      <c r="CZ61" s="59">
        <f t="shared" si="42"/>
        <v>322.65043486962185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10.341039519414819</v>
      </c>
      <c r="DG61" s="21">
        <f>EXP(-LN(2)/25)*DG60+(1-EXP(-LN(2)/25))/(LN(2)/25)*Calculateur!DB61*Calculateur!DD61*VLOOKUP('Données projet'!$B$13,Paramètres!$A$1:$I$89,3,0)*0.475*44/12</f>
        <v>16.023861395947026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26.364900915361844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9.5</v>
      </c>
      <c r="DO61" s="12">
        <f>IF('Données projet'!$A$166&gt;35,DO60+DN61-DW60,IF(A61&lt;'Données projet'!$A$166,$DL$205^A61,IF(A61='Données projet'!$A$166,'Données projet'!$B$166,DO60+DN61-DW60)))</f>
        <v>278</v>
      </c>
      <c r="DP61" s="17">
        <f>DO61*VLOOKUP('Données projet'!$B$14,Paramètres!$A$1:$I$89,3,0)*VLOOKUP('Données projet'!$B$14,Paramètres!$A$1:$I$89,5,0)</f>
        <v>216.84</v>
      </c>
      <c r="DQ61" s="13">
        <f t="shared" si="43"/>
        <v>53.427498092567944</v>
      </c>
      <c r="DR61" s="20">
        <f t="shared" si="16"/>
        <v>470.71589251122253</v>
      </c>
      <c r="DS61" s="59">
        <f t="shared" si="17"/>
        <v>764.04922584455585</v>
      </c>
      <c r="DT61" s="59">
        <f ca="1">AVERAGE(OFFSET($DS$3,0,0,'Données projet'!$E$14+1,1))-AVERAGE(OFFSET($H$3,0,0,'Données projet'!$E$14+1,1))</f>
        <v>288.80569134263209</v>
      </c>
      <c r="DU61" s="59">
        <f t="shared" si="44"/>
        <v>283.48738729114024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16.208741034671988</v>
      </c>
      <c r="EB61" s="21">
        <f>EXP(-LN(2)/25)*EB60+(1-EXP(-LN(2)/25))/(LN(2)/25)*Calculateur!DW61*Calculateur!DY61*VLOOKUP('Données projet'!$B$14,Paramètres!$A$1:$I$89,3,0)*0.475*44/12</f>
        <v>19.461295939370991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35.670036974042979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-1.1368683772161603E-13</v>
      </c>
      <c r="EK61" s="17">
        <f>EJ61*VLOOKUP('Données projet'!$B$15,Paramètres!$A$1:$I$89,3,0)*VLOOKUP('Données projet'!$B$15,Paramètres!$A$1:$I$89,5,0)</f>
        <v>-6.3550942286383367E-14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335.04906256888819</v>
      </c>
      <c r="EP61" s="59">
        <f t="shared" si="46"/>
        <v>440.84111898279554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213.58301960016803</v>
      </c>
      <c r="EW61" s="21">
        <f>EXP(-LN(2)/25)*EW60+(1-EXP(-LN(2)/25))/(LN(2)/25)*Calculateur!ER61*Calculateur!ET61*VLOOKUP('Données projet'!$B$15,Paramètres!$A$1:$I$89,3,0)*0.475*44/12</f>
        <v>53.009876074403138</v>
      </c>
      <c r="EX61" s="21">
        <f>EXP(-LN(2)/2)*EX60+(1-EXP(-LN(2)/2))/(LN(2)/2)*ER61*EU61*VLOOKUP('Données projet'!$B$15,Paramètres!$A$1:$I$89,3,0)*0.475*44/12</f>
        <v>12.077844857741541</v>
      </c>
      <c r="EY61" s="22">
        <f t="shared" si="21"/>
        <v>278.67074053231272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9.5</v>
      </c>
      <c r="N62" s="13">
        <f>IF('Données projet'!$A$36&gt;35,N61+M62-V61,IF(A62&lt;'Données projet'!$A$36,$K$205^A62,IF(A62='Données projet'!$A$36,'Données projet'!$B$36,N61+M62-V61)))</f>
        <v>287.5</v>
      </c>
      <c r="O62" s="13">
        <f>N62*VLOOKUP('Données projet'!$B$9,Paramètres!$A$1:$I$89,3,0)*VLOOKUP('Données projet'!$B$9,Paramètres!$A$1:$I$89,5,0)</f>
        <v>233.22</v>
      </c>
      <c r="P62" s="13">
        <f t="shared" si="33"/>
        <v>56.978356452817273</v>
      </c>
      <c r="Q62" s="20">
        <f t="shared" si="53"/>
        <v>505.42880415532341</v>
      </c>
      <c r="R62" s="59">
        <f t="shared" si="0"/>
        <v>798.76213748865666</v>
      </c>
      <c r="S62" s="59">
        <f ca="1">AVERAGE(OFFSET($R$3,0,0,'Données projet'!$E$9+1,1))-AVERAGE(OFFSET($H$3,0,0,'Données projet'!$E$9+1,1))</f>
        <v>298.96480270023716</v>
      </c>
      <c r="T62" s="59">
        <f t="shared" si="34"/>
        <v>293.11447542333889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20.369913272434999</v>
      </c>
      <c r="AA62" s="21">
        <f>EXP(-LN(2)/25)*AA61+(1-EXP(-LN(2)/25))/(LN(2)/25)*Calculateur!V62*Calculateur!X62*VLOOKUP('Données projet'!$B$9,Paramètres!$A$1:$I$89,3,0)*0.475*44/12</f>
        <v>24.264497974651814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44.634411247086817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9.7393162393162402</v>
      </c>
      <c r="AI62" s="13">
        <f>IF('Données projet'!$A$62&gt;35,AI61+AH62-AQ61,IF(A62&lt;'Données projet'!$A$62,$AF$205^A62,IF(A62='Données projet'!$A$62,'Données projet'!$B$62,AI61+AH62-AQ61)))</f>
        <v>205.45940170940193</v>
      </c>
      <c r="AJ62" s="13">
        <f>AI62*VLOOKUP('Données projet'!$B$10,Paramètres!$A$1:$I$89,3,0)*VLOOKUP('Données projet'!$B$10,Paramètres!$A$1:$I$89,5,0)</f>
        <v>176.28416666666689</v>
      </c>
      <c r="AK62" s="13">
        <f t="shared" si="35"/>
        <v>44.494480749010634</v>
      </c>
      <c r="AL62" s="20">
        <f t="shared" si="4"/>
        <v>384.52281091563833</v>
      </c>
      <c r="AM62" s="59">
        <f t="shared" si="5"/>
        <v>677.85614424897165</v>
      </c>
      <c r="AN62" s="59">
        <f ca="1">AVERAGE(OFFSET($AM$3,0,0,'Données projet'!$E$10+1,1))-AVERAGE(OFFSET($H$3,0,0,'Données projet'!$E$10+1,1))</f>
        <v>335.02113791949211</v>
      </c>
      <c r="AO62" s="59">
        <f t="shared" si="36"/>
        <v>222.06886429435099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8.1994670731287762</v>
      </c>
      <c r="AW62" s="21">
        <f>EXP(-LN(2)/2)*AW61+(1-EXP(-LN(2)/2))/(LN(2)/2)*AQ62*AT62*VLOOKUP('Données projet'!$B$10,Paramètres!$A$1:$I$89,3,0)*0.475*44/12</f>
        <v>2.4963813780725541</v>
      </c>
      <c r="AX62" s="21">
        <f t="shared" si="6"/>
        <v>10.69584845120133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-5.6843418860808015E-14</v>
      </c>
      <c r="BE62" s="13">
        <f>BD62*VLOOKUP('Données projet'!$B$11,Paramètres!$A$1:$I$89,3,0)*VLOOKUP('Données projet'!$B$11,Paramètres!$A$1:$I$89,5,0)</f>
        <v>-3.1036506698001178E-14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207.02306964567629</v>
      </c>
      <c r="BJ62" s="59">
        <f t="shared" si="38"/>
        <v>342.06887933351783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46.291342887860523</v>
      </c>
      <c r="BQ62" s="21">
        <f>EXP(-LN(2)/25)*BQ61+(1-EXP(-LN(2)/25))/(LN(2)/25)*Calculateur!BL62*Calculateur!BN62*VLOOKUP('Données projet'!$B$11,Paramètres!$A$1:$I$89,3,0)*0.475*44/12</f>
        <v>88.529629622044624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134.82097250990515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211.01495999999992</v>
      </c>
      <c r="CA62" s="13">
        <f t="shared" si="39"/>
        <v>52.15731771796959</v>
      </c>
      <c r="CB62" s="20">
        <f t="shared" si="10"/>
        <v>458.35838369213019</v>
      </c>
      <c r="CC62" s="59">
        <f t="shared" si="11"/>
        <v>751.6917170254635</v>
      </c>
      <c r="CD62" s="59">
        <f ca="1">AVERAGE(OFFSET($CC$3,0,0,'Données projet'!$E$12+1,1))-AVERAGE(OFFSET($H$3,0,0,'Données projet'!$E$12+1,1))</f>
        <v>328.55201074501201</v>
      </c>
      <c r="CE62" s="59">
        <f t="shared" si="40"/>
        <v>321.81422611044985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25.670900008136119</v>
      </c>
      <c r="CL62" s="21">
        <f>EXP(-LN(2)/25)*CL61+(1-EXP(-LN(2)/25))/(LN(2)/25)*Calculateur!CG62*Calculateur!CI62*VLOOKUP('Données projet'!$B$12,Paramètres!$A$1:$I$89,3,0)*0.475*44/12</f>
        <v>8.7073811756935804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34.378281183829699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</v>
      </c>
      <c r="CT62" s="12">
        <f>IF('Données projet'!$A$140&gt;35,CT61+CS62-DB61,IF(A62&lt;'Données projet'!$A$140,$CQ$205^A62,IF(A62='Données projet'!$A$140,'Données projet'!$B$140,CT61+CS62-DB61)))</f>
        <v>219.00000000000003</v>
      </c>
      <c r="CU62" s="17">
        <f>CT62*VLOOKUP('Données projet'!$B$13,Paramètres!$A$1:$I$89,3,0)*VLOOKUP('Données projet'!$B$13,Paramètres!$A$1:$I$89,5,0)</f>
        <v>191.31840000000005</v>
      </c>
      <c r="CV62" s="13">
        <f t="shared" si="41"/>
        <v>47.831314962098396</v>
      </c>
      <c r="CW62" s="20">
        <f t="shared" si="13"/>
        <v>416.51908689232141</v>
      </c>
      <c r="CX62" s="59">
        <f t="shared" si="14"/>
        <v>709.85242022565467</v>
      </c>
      <c r="CY62" s="59">
        <f ca="1">AVERAGE(OFFSET($CX$3,0,0,'Données projet'!$E$13+1,1))-AVERAGE(OFFSET($H$3,0,0,'Données projet'!$E$13+1,1))</f>
        <v>354.24684313982857</v>
      </c>
      <c r="CZ62" s="59">
        <f t="shared" si="42"/>
        <v>322.65043486962185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10.138258041850396</v>
      </c>
      <c r="DG62" s="21">
        <f>EXP(-LN(2)/25)*DG61+(1-EXP(-LN(2)/25))/(LN(2)/25)*Calculateur!DB62*Calculateur!DD62*VLOOKUP('Données projet'!$B$13,Paramètres!$A$1:$I$89,3,0)*0.475*44/12</f>
        <v>15.585688063416606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25.723946105267004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9.5</v>
      </c>
      <c r="DO62" s="12">
        <f>IF('Données projet'!$A$166&gt;35,DO61+DN62-DW61,IF(A62&lt;'Données projet'!$A$166,$DL$205^A62,IF(A62='Données projet'!$A$166,'Données projet'!$B$166,DO61+DN62-DW61)))</f>
        <v>287.5</v>
      </c>
      <c r="DP62" s="17">
        <f>DO62*VLOOKUP('Données projet'!$B$14,Paramètres!$A$1:$I$89,3,0)*VLOOKUP('Données projet'!$B$14,Paramètres!$A$1:$I$89,5,0)</f>
        <v>224.25</v>
      </c>
      <c r="DQ62" s="13">
        <f t="shared" si="43"/>
        <v>55.037571061589858</v>
      </c>
      <c r="DR62" s="20">
        <f t="shared" si="16"/>
        <v>486.42585293226904</v>
      </c>
      <c r="DS62" s="59">
        <f t="shared" si="17"/>
        <v>779.75918626560235</v>
      </c>
      <c r="DT62" s="59">
        <f ca="1">AVERAGE(OFFSET($DS$3,0,0,'Données projet'!$E$14+1,1))-AVERAGE(OFFSET($H$3,0,0,'Données projet'!$E$14+1,1))</f>
        <v>288.80569134263209</v>
      </c>
      <c r="DU62" s="59">
        <f t="shared" si="44"/>
        <v>283.48738729114024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15.890897509337904</v>
      </c>
      <c r="EB62" s="21">
        <f>EXP(-LN(2)/25)*EB61+(1-EXP(-LN(2)/25))/(LN(2)/25)*Calculateur!DW62*Calculateur!DY62*VLOOKUP('Données projet'!$B$14,Paramètres!$A$1:$I$89,3,0)*0.475*44/12</f>
        <v>18.929125778483819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34.820023287821726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-1.1368683772161603E-13</v>
      </c>
      <c r="EK62" s="17">
        <f>EJ62*VLOOKUP('Données projet'!$B$15,Paramètres!$A$1:$I$89,3,0)*VLOOKUP('Données projet'!$B$15,Paramètres!$A$1:$I$89,5,0)</f>
        <v>-6.3550942286383367E-14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335.04906256888819</v>
      </c>
      <c r="EP62" s="59">
        <f t="shared" si="46"/>
        <v>440.84111898279554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209.39478685858731</v>
      </c>
      <c r="EW62" s="21">
        <f>EXP(-LN(2)/25)*EW61+(1-EXP(-LN(2)/25))/(LN(2)/25)*Calculateur!ER62*Calculateur!ET62*VLOOKUP('Données projet'!$B$15,Paramètres!$A$1:$I$89,3,0)*0.475*44/12</f>
        <v>51.560318225480358</v>
      </c>
      <c r="EX62" s="21">
        <f>EXP(-LN(2)/2)*EX61+(1-EXP(-LN(2)/2))/(LN(2)/2)*ER62*EU62*VLOOKUP('Données projet'!$B$15,Paramètres!$A$1:$I$89,3,0)*0.475*44/12</f>
        <v>8.5403260010281166</v>
      </c>
      <c r="EY62" s="22">
        <f t="shared" si="21"/>
        <v>269.49543108509579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297</v>
      </c>
      <c r="L63" s="12">
        <f>VLOOKUP(A63,'Données projet'!$A$35:$I$55,9,0)</f>
        <v>9.5</v>
      </c>
      <c r="M63" s="12">
        <f t="array" ref="M63">INDEX(L:L,MIN(IF(ISNUMBER(L63:L259),ROW(L63:L259),"")))</f>
        <v>9.5</v>
      </c>
      <c r="N63" s="13">
        <f>IF('Données projet'!$A$36&gt;35,N62+M63-V62,IF(A63&lt;'Données projet'!$A$36,$K$205^A63,IF(A63='Données projet'!$A$36,'Données projet'!$B$36,N62+M63-V62)))</f>
        <v>297</v>
      </c>
      <c r="O63" s="13">
        <f>N63*VLOOKUP('Données projet'!$B$9,Paramètres!$A$1:$I$89,3,0)*VLOOKUP('Données projet'!$B$9,Paramètres!$A$1:$I$89,5,0)</f>
        <v>240.9264</v>
      </c>
      <c r="P63" s="13">
        <f t="shared" si="33"/>
        <v>58.638805241742823</v>
      </c>
      <c r="Q63" s="20">
        <f t="shared" si="53"/>
        <v>521.74273246270207</v>
      </c>
      <c r="R63" s="59">
        <f t="shared" si="0"/>
        <v>815.07606579603544</v>
      </c>
      <c r="S63" s="59">
        <f ca="1">AVERAGE(OFFSET($R$3,0,0,'Données projet'!$E$9+1,1))-AVERAGE(OFFSET($H$3,0,0,'Données projet'!$E$9+1,1))</f>
        <v>298.96480270023716</v>
      </c>
      <c r="T63" s="59">
        <f t="shared" si="34"/>
        <v>293.11447542333889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47</v>
      </c>
      <c r="W63" s="16">
        <f>IF(ISNA(VLOOKUP(A63,'Données projet'!$A$35:$I$55,5,0)),0%,VLOOKUP(A63,'Données projet'!$A$35:$I$55,5,0)*VLOOKUP('Données projet'!$B$9,Paramètres!$A$1:$I$89,7,0))</f>
        <v>0.26500000000000001</v>
      </c>
      <c r="X63" s="16">
        <f>IF(ISNA(VLOOKUP(A63,'Données projet'!$A$35:$I$55,6,0)),0%,VLOOKUP(A63,'Données projet'!$A$35:$I$55,6,0)*VLOOKUP('Données projet'!$B$9,Paramètres!$A$1:$I$89,7,0))</f>
        <v>0.21200000000000002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31.139587255312478</v>
      </c>
      <c r="AA63" s="21">
        <f>EXP(-LN(2)/25)*AA62+(1-EXP(-LN(2)/25))/(LN(2)/25)*Calculateur!V63*Calculateur!X63*VLOOKUP('Données projet'!$B$9,Paramètres!$A$1:$I$89,3,0)*0.475*44/12</f>
        <v>32.501094796730222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63.640682052042699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9.7393162393162402</v>
      </c>
      <c r="AI63" s="13">
        <f>IF('Données projet'!$A$62&gt;35,AI62+AH63-AQ62,IF(A63&lt;'Données projet'!$A$62,$AF$205^A63,IF(A63='Données projet'!$A$62,'Données projet'!$B$62,AI62+AH63-AQ62)))</f>
        <v>215.19871794871818</v>
      </c>
      <c r="AJ63" s="13">
        <f>AI63*VLOOKUP('Données projet'!$B$10,Paramètres!$A$1:$I$89,3,0)*VLOOKUP('Données projet'!$B$10,Paramètres!$A$1:$I$89,5,0)</f>
        <v>184.64050000000023</v>
      </c>
      <c r="AK63" s="13">
        <f t="shared" si="35"/>
        <v>46.353077501631219</v>
      </c>
      <c r="AL63" s="20">
        <f t="shared" si="4"/>
        <v>402.31381414867474</v>
      </c>
      <c r="AM63" s="59">
        <f t="shared" si="5"/>
        <v>695.64714748200799</v>
      </c>
      <c r="AN63" s="59">
        <f ca="1">AVERAGE(OFFSET($AM$3,0,0,'Données projet'!$E$10+1,1))-AVERAGE(OFFSET($H$3,0,0,'Données projet'!$E$10+1,1))</f>
        <v>335.02113791949211</v>
      </c>
      <c r="AO63" s="59">
        <f t="shared" si="36"/>
        <v>222.06886429435099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7.9752522148228362</v>
      </c>
      <c r="AW63" s="21">
        <f>EXP(-LN(2)/2)*AW62+(1-EXP(-LN(2)/2))/(LN(2)/2)*AQ63*AT63*VLOOKUP('Données projet'!$B$10,Paramètres!$A$1:$I$89,3,0)*0.475*44/12</f>
        <v>1.7652082008629215</v>
      </c>
      <c r="AX63" s="21">
        <f t="shared" si="6"/>
        <v>9.7404604156857584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-5.6843418860808015E-14</v>
      </c>
      <c r="BE63" s="13">
        <f>BD63*VLOOKUP('Données projet'!$B$11,Paramètres!$A$1:$I$89,3,0)*VLOOKUP('Données projet'!$B$11,Paramètres!$A$1:$I$89,5,0)</f>
        <v>-3.1036506698001178E-14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207.02306964567629</v>
      </c>
      <c r="BJ63" s="59">
        <f t="shared" si="38"/>
        <v>342.06887933351783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45.383597888760775</v>
      </c>
      <c r="BQ63" s="21">
        <f>EXP(-LN(2)/25)*BQ62+(1-EXP(-LN(2)/25))/(LN(2)/25)*Calculateur!BL63*Calculateur!BN63*VLOOKUP('Données projet'!$B$11,Paramètres!$A$1:$I$89,3,0)*0.475*44/12</f>
        <v>86.108782244458922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131.49238013321968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215.56079999999992</v>
      </c>
      <c r="CA63" s="13">
        <f t="shared" si="39"/>
        <v>53.14890585638225</v>
      </c>
      <c r="CB63" s="20">
        <f t="shared" si="10"/>
        <v>468.00273769986558</v>
      </c>
      <c r="CC63" s="59">
        <f t="shared" si="11"/>
        <v>761.33607103319889</v>
      </c>
      <c r="CD63" s="59">
        <f ca="1">AVERAGE(OFFSET($CC$3,0,0,'Données projet'!$E$12+1,1))-AVERAGE(OFFSET($H$3,0,0,'Données projet'!$E$12+1,1))</f>
        <v>328.55201074501201</v>
      </c>
      <c r="CE63" s="59">
        <f t="shared" si="40"/>
        <v>321.81422611044985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0.39990000000000003</v>
      </c>
      <c r="CI63" s="16">
        <f>IF(ISNA(VLOOKUP(A63,'Données projet'!$A$113:$I$133,6,0)),0%,VLOOKUP(A63,'Données projet'!$A$113:$I$133,6,0)*VLOOKUP('Données projet'!$B$12,Paramètres!$A$1:$I$89,7,0))</f>
        <v>3.0100000000000002E-2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29.705347514176253</v>
      </c>
      <c r="CL63" s="21">
        <f>EXP(-LN(2)/25)*CL62+(1-EXP(-LN(2)/25))/(LN(2)/25)*Calculateur!CG63*Calculateur!CI63*VLOOKUP('Données projet'!$B$12,Paramètres!$A$1:$I$89,3,0)*0.475*44/12</f>
        <v>8.8094902504701587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38.514837764646416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225</v>
      </c>
      <c r="CR63" s="12">
        <f>VLOOKUP(A63,'Données projet'!$A$139:$I$159,9,0)</f>
        <v>6</v>
      </c>
      <c r="CS63" s="12">
        <f t="array" ref="CS63">INDEX(CR:CR,MIN(IF(ISNUMBER(CR63:CR259),ROW(CR63:CR259),"")))</f>
        <v>6</v>
      </c>
      <c r="CT63" s="12">
        <f>IF('Données projet'!$A$140&gt;35,CT62+CS63-DB62,IF(A63&lt;'Données projet'!$A$140,$CQ$205^A63,IF(A63='Données projet'!$A$140,'Données projet'!$B$140,CT62+CS63-DB62)))</f>
        <v>225.00000000000003</v>
      </c>
      <c r="CU63" s="17">
        <f>CT63*VLOOKUP('Données projet'!$B$13,Paramètres!$A$1:$I$89,3,0)*VLOOKUP('Données projet'!$B$13,Paramètres!$A$1:$I$89,5,0)</f>
        <v>196.56000000000006</v>
      </c>
      <c r="CV63" s="13">
        <f t="shared" si="41"/>
        <v>48.987398161128134</v>
      </c>
      <c r="CW63" s="20">
        <f t="shared" si="13"/>
        <v>427.66171846396492</v>
      </c>
      <c r="CX63" s="59">
        <f t="shared" si="14"/>
        <v>720.99505179729817</v>
      </c>
      <c r="CY63" s="59">
        <f ca="1">AVERAGE(OFFSET($CX$3,0,0,'Données projet'!$E$13+1,1))-AVERAGE(OFFSET($H$3,0,0,'Données projet'!$E$13+1,1))</f>
        <v>354.24684313982857</v>
      </c>
      <c r="CZ63" s="59">
        <f t="shared" si="42"/>
        <v>322.65043486962185</v>
      </c>
      <c r="DA63" s="15">
        <f>IF(ISNA(VLOOKUP(A63,'Données projet'!$A$139:$I$159,3,0)),0,VLOOKUP(A63,'Données projet'!$A$139:$I$159,3,0))</f>
        <v>9</v>
      </c>
      <c r="DB63" s="15" t="str">
        <f>IF(ISNA(VLOOKUP(A63,'Données projet'!$A$139:$I$159,4,0)),0,VLOOKUP(A63,'Données projet'!$A$139:$I$159,4,0))</f>
        <v>21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0.17200000000000001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14.299764225249856</v>
      </c>
      <c r="DG63" s="21">
        <f>EXP(-LN(2)/25)*DG62+(1-EXP(-LN(2)/25))/(LN(2)/25)*Calculateur!DB63*Calculateur!DD63*VLOOKUP('Données projet'!$B$13,Paramètres!$A$1:$I$89,3,0)*0.475*44/12</f>
        <v>18.634011030197261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32.933775255447117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297</v>
      </c>
      <c r="DM63" s="12">
        <f>VLOOKUP(A63,'Données projet'!$A$165:$I$185,9,0)</f>
        <v>9.5</v>
      </c>
      <c r="DN63" s="12">
        <f t="array" ref="DN63">INDEX(DM:DM,MIN(IF(ISNUMBER(DM63:DM259),ROW(DM63:DM259),"")))</f>
        <v>9.5</v>
      </c>
      <c r="DO63" s="12">
        <f>IF('Données projet'!$A$166&gt;35,DO62+DN63-DW62,IF(A63&lt;'Données projet'!$A$166,$DL$205^A63,IF(A63='Données projet'!$A$166,'Données projet'!$B$166,DO62+DN63-DW62)))</f>
        <v>297</v>
      </c>
      <c r="DP63" s="17">
        <f>DO63*VLOOKUP('Données projet'!$B$14,Paramètres!$A$1:$I$89,3,0)*VLOOKUP('Données projet'!$B$14,Paramètres!$A$1:$I$89,5,0)</f>
        <v>231.66</v>
      </c>
      <c r="DQ63" s="13">
        <f t="shared" si="43"/>
        <v>56.641461975682766</v>
      </c>
      <c r="DR63" s="20">
        <f t="shared" si="16"/>
        <v>502.12504627431412</v>
      </c>
      <c r="DS63" s="59">
        <f t="shared" si="17"/>
        <v>795.45837960764743</v>
      </c>
      <c r="DT63" s="59">
        <f ca="1">AVERAGE(OFFSET($DS$3,0,0,'Données projet'!$E$14+1,1))-AVERAGE(OFFSET($H$3,0,0,'Données projet'!$E$14+1,1))</f>
        <v>288.80569134263209</v>
      </c>
      <c r="DU63" s="59">
        <f t="shared" si="44"/>
        <v>283.48738729114024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47</v>
      </c>
      <c r="DX63" s="16">
        <f>IF(ISNA(VLOOKUP(A63,'Données projet'!$A$165:$I$185,5,0)),0%,VLOOKUP(A63,'Données projet'!$A$165:$I$185,5,0)*VLOOKUP('Données projet'!$B$14,Paramètres!$A$1:$I$89,7,0))</f>
        <v>0.215</v>
      </c>
      <c r="DY63" s="16">
        <f>IF(ISNA(VLOOKUP(A63,'Données projet'!$A$165:$I$185,6,0)),0%,VLOOKUP(A63,'Données projet'!$A$165:$I$185,6,0)*VLOOKUP('Données projet'!$B$14,Paramètres!$A$1:$I$89,7,0))</f>
        <v>0.17200000000000001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24.292493686110973</v>
      </c>
      <c r="EB63" s="21">
        <f>EXP(-LN(2)/25)*EB62+(1-EXP(-LN(2)/25))/(LN(2)/25)*Calculateur!DW63*Calculateur!DY63*VLOOKUP('Données projet'!$B$14,Paramètres!$A$1:$I$89,3,0)*0.475*44/12</f>
        <v>25.354627653472416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49.647121339583393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-1.1368683772161603E-13</v>
      </c>
      <c r="EK63" s="17">
        <f>EJ63*VLOOKUP('Données projet'!$B$15,Paramètres!$A$1:$I$89,3,0)*VLOOKUP('Données projet'!$B$15,Paramètres!$A$1:$I$89,5,0)</f>
        <v>-6.3550942286383367E-14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335.04906256888819</v>
      </c>
      <c r="EP63" s="59">
        <f t="shared" si="46"/>
        <v>440.84111898279554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205.28868280649928</v>
      </c>
      <c r="EW63" s="21">
        <f>EXP(-LN(2)/25)*EW62+(1-EXP(-LN(2)/25))/(LN(2)/25)*Calculateur!ER63*Calculateur!ET63*VLOOKUP('Données projet'!$B$15,Paramètres!$A$1:$I$89,3,0)*0.475*44/12</f>
        <v>50.150398612165304</v>
      </c>
      <c r="EX63" s="21">
        <f>EXP(-LN(2)/2)*EX62+(1-EXP(-LN(2)/2))/(LN(2)/2)*ER63*EU63*VLOOKUP('Données projet'!$B$15,Paramètres!$A$1:$I$89,3,0)*0.475*44/12</f>
        <v>6.0389224288707712</v>
      </c>
      <c r="EY63" s="22">
        <f t="shared" si="21"/>
        <v>261.47800384753538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8.6666666666666661</v>
      </c>
      <c r="N64" s="13">
        <f>IF('Données projet'!$A$36&gt;35,N63+M64-V63,IF(A64&lt;'Données projet'!$A$36,$K$205^A64,IF(A64='Données projet'!$A$36,'Données projet'!$B$36,N63+M64-V63)))</f>
        <v>258.66666666666669</v>
      </c>
      <c r="O64" s="13">
        <f>N64*VLOOKUP('Données projet'!$B$9,Paramètres!$A$1:$I$89,3,0)*VLOOKUP('Données projet'!$B$9,Paramètres!$A$1:$I$89,5,0)</f>
        <v>209.83040000000005</v>
      </c>
      <c r="P64" s="13">
        <f t="shared" si="33"/>
        <v>51.898522088668571</v>
      </c>
      <c r="Q64" s="20">
        <f t="shared" si="53"/>
        <v>455.84453930443124</v>
      </c>
      <c r="R64" s="59">
        <f t="shared" si="0"/>
        <v>749.17787263776449</v>
      </c>
      <c r="S64" s="59">
        <f ca="1">AVERAGE(OFFSET($R$3,0,0,'Données projet'!$E$9+1,1))-AVERAGE(OFFSET($H$3,0,0,'Données projet'!$E$9+1,1))</f>
        <v>298.96480270023716</v>
      </c>
      <c r="T64" s="59">
        <f t="shared" si="34"/>
        <v>293.11447542333889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30.528958942508595</v>
      </c>
      <c r="AA64" s="21">
        <f>EXP(-LN(2)/25)*AA63+(1-EXP(-LN(2)/25))/(LN(2)/25)*Calculateur!V64*Calculateur!X64*VLOOKUP('Données projet'!$B$9,Paramètres!$A$1:$I$89,3,0)*0.475*44/12</f>
        <v>31.612350650355342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62.141309592863934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9.7393162393162402</v>
      </c>
      <c r="AI64" s="13">
        <f>IF('Données projet'!$A$62&gt;35,AI63+AH64-AQ63,IF(A64&lt;'Données projet'!$A$62,$AF$205^A64,IF(A64='Données projet'!$A$62,'Données projet'!$B$62,AI63+AH64-AQ63)))</f>
        <v>224.93803418803444</v>
      </c>
      <c r="AJ64" s="13">
        <f>AI64*VLOOKUP('Données projet'!$B$10,Paramètres!$A$1:$I$89,3,0)*VLOOKUP('Données projet'!$B$10,Paramètres!$A$1:$I$89,5,0)</f>
        <v>192.99683333333357</v>
      </c>
      <c r="AK64" s="13">
        <f t="shared" si="35"/>
        <v>48.201905479394249</v>
      </c>
      <c r="AL64" s="20">
        <f t="shared" si="4"/>
        <v>420.08780343216762</v>
      </c>
      <c r="AM64" s="59">
        <f t="shared" si="5"/>
        <v>713.42113676550093</v>
      </c>
      <c r="AN64" s="59">
        <f ca="1">AVERAGE(OFFSET($AM$3,0,0,'Données projet'!$E$10+1,1))-AVERAGE(OFFSET($H$3,0,0,'Données projet'!$E$10+1,1))</f>
        <v>335.02113791949211</v>
      </c>
      <c r="AO64" s="59">
        <f t="shared" si="36"/>
        <v>222.06886429435099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7.7571685236082191</v>
      </c>
      <c r="AW64" s="21">
        <f>EXP(-LN(2)/2)*AW63+(1-EXP(-LN(2)/2))/(LN(2)/2)*AQ64*AT64*VLOOKUP('Données projet'!$B$10,Paramètres!$A$1:$I$89,3,0)*0.475*44/12</f>
        <v>1.2481906890362771</v>
      </c>
      <c r="AX64" s="21">
        <f t="shared" si="6"/>
        <v>9.0053592126444961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-3.1036506698001178E-14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207.02306964567629</v>
      </c>
      <c r="BJ64" s="59">
        <f t="shared" si="38"/>
        <v>342.06887933351783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44.493653215423592</v>
      </c>
      <c r="BQ64" s="21">
        <f>EXP(-LN(2)/25)*BQ63+(1-EXP(-LN(2)/25))/(LN(2)/25)*Calculateur!BL64*Calculateur!BN64*VLOOKUP('Données projet'!$B$11,Paramètres!$A$1:$I$89,3,0)*0.475*44/12</f>
        <v>83.75413306572014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128.24778628114373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209.10863999999989</v>
      </c>
      <c r="CA64" s="13">
        <f t="shared" si="39"/>
        <v>51.740752917407036</v>
      </c>
      <c r="CB64" s="20">
        <f t="shared" si="10"/>
        <v>454.31269266448368</v>
      </c>
      <c r="CC64" s="59">
        <f t="shared" si="11"/>
        <v>747.64602599781699</v>
      </c>
      <c r="CD64" s="59">
        <f ca="1">AVERAGE(OFFSET($CC$3,0,0,'Données projet'!$E$12+1,1))-AVERAGE(OFFSET($H$3,0,0,'Données projet'!$E$12+1,1))</f>
        <v>328.55201074501201</v>
      </c>
      <c r="CE64" s="59">
        <f t="shared" si="40"/>
        <v>321.81422611044985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29.122843767896189</v>
      </c>
      <c r="CL64" s="21">
        <f>EXP(-LN(2)/25)*CL63+(1-EXP(-LN(2)/25))/(LN(2)/25)*Calculateur!CG64*Calculateur!CI64*VLOOKUP('Données projet'!$B$12,Paramètres!$A$1:$I$89,3,0)*0.475*44/12</f>
        <v>8.5685942763000948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37.691438044196282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209.60000000000002</v>
      </c>
      <c r="CU64" s="17">
        <f>CT64*VLOOKUP('Données projet'!$B$13,Paramètres!$A$1:$I$89,3,0)*VLOOKUP('Données projet'!$B$13,Paramètres!$A$1:$I$89,5,0)</f>
        <v>183.10656000000003</v>
      </c>
      <c r="CV64" s="13">
        <f t="shared" si="41"/>
        <v>46.012648718992089</v>
      </c>
      <c r="CW64" s="20">
        <f t="shared" si="13"/>
        <v>399.04928851891128</v>
      </c>
      <c r="CX64" s="59">
        <f t="shared" si="14"/>
        <v>692.3826218522446</v>
      </c>
      <c r="CY64" s="59">
        <f ca="1">AVERAGE(OFFSET($CX$3,0,0,'Données projet'!$E$13+1,1))-AVERAGE(OFFSET($H$3,0,0,'Données projet'!$E$13+1,1))</f>
        <v>354.24684313982857</v>
      </c>
      <c r="CZ64" s="59">
        <f t="shared" si="42"/>
        <v>322.65043486962185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14.019354570787659</v>
      </c>
      <c r="DG64" s="21">
        <f>EXP(-LN(2)/25)*DG63+(1-EXP(-LN(2)/25))/(LN(2)/25)*Calculateur!DB64*Calculateur!DD64*VLOOKUP('Données projet'!$B$13,Paramètres!$A$1:$I$89,3,0)*0.475*44/12</f>
        <v>18.124463018656463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32.143817589444126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258.66666666666669</v>
      </c>
      <c r="DP64" s="17">
        <f>DO64*VLOOKUP('Données projet'!$B$14,Paramètres!$A$1:$I$89,3,0)*VLOOKUP('Données projet'!$B$14,Paramètres!$A$1:$I$89,5,0)</f>
        <v>201.76000000000002</v>
      </c>
      <c r="DQ64" s="13">
        <f t="shared" si="43"/>
        <v>50.130765000424212</v>
      </c>
      <c r="DR64" s="20">
        <f t="shared" si="16"/>
        <v>438.70974904240552</v>
      </c>
      <c r="DS64" s="59">
        <f t="shared" si="17"/>
        <v>732.04308237573878</v>
      </c>
      <c r="DT64" s="59">
        <f ca="1">AVERAGE(OFFSET($DS$3,0,0,'Données projet'!$E$14+1,1))-AVERAGE(OFFSET($H$3,0,0,'Données projet'!$E$14+1,1))</f>
        <v>288.80569134263209</v>
      </c>
      <c r="DU64" s="59">
        <f t="shared" si="44"/>
        <v>283.48738729114024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23.816132701884431</v>
      </c>
      <c r="EB64" s="21">
        <f>EXP(-LN(2)/25)*EB63+(1-EXP(-LN(2)/25))/(LN(2)/25)*Calculateur!DW64*Calculateur!DY64*VLOOKUP('Données projet'!$B$14,Paramètres!$A$1:$I$89,3,0)*0.475*44/12</f>
        <v>24.661304026946294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48.477436728830725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-1.1368683772161603E-13</v>
      </c>
      <c r="EK64" s="17">
        <f>EJ64*VLOOKUP('Données projet'!$B$15,Paramètres!$A$1:$I$89,3,0)*VLOOKUP('Données projet'!$B$15,Paramètres!$A$1:$I$89,5,0)</f>
        <v>-6.3550942286383367E-14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335.04906256888819</v>
      </c>
      <c r="EP64" s="59">
        <f t="shared" si="46"/>
        <v>440.84111898279554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201.26309695039652</v>
      </c>
      <c r="EW64" s="21">
        <f>EXP(-LN(2)/25)*EW63+(1-EXP(-LN(2)/25))/(LN(2)/25)*Calculateur!ER64*Calculateur!ET64*VLOOKUP('Données projet'!$B$15,Paramètres!$A$1:$I$89,3,0)*0.475*44/12</f>
        <v>48.779033324820801</v>
      </c>
      <c r="EX64" s="21">
        <f>EXP(-LN(2)/2)*EX63+(1-EXP(-LN(2)/2))/(LN(2)/2)*ER64*EU64*VLOOKUP('Données projet'!$B$15,Paramètres!$A$1:$I$89,3,0)*0.475*44/12</f>
        <v>4.2701630005140592</v>
      </c>
      <c r="EY64" s="22">
        <f t="shared" si="21"/>
        <v>254.31229327573138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8.6666666666666661</v>
      </c>
      <c r="N65" s="13">
        <f>IF('Données projet'!$A$36&gt;35,N64+M65-V64,IF(A65&lt;'Données projet'!$A$36,$K$205^A65,IF(A65='Données projet'!$A$36,'Données projet'!$B$36,N64+M65-V64)))</f>
        <v>267.33333333333337</v>
      </c>
      <c r="O65" s="13">
        <f>N65*VLOOKUP('Données projet'!$B$9,Paramètres!$A$1:$I$89,3,0)*VLOOKUP('Données projet'!$B$9,Paramètres!$A$1:$I$89,5,0)</f>
        <v>216.86080000000004</v>
      </c>
      <c r="P65" s="13">
        <f t="shared" si="33"/>
        <v>53.432026464152749</v>
      </c>
      <c r="Q65" s="20">
        <f t="shared" si="53"/>
        <v>470.76000609173275</v>
      </c>
      <c r="R65" s="59">
        <f t="shared" si="0"/>
        <v>764.09333942506601</v>
      </c>
      <c r="S65" s="59">
        <f ca="1">AVERAGE(OFFSET($R$3,0,0,'Données projet'!$E$9+1,1))-AVERAGE(OFFSET($H$3,0,0,'Données projet'!$E$9+1,1))</f>
        <v>298.96480270023716</v>
      </c>
      <c r="T65" s="59">
        <f t="shared" si="34"/>
        <v>293.11447542333889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29.930304678472304</v>
      </c>
      <c r="AA65" s="21">
        <f>EXP(-LN(2)/25)*AA64+(1-EXP(-LN(2)/25))/(LN(2)/25)*Calculateur!V65*Calculateur!X65*VLOOKUP('Données projet'!$B$9,Paramètres!$A$1:$I$89,3,0)*0.475*44/12</f>
        <v>30.747909259400107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60.678213937872414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9.7393162393162402</v>
      </c>
      <c r="AI65" s="13">
        <f>IF('Données projet'!$A$62&gt;35,AI64+AH65-AQ64,IF(A65&lt;'Données projet'!$A$62,$AF$205^A65,IF(A65='Données projet'!$A$62,'Données projet'!$B$62,AI64+AH65-AQ64)))</f>
        <v>234.67735042735069</v>
      </c>
      <c r="AJ65" s="13">
        <f>AI65*VLOOKUP('Données projet'!$B$10,Paramètres!$A$1:$I$89,3,0)*VLOOKUP('Données projet'!$B$10,Paramètres!$A$1:$I$89,5,0)</f>
        <v>201.35316666666694</v>
      </c>
      <c r="AK65" s="13">
        <f t="shared" si="35"/>
        <v>50.041435994454609</v>
      </c>
      <c r="AL65" s="20">
        <f t="shared" si="4"/>
        <v>437.84559963478665</v>
      </c>
      <c r="AM65" s="59">
        <f t="shared" si="5"/>
        <v>731.17893296811997</v>
      </c>
      <c r="AN65" s="59">
        <f ca="1">AVERAGE(OFFSET($AM$3,0,0,'Données projet'!$E$10+1,1))-AVERAGE(OFFSET($H$3,0,0,'Données projet'!$E$10+1,1))</f>
        <v>335.02113791949211</v>
      </c>
      <c r="AO65" s="59">
        <f t="shared" si="36"/>
        <v>222.06886429435099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7.5450483423983892</v>
      </c>
      <c r="AW65" s="21">
        <f>EXP(-LN(2)/2)*AW64+(1-EXP(-LN(2)/2))/(LN(2)/2)*AQ65*AT65*VLOOKUP('Données projet'!$B$10,Paramètres!$A$1:$I$89,3,0)*0.475*44/12</f>
        <v>0.88260410043146076</v>
      </c>
      <c r="AX65" s="21">
        <f t="shared" si="6"/>
        <v>8.4276524428298494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-3.1036506698001178E-14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207.02306964567629</v>
      </c>
      <c r="BJ65" s="59">
        <f t="shared" si="38"/>
        <v>342.06887933351783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43.621159814317899</v>
      </c>
      <c r="BQ65" s="21">
        <f>EXP(-LN(2)/25)*BQ64+(1-EXP(-LN(2)/25))/(LN(2)/25)*Calculateur!BL65*Calculateur!BN65*VLOOKUP('Données projet'!$B$11,Paramètres!$A$1:$I$89,3,0)*0.475*44/12</f>
        <v>81.463871892599585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125.08503170691748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212.92127999999988</v>
      </c>
      <c r="CA65" s="13">
        <f t="shared" si="39"/>
        <v>52.57344469809297</v>
      </c>
      <c r="CB65" s="20">
        <f t="shared" si="10"/>
        <v>462.40331218251168</v>
      </c>
      <c r="CC65" s="59">
        <f t="shared" si="11"/>
        <v>755.736645515845</v>
      </c>
      <c r="CD65" s="59">
        <f ca="1">AVERAGE(OFFSET($CC$3,0,0,'Données projet'!$E$12+1,1))-AVERAGE(OFFSET($H$3,0,0,'Données projet'!$E$12+1,1))</f>
        <v>328.55201074501201</v>
      </c>
      <c r="CE65" s="59">
        <f t="shared" si="40"/>
        <v>321.81422611044985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28.551762564788476</v>
      </c>
      <c r="CL65" s="21">
        <f>EXP(-LN(2)/25)*CL64+(1-EXP(-LN(2)/25))/(LN(2)/25)*Calculateur!CG65*Calculateur!CI65*VLOOKUP('Données projet'!$B$12,Paramètres!$A$1:$I$89,3,0)*0.475*44/12</f>
        <v>8.3342856152118792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36.886048180000358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215.20000000000002</v>
      </c>
      <c r="CU65" s="17">
        <f>CT65*VLOOKUP('Données projet'!$B$13,Paramètres!$A$1:$I$89,3,0)*VLOOKUP('Données projet'!$B$13,Paramètres!$A$1:$I$89,5,0)</f>
        <v>187.99872000000002</v>
      </c>
      <c r="CV65" s="13">
        <f t="shared" si="41"/>
        <v>47.097225953569499</v>
      </c>
      <c r="CW65" s="20">
        <f t="shared" si="13"/>
        <v>409.45877253580028</v>
      </c>
      <c r="CX65" s="59">
        <f t="shared" si="14"/>
        <v>702.79210586913359</v>
      </c>
      <c r="CY65" s="59">
        <f ca="1">AVERAGE(OFFSET($CX$3,0,0,'Données projet'!$E$13+1,1))-AVERAGE(OFFSET($H$3,0,0,'Données projet'!$E$13+1,1))</f>
        <v>354.24684313982857</v>
      </c>
      <c r="CZ65" s="59">
        <f t="shared" si="42"/>
        <v>322.65043486962185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13.744443578616464</v>
      </c>
      <c r="DG65" s="21">
        <f>EXP(-LN(2)/25)*DG64+(1-EXP(-LN(2)/25))/(LN(2)/25)*Calculateur!DB65*Calculateur!DD65*VLOOKUP('Données projet'!$B$13,Paramètres!$A$1:$I$89,3,0)*0.475*44/12</f>
        <v>17.628848624287215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31.373292202903677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267.33333333333337</v>
      </c>
      <c r="DP65" s="17">
        <f>DO65*VLOOKUP('Données projet'!$B$14,Paramètres!$A$1:$I$89,3,0)*VLOOKUP('Données projet'!$B$14,Paramètres!$A$1:$I$89,5,0)</f>
        <v>208.52000000000004</v>
      </c>
      <c r="DQ65" s="13">
        <f t="shared" si="43"/>
        <v>51.612035456318509</v>
      </c>
      <c r="DR65" s="20">
        <f t="shared" si="16"/>
        <v>453.06329508642142</v>
      </c>
      <c r="DS65" s="59">
        <f t="shared" si="17"/>
        <v>746.39662841975473</v>
      </c>
      <c r="DT65" s="59">
        <f ca="1">AVERAGE(OFFSET($DS$3,0,0,'Données projet'!$E$14+1,1))-AVERAGE(OFFSET($H$3,0,0,'Données projet'!$E$14+1,1))</f>
        <v>288.80569134263209</v>
      </c>
      <c r="DU65" s="59">
        <f t="shared" si="44"/>
        <v>283.48738729114024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23.349112866007061</v>
      </c>
      <c r="EB65" s="21">
        <f>EXP(-LN(2)/25)*EB64+(1-EXP(-LN(2)/25))/(LN(2)/25)*Calculateur!DW65*Calculateur!DY65*VLOOKUP('Données projet'!$B$14,Paramètres!$A$1:$I$89,3,0)*0.475*44/12</f>
        <v>23.986939371447832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47.336052237454894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-1.1368683772161603E-13</v>
      </c>
      <c r="EK65" s="17">
        <f>EJ65*VLOOKUP('Données projet'!$B$15,Paramètres!$A$1:$I$89,3,0)*VLOOKUP('Données projet'!$B$15,Paramètres!$A$1:$I$89,5,0)</f>
        <v>-6.3550942286383367E-14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335.04906256888819</v>
      </c>
      <c r="EP65" s="59">
        <f t="shared" si="46"/>
        <v>440.84111898279554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197.31645037756701</v>
      </c>
      <c r="EW65" s="21">
        <f>EXP(-LN(2)/25)*EW64+(1-EXP(-LN(2)/25))/(LN(2)/25)*Calculateur!ER65*Calculateur!ET65*VLOOKUP('Données projet'!$B$15,Paramètres!$A$1:$I$89,3,0)*0.475*44/12</f>
        <v>47.445168093375699</v>
      </c>
      <c r="EX65" s="21">
        <f>EXP(-LN(2)/2)*EX64+(1-EXP(-LN(2)/2))/(LN(2)/2)*ER65*EU65*VLOOKUP('Données projet'!$B$15,Paramètres!$A$1:$I$89,3,0)*0.475*44/12</f>
        <v>3.0194612144353861</v>
      </c>
      <c r="EY65" s="22">
        <f t="shared" si="21"/>
        <v>247.7810796853781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8.6666666666666661</v>
      </c>
      <c r="N66" s="13">
        <f>IF('Données projet'!$A$36&gt;35,N65+M66-V65,IF(A66&lt;'Données projet'!$A$36,$K$205^A66,IF(A66='Données projet'!$A$36,'Données projet'!$B$36,N65+M66-V65)))</f>
        <v>276.00000000000006</v>
      </c>
      <c r="O66" s="13">
        <f>N66*VLOOKUP('Données projet'!$B$9,Paramètres!$A$1:$I$89,3,0)*VLOOKUP('Données projet'!$B$9,Paramètres!$A$1:$I$89,5,0)</f>
        <v>223.89120000000005</v>
      </c>
      <c r="P66" s="13">
        <f t="shared" si="33"/>
        <v>54.95975389514863</v>
      </c>
      <c r="Q66" s="20">
        <f t="shared" si="53"/>
        <v>485.66541136738397</v>
      </c>
      <c r="R66" s="59">
        <f t="shared" si="0"/>
        <v>778.99874470071722</v>
      </c>
      <c r="S66" s="59">
        <f ca="1">AVERAGE(OFFSET($R$3,0,0,'Données projet'!$E$9+1,1))-AVERAGE(OFFSET($H$3,0,0,'Données projet'!$E$9+1,1))</f>
        <v>298.96480270023716</v>
      </c>
      <c r="T66" s="59">
        <f t="shared" si="34"/>
        <v>293.11447542333889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29.343389659410718</v>
      </c>
      <c r="AA66" s="21">
        <f>EXP(-LN(2)/25)*AA65+(1-EXP(-LN(2)/25))/(LN(2)/25)*Calculateur!V66*Calculateur!X66*VLOOKUP('Données projet'!$B$9,Paramètres!$A$1:$I$89,3,0)*0.475*44/12</f>
        <v>29.907106063739537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59.250495723150252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244.41666666666669</v>
      </c>
      <c r="AG66" s="12">
        <f>VLOOKUP(A66,'Données projet'!$A$61:$I$81,9,0)</f>
        <v>9.7393162393162402</v>
      </c>
      <c r="AH66" s="12">
        <f t="array" ref="AH66">INDEX(AG:AG,MIN(IF(ISNUMBER(AG66:AG262),ROW(AG66:AG262),"")))</f>
        <v>9.7393162393162402</v>
      </c>
      <c r="AI66" s="13">
        <f>IF('Données projet'!$A$62&gt;35,AI65+AH66-AQ65,IF(A66&lt;'Données projet'!$A$62,$AF$205^A66,IF(A66='Données projet'!$A$62,'Données projet'!$B$62,AI65+AH66-AQ65)))</f>
        <v>244.41666666666694</v>
      </c>
      <c r="AJ66" s="13">
        <f>AI66*VLOOKUP('Données projet'!$B$10,Paramètres!$A$1:$I$89,3,0)*VLOOKUP('Données projet'!$B$10,Paramètres!$A$1:$I$89,5,0)</f>
        <v>209.70950000000025</v>
      </c>
      <c r="AK66" s="13">
        <f t="shared" si="35"/>
        <v>51.872099025894236</v>
      </c>
      <c r="AL66" s="20">
        <f t="shared" si="4"/>
        <v>455.58795163676615</v>
      </c>
      <c r="AM66" s="59">
        <f t="shared" si="5"/>
        <v>748.92128497009946</v>
      </c>
      <c r="AN66" s="59">
        <f ca="1">AVERAGE(OFFSET($AM$3,0,0,'Données projet'!$E$10+1,1))-AVERAGE(OFFSET($H$3,0,0,'Données projet'!$E$10+1,1))</f>
        <v>335.02113791949211</v>
      </c>
      <c r="AO66" s="59">
        <f t="shared" si="36"/>
        <v>222.06886429435099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64.628205128205124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0.21200000000000002</v>
      </c>
      <c r="AT66" s="16">
        <f>IF(ISNA(VLOOKUP(A66,'Données projet'!$A$61:$I$81,7,0)),0%,VLOOKUP(A66,'Données projet'!$A$61:$I$81,7,0))</f>
        <v>0.3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20.283041298171355</v>
      </c>
      <c r="AW66" s="21">
        <f>EXP(-LN(2)/2)*AW65+(1-EXP(-LN(2)/2))/(LN(2)/2)*AQ66*AT66*VLOOKUP('Données projet'!$B$10,Paramètres!$A$1:$I$89,3,0)*0.475*44/12</f>
        <v>16.319948627053154</v>
      </c>
      <c r="AX66" s="21">
        <f t="shared" si="6"/>
        <v>36.602989925224506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-3.1036506698001178E-14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207.02306964567629</v>
      </c>
      <c r="BJ66" s="59">
        <f t="shared" si="38"/>
        <v>342.06887933351783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42.765775476639462</v>
      </c>
      <c r="BQ66" s="21">
        <f>EXP(-LN(2)/25)*BQ65+(1-EXP(-LN(2)/25))/(LN(2)/25)*Calculateur!BL66*Calculateur!BN66*VLOOKUP('Données projet'!$B$11,Paramètres!$A$1:$I$89,3,0)*0.475*44/12</f>
        <v>79.23623803169761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122.00201350833707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216.7339199999999</v>
      </c>
      <c r="CA66" s="13">
        <f t="shared" si="39"/>
        <v>53.404402610883679</v>
      </c>
      <c r="CB66" s="20">
        <f t="shared" si="10"/>
        <v>470.49091188062221</v>
      </c>
      <c r="CC66" s="59">
        <f t="shared" si="11"/>
        <v>763.82424521395546</v>
      </c>
      <c r="CD66" s="59">
        <f ca="1">AVERAGE(OFFSET($CC$3,0,0,'Données projet'!$E$12+1,1))-AVERAGE(OFFSET($H$3,0,0,'Données projet'!$E$12+1,1))</f>
        <v>328.55201074501201</v>
      </c>
      <c r="CE66" s="59">
        <f t="shared" si="40"/>
        <v>321.81422611044985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27.991879915748562</v>
      </c>
      <c r="CL66" s="21">
        <f>EXP(-LN(2)/25)*CL65+(1-EXP(-LN(2)/25))/(LN(2)/25)*Calculateur!CG66*Calculateur!CI66*VLOOKUP('Données projet'!$B$12,Paramètres!$A$1:$I$89,3,0)*0.475*44/12</f>
        <v>8.1063841367828786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36.098264052531441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220.8</v>
      </c>
      <c r="CU66" s="17">
        <f>CT66*VLOOKUP('Données projet'!$B$13,Paramètres!$A$1:$I$89,3,0)*VLOOKUP('Données projet'!$B$13,Paramètres!$A$1:$I$89,5,0)</f>
        <v>192.89088000000004</v>
      </c>
      <c r="CV66" s="13">
        <f t="shared" si="41"/>
        <v>48.178522586846704</v>
      </c>
      <c r="CW66" s="20">
        <f t="shared" si="13"/>
        <v>419.86254283875809</v>
      </c>
      <c r="CX66" s="59">
        <f t="shared" si="14"/>
        <v>713.1958761720914</v>
      </c>
      <c r="CY66" s="59">
        <f ca="1">AVERAGE(OFFSET($CX$3,0,0,'Données projet'!$E$13+1,1))-AVERAGE(OFFSET($H$3,0,0,'Données projet'!$E$13+1,1))</f>
        <v>354.24684313982857</v>
      </c>
      <c r="CZ66" s="59">
        <f t="shared" si="42"/>
        <v>322.65043486962185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13.474923423322597</v>
      </c>
      <c r="DG66" s="21">
        <f>EXP(-LN(2)/25)*DG65+(1-EXP(-LN(2)/25))/(LN(2)/25)*Calculateur!DB66*Calculateur!DD66*VLOOKUP('Données projet'!$B$13,Paramètres!$A$1:$I$89,3,0)*0.475*44/12</f>
        <v>17.146786831595225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30.621710254917822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276.00000000000006</v>
      </c>
      <c r="DP66" s="17">
        <f>DO66*VLOOKUP('Données projet'!$B$14,Paramètres!$A$1:$I$89,3,0)*VLOOKUP('Données projet'!$B$14,Paramètres!$A$1:$I$89,5,0)</f>
        <v>215.28000000000006</v>
      </c>
      <c r="DQ66" s="13">
        <f t="shared" si="43"/>
        <v>53.087725740853138</v>
      </c>
      <c r="DR66" s="20">
        <f t="shared" si="16"/>
        <v>467.40712233198593</v>
      </c>
      <c r="DS66" s="59">
        <f t="shared" si="17"/>
        <v>760.74045566531925</v>
      </c>
      <c r="DT66" s="59">
        <f ca="1">AVERAGE(OFFSET($DS$3,0,0,'Données projet'!$E$14+1,1))-AVERAGE(OFFSET($H$3,0,0,'Données projet'!$E$14+1,1))</f>
        <v>288.80569134263209</v>
      </c>
      <c r="DU66" s="59">
        <f t="shared" si="44"/>
        <v>283.48738729114024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22.891251004257274</v>
      </c>
      <c r="EB66" s="21">
        <f>EXP(-LN(2)/25)*EB65+(1-EXP(-LN(2)/25))/(LN(2)/25)*Calculateur!DW66*Calculateur!DY66*VLOOKUP('Données projet'!$B$14,Paramètres!$A$1:$I$89,3,0)*0.475*44/12</f>
        <v>23.331015252917272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46.222266257174546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-1.1368683772161603E-13</v>
      </c>
      <c r="EK66" s="17">
        <f>EJ66*VLOOKUP('Données projet'!$B$15,Paramètres!$A$1:$I$89,3,0)*VLOOKUP('Données projet'!$B$15,Paramètres!$A$1:$I$89,5,0)</f>
        <v>-6.3550942286383367E-14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335.04906256888819</v>
      </c>
      <c r="EP66" s="59">
        <f t="shared" si="46"/>
        <v>440.84111898279554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193.44719513681397</v>
      </c>
      <c r="EW66" s="21">
        <f>EXP(-LN(2)/25)*EW65+(1-EXP(-LN(2)/25))/(LN(2)/25)*Calculateur!ER66*Calculateur!ET66*VLOOKUP('Données projet'!$B$15,Paramètres!$A$1:$I$89,3,0)*0.475*44/12</f>
        <v>46.14777747682939</v>
      </c>
      <c r="EX66" s="21">
        <f>EXP(-LN(2)/2)*EX65+(1-EXP(-LN(2)/2))/(LN(2)/2)*ER66*EU66*VLOOKUP('Données projet'!$B$15,Paramètres!$A$1:$I$89,3,0)*0.475*44/12</f>
        <v>2.1350815002570296</v>
      </c>
      <c r="EY66" s="22">
        <f t="shared" si="21"/>
        <v>241.73005411390039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8.6666666666666661</v>
      </c>
      <c r="N67" s="13">
        <f>IF('Données projet'!$A$36&gt;35,N66+M67-V66,IF(A67&lt;'Données projet'!$A$36,$K$205^A67,IF(A67='Données projet'!$A$36,'Données projet'!$B$36,N66+M67-V66)))</f>
        <v>284.66666666666674</v>
      </c>
      <c r="O67" s="13">
        <f>N67*VLOOKUP('Données projet'!$B$9,Paramètres!$A$1:$I$89,3,0)*VLOOKUP('Données projet'!$B$9,Paramètres!$A$1:$I$89,5,0)</f>
        <v>230.92160000000007</v>
      </c>
      <c r="P67" s="13">
        <f t="shared" si="33"/>
        <v>56.481906596223766</v>
      </c>
      <c r="Q67" s="20">
        <f t="shared" ref="Q67:Q98" si="54">(O67+P67)*0.475*44/12</f>
        <v>500.56110732175648</v>
      </c>
      <c r="R67" s="59">
        <f t="shared" ref="R67:R130" si="55">Q67+(I67+J67)*44/12</f>
        <v>793.89444065508974</v>
      </c>
      <c r="S67" s="59">
        <f ca="1">AVERAGE(OFFSET($R$3,0,0,'Données projet'!$E$9+1,1))-AVERAGE(OFFSET($H$3,0,0,'Données projet'!$E$9+1,1))</f>
        <v>298.96480270023716</v>
      </c>
      <c r="T67" s="59">
        <f t="shared" si="34"/>
        <v>293.11447542333889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28.767983685890115</v>
      </c>
      <c r="AA67" s="21">
        <f>EXP(-LN(2)/25)*AA66+(1-EXP(-LN(2)/25))/(LN(2)/25)*Calculateur!V67*Calculateur!X67*VLOOKUP('Données projet'!$B$9,Paramètres!$A$1:$I$89,3,0)*0.475*44/12</f>
        <v>29.089294675680225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57.857278361570337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8.9615384615384599</v>
      </c>
      <c r="AI67" s="13">
        <f>IF('Données projet'!$A$62&gt;35,AI66+AH67-AQ66,IF(A67&lt;'Données projet'!$A$62,$AF$205^A67,IF(A67='Données projet'!$A$62,'Données projet'!$B$62,AI66+AH67-AQ66)))</f>
        <v>188.75000000000028</v>
      </c>
      <c r="AJ67" s="13">
        <f>AI67*VLOOKUP('Données projet'!$B$10,Paramètres!$A$1:$I$89,3,0)*VLOOKUP('Données projet'!$B$10,Paramètres!$A$1:$I$89,5,0)</f>
        <v>161.94750000000028</v>
      </c>
      <c r="AK67" s="13">
        <f t="shared" si="35"/>
        <v>41.281469692265873</v>
      </c>
      <c r="AL67" s="20">
        <f t="shared" si="4"/>
        <v>353.95712221403022</v>
      </c>
      <c r="AM67" s="59">
        <f t="shared" si="5"/>
        <v>647.29045554736354</v>
      </c>
      <c r="AN67" s="59">
        <f ca="1">AVERAGE(OFFSET($AM$3,0,0,'Données projet'!$E$10+1,1))-AVERAGE(OFFSET($H$3,0,0,'Données projet'!$E$10+1,1))</f>
        <v>335.02113791949211</v>
      </c>
      <c r="AO67" s="59">
        <f t="shared" si="36"/>
        <v>222.06886429435099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19.728400467234074</v>
      </c>
      <c r="AW67" s="21">
        <f>EXP(-LN(2)/2)*AW66+(1-EXP(-LN(2)/2))/(LN(2)/2)*AQ67*AT67*VLOOKUP('Données projet'!$B$10,Paramètres!$A$1:$I$89,3,0)*0.475*44/12</f>
        <v>11.539946342805372</v>
      </c>
      <c r="AX67" s="21">
        <f t="shared" si="6"/>
        <v>31.268346810039446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-3.1036506698001178E-14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207.02306964567629</v>
      </c>
      <c r="BJ67" s="59">
        <f t="shared" si="38"/>
        <v>342.06887933351783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41.927164704089968</v>
      </c>
      <c r="BQ67" s="21">
        <f>EXP(-LN(2)/25)*BQ66+(1-EXP(-LN(2)/25))/(LN(2)/25)*Calculateur!BL67*Calculateur!BN67*VLOOKUP('Données projet'!$B$11,Paramètres!$A$1:$I$89,3,0)*0.475*44/12</f>
        <v>77.069518935868174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118.99668363995815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220.54655999999989</v>
      </c>
      <c r="CA67" s="13">
        <f t="shared" si="39"/>
        <v>54.233660675860236</v>
      </c>
      <c r="CB67" s="20">
        <f t="shared" si="10"/>
        <v>478.57555101045637</v>
      </c>
      <c r="CC67" s="59">
        <f t="shared" si="11"/>
        <v>771.90888434378962</v>
      </c>
      <c r="CD67" s="59">
        <f ca="1">AVERAGE(OFFSET($CC$3,0,0,'Données projet'!$E$12+1,1))-AVERAGE(OFFSET($H$3,0,0,'Données projet'!$E$12+1,1))</f>
        <v>328.55201074501201</v>
      </c>
      <c r="CE67" s="59">
        <f t="shared" si="40"/>
        <v>321.81422611044985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27.442976223961626</v>
      </c>
      <c r="CL67" s="21">
        <f>EXP(-LN(2)/25)*CL66+(1-EXP(-LN(2)/25))/(LN(2)/25)*Calculateur!CG67*Calculateur!CI67*VLOOKUP('Données projet'!$B$12,Paramètres!$A$1:$I$89,3,0)*0.475*44/12</f>
        <v>7.8847146362663363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35.32769086022796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226.4</v>
      </c>
      <c r="CU67" s="17">
        <f>CT67*VLOOKUP('Données projet'!$B$13,Paramètres!$A$1:$I$89,3,0)*VLOOKUP('Données projet'!$B$13,Paramètres!$A$1:$I$89,5,0)</f>
        <v>197.78304000000003</v>
      </c>
      <c r="CV67" s="13">
        <f t="shared" si="41"/>
        <v>49.256631390532817</v>
      </c>
      <c r="CW67" s="20">
        <f t="shared" si="13"/>
        <v>430.26076100517804</v>
      </c>
      <c r="CX67" s="59">
        <f t="shared" si="14"/>
        <v>723.59409433851135</v>
      </c>
      <c r="CY67" s="59">
        <f ca="1">AVERAGE(OFFSET($CX$3,0,0,'Données projet'!$E$13+1,1))-AVERAGE(OFFSET($H$3,0,0,'Données projet'!$E$13+1,1))</f>
        <v>354.24684313982857</v>
      </c>
      <c r="CZ67" s="59">
        <f t="shared" si="42"/>
        <v>322.65043486962185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13.210688393882981</v>
      </c>
      <c r="DG67" s="21">
        <f>EXP(-LN(2)/25)*DG66+(1-EXP(-LN(2)/25))/(LN(2)/25)*Calculateur!DB67*Calculateur!DD67*VLOOKUP('Données projet'!$B$13,Paramètres!$A$1:$I$89,3,0)*0.475*44/12</f>
        <v>16.677907043974923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29.888595437857902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284.66666666666674</v>
      </c>
      <c r="DP67" s="17">
        <f>DO67*VLOOKUP('Données projet'!$B$14,Paramètres!$A$1:$I$89,3,0)*VLOOKUP('Données projet'!$B$14,Paramètres!$A$1:$I$89,5,0)</f>
        <v>222.04000000000008</v>
      </c>
      <c r="DQ67" s="13">
        <f t="shared" si="43"/>
        <v>54.558031180803596</v>
      </c>
      <c r="DR67" s="20">
        <f t="shared" si="16"/>
        <v>481.74157097323308</v>
      </c>
      <c r="DS67" s="59">
        <f t="shared" si="17"/>
        <v>775.0749043065664</v>
      </c>
      <c r="DT67" s="59">
        <f ca="1">AVERAGE(OFFSET($DS$3,0,0,'Données projet'!$E$14+1,1))-AVERAGE(OFFSET($H$3,0,0,'Données projet'!$E$14+1,1))</f>
        <v>288.80569134263209</v>
      </c>
      <c r="DU67" s="59">
        <f t="shared" si="44"/>
        <v>283.48738729114024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22.442367534348239</v>
      </c>
      <c r="EB67" s="21">
        <f>EXP(-LN(2)/25)*EB66+(1-EXP(-LN(2)/25))/(LN(2)/25)*Calculateur!DW67*Calculateur!DY67*VLOOKUP('Données projet'!$B$14,Paramètres!$A$1:$I$89,3,0)*0.475*44/12</f>
        <v>22.693027413901479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45.135394948249719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-1.1368683772161603E-13</v>
      </c>
      <c r="EK67" s="17">
        <f>EJ67*VLOOKUP('Données projet'!$B$15,Paramètres!$A$1:$I$89,3,0)*VLOOKUP('Données projet'!$B$15,Paramètres!$A$1:$I$89,5,0)</f>
        <v>-6.3550942286383367E-14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335.04906256888819</v>
      </c>
      <c r="EP67" s="59">
        <f t="shared" si="46"/>
        <v>440.84111898279554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189.65381363131942</v>
      </c>
      <c r="EW67" s="21">
        <f>EXP(-LN(2)/25)*EW66+(1-EXP(-LN(2)/25))/(LN(2)/25)*Calculateur!ER67*Calculateur!ET67*VLOOKUP('Données projet'!$B$15,Paramètres!$A$1:$I$89,3,0)*0.475*44/12</f>
        <v>44.885864074919347</v>
      </c>
      <c r="EX67" s="21">
        <f>EXP(-LN(2)/2)*EX66+(1-EXP(-LN(2)/2))/(LN(2)/2)*ER67*EU67*VLOOKUP('Données projet'!$B$15,Paramètres!$A$1:$I$89,3,0)*0.475*44/12</f>
        <v>1.509730607217693</v>
      </c>
      <c r="EY67" s="22">
        <f t="shared" si="21"/>
        <v>236.04940831345647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8.6666666666666661</v>
      </c>
      <c r="N68" s="13">
        <f>IF('Données projet'!$A$36&gt;35,N67+M68-V67,IF(A68&lt;'Données projet'!$A$36,$K$205^A68,IF(A68='Données projet'!$A$36,'Données projet'!$B$36,N67+M68-V67)))</f>
        <v>293.33333333333343</v>
      </c>
      <c r="O68" s="13">
        <f>N68*VLOOKUP('Données projet'!$B$9,Paramètres!$A$1:$I$89,3,0)*VLOOKUP('Données projet'!$B$9,Paramètres!$A$1:$I$89,5,0)</f>
        <v>237.95200000000008</v>
      </c>
      <c r="P68" s="13">
        <f t="shared" si="33"/>
        <v>57.99867376947342</v>
      </c>
      <c r="Q68" s="20">
        <f t="shared" si="54"/>
        <v>515.44742348183297</v>
      </c>
      <c r="R68" s="59">
        <f t="shared" si="55"/>
        <v>808.78075681516634</v>
      </c>
      <c r="S68" s="59">
        <f ca="1">AVERAGE(OFFSET($R$3,0,0,'Données projet'!$E$9+1,1))-AVERAGE(OFFSET($H$3,0,0,'Données projet'!$E$9+1,1))</f>
        <v>298.96480270023716</v>
      </c>
      <c r="T68" s="59">
        <f t="shared" si="34"/>
        <v>293.11447542333889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28.203861072547262</v>
      </c>
      <c r="AA68" s="21">
        <f>EXP(-LN(2)/25)*AA67+(1-EXP(-LN(2)/25))/(LN(2)/25)*Calculateur!V68*Calculateur!X68*VLOOKUP('Données projet'!$B$9,Paramètres!$A$1:$I$89,3,0)*0.475*44/12</f>
        <v>28.293846383034229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56.497707455581491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8.9615384615384599</v>
      </c>
      <c r="AI68" s="13">
        <f>IF('Données projet'!$A$62&gt;35,AI67+AH68-AQ67,IF(A68&lt;'Données projet'!$A$62,$AF$205^A68,IF(A68='Données projet'!$A$62,'Données projet'!$B$62,AI67+AH68-AQ67)))</f>
        <v>197.71153846153874</v>
      </c>
      <c r="AJ68" s="13">
        <f>AI68*VLOOKUP('Données projet'!$B$10,Paramètres!$A$1:$I$89,3,0)*VLOOKUP('Données projet'!$B$10,Paramètres!$A$1:$I$89,5,0)</f>
        <v>169.63650000000024</v>
      </c>
      <c r="AK68" s="13">
        <f t="shared" si="35"/>
        <v>43.008601537975395</v>
      </c>
      <c r="AL68" s="20">
        <f t="shared" ref="AL68:AL131" si="58">(AJ68+AK68)*0.475*44/12</f>
        <v>370.35688517864082</v>
      </c>
      <c r="AM68" s="59">
        <f t="shared" ref="AM68:AM131" si="59">AL68+(AD68+AE68)*44/12</f>
        <v>663.69021851197408</v>
      </c>
      <c r="AN68" s="59">
        <f ca="1">AVERAGE(OFFSET($AM$3,0,0,'Données projet'!$E$10+1,1))-AVERAGE(OFFSET($H$3,0,0,'Données projet'!$E$10+1,1))</f>
        <v>335.02113791949211</v>
      </c>
      <c r="AO68" s="59">
        <f t="shared" si="36"/>
        <v>222.06886429435099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19.188926318986066</v>
      </c>
      <c r="AW68" s="21">
        <f>EXP(-LN(2)/2)*AW67+(1-EXP(-LN(2)/2))/(LN(2)/2)*AQ68*AT68*VLOOKUP('Données projet'!$B$10,Paramètres!$A$1:$I$89,3,0)*0.475*44/12</f>
        <v>8.159974313526579</v>
      </c>
      <c r="AX68" s="21">
        <f t="shared" ref="AX68:AX131" si="60">SUM(AU68:AW68)</f>
        <v>27.348900632512645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-3.1036506698001178E-14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207.02306964567629</v>
      </c>
      <c r="BJ68" s="59">
        <f t="shared" si="38"/>
        <v>342.06887933351783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41.104998577288107</v>
      </c>
      <c r="BQ68" s="21">
        <f>EXP(-LN(2)/25)*BQ67+(1-EXP(-LN(2)/25))/(LN(2)/25)*Calculateur!BL68*Calculateur!BN68*VLOOKUP('Données projet'!$B$11,Paramètres!$A$1:$I$89,3,0)*0.475*44/12</f>
        <v>74.962048887657005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116.06704746494512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224.35919999999987</v>
      </c>
      <c r="CA68" s="13">
        <f t="shared" si="39"/>
        <v>55.061251669487255</v>
      </c>
      <c r="CB68" s="20">
        <f t="shared" ref="CB68:CB131" si="64">(BZ68+CA68)*0.475*44/12</f>
        <v>486.65728665769001</v>
      </c>
      <c r="CC68" s="59">
        <f t="shared" ref="CC68:CC131" si="65">CB68+(BT68+BU68)*44/12</f>
        <v>779.99061999102332</v>
      </c>
      <c r="CD68" s="59">
        <f ca="1">AVERAGE(OFFSET($CC$3,0,0,'Données projet'!$E$12+1,1))-AVERAGE(OFFSET($H$3,0,0,'Données projet'!$E$12+1,1))</f>
        <v>328.55201074501201</v>
      </c>
      <c r="CE68" s="59">
        <f t="shared" si="40"/>
        <v>321.81422611044985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0.39560000000000001</v>
      </c>
      <c r="CI68" s="16">
        <f>IF(ISNA(VLOOKUP(A68,'Données projet'!$A$113:$I$133,6,0)),0%,VLOOKUP(A68,'Données projet'!$A$113:$I$133,6,0)*VLOOKUP('Données projet'!$B$12,Paramètres!$A$1:$I$89,7,0))</f>
        <v>3.44E-2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31.073234420128898</v>
      </c>
      <c r="CL68" s="21">
        <f>EXP(-LN(2)/25)*CL67+(1-EXP(-LN(2)/25))/(LN(2)/25)*Calculateur!CG68*Calculateur!CI68*VLOOKUP('Données projet'!$B$12,Paramètres!$A$1:$I$89,3,0)*0.475*44/12</f>
        <v>8.0301489302702276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39.103383350399127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232</v>
      </c>
      <c r="CR68" s="12">
        <f>VLOOKUP(A68,'Données projet'!$A$139:$I$159,9,0)</f>
        <v>5.6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232</v>
      </c>
      <c r="CU68" s="17">
        <f>CT68*VLOOKUP('Données projet'!$B$13,Paramètres!$A$1:$I$89,3,0)*VLOOKUP('Données projet'!$B$13,Paramètres!$A$1:$I$89,5,0)</f>
        <v>202.67520000000002</v>
      </c>
      <c r="CV68" s="13">
        <f t="shared" si="41"/>
        <v>50.331640285313689</v>
      </c>
      <c r="CW68" s="20">
        <f t="shared" ref="CW68:CW131" si="67">(CU68+CV68)*0.475*44/12</f>
        <v>440.653580163588</v>
      </c>
      <c r="CX68" s="59">
        <f t="shared" ref="CX68:CX131" si="68">CW68+(CO68+CP68)*44/12</f>
        <v>733.98691349692126</v>
      </c>
      <c r="CY68" s="59">
        <f ca="1">AVERAGE(OFFSET($CX$3,0,0,'Données projet'!$E$13+1,1))-AVERAGE(OFFSET($H$3,0,0,'Données projet'!$E$13+1,1))</f>
        <v>354.24684313982857</v>
      </c>
      <c r="CZ68" s="59">
        <f t="shared" si="42"/>
        <v>322.65043486962185</v>
      </c>
      <c r="DA68" s="15">
        <f>IF(ISNA(VLOOKUP(A68,'Données projet'!$A$139:$I$159,3,0)),0,VLOOKUP(A68,'Données projet'!$A$139:$I$159,3,0))</f>
        <v>10</v>
      </c>
      <c r="DB68" s="15" t="str">
        <f>IF(ISNA(VLOOKUP(A68,'Données projet'!$A$139:$I$159,4,0)),0,VLOOKUP(A68,'Données projet'!$A$139:$I$159,4,0))</f>
        <v>20</v>
      </c>
      <c r="DC68" s="16">
        <f>IF(ISNA(VLOOKUP(A68,'Données projet'!$A$139:$I$159,5,0)),0%,VLOOKUP(A68,'Données projet'!$A$139:$I$159,5,0)*VLOOKUP('Données projet'!$B$13,Paramètres!$A$1:$I$89,7,0))</f>
        <v>0.215</v>
      </c>
      <c r="DD68" s="16">
        <f>IF(ISNA(VLOOKUP(A68,'Données projet'!$A$139:$I$159,6,0)),0%,VLOOKUP(A68,'Données projet'!$A$139:$I$159,6,0)*VLOOKUP('Données projet'!$B$13,Paramètres!$A$1:$I$89,7,0))</f>
        <v>0.17200000000000001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17.104312223511158</v>
      </c>
      <c r="DG68" s="21">
        <f>EXP(-LN(2)/25)*DG67+(1-EXP(-LN(2)/25))/(LN(2)/25)*Calculateur!DB68*Calculateur!DD68*VLOOKUP('Données projet'!$B$13,Paramètres!$A$1:$I$89,3,0)*0.475*44/12</f>
        <v>19.53091015736679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36.635222380877948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293.33333333333343</v>
      </c>
      <c r="DP68" s="17">
        <f>DO68*VLOOKUP('Données projet'!$B$14,Paramètres!$A$1:$I$89,3,0)*VLOOKUP('Données projet'!$B$14,Paramètres!$A$1:$I$89,5,0)</f>
        <v>228.80000000000007</v>
      </c>
      <c r="DQ68" s="13">
        <f t="shared" si="43"/>
        <v>56.023134533701196</v>
      </c>
      <c r="DR68" s="20">
        <f t="shared" ref="DR68:DR131" si="70">(DP68+DQ68)*0.475*44/12</f>
        <v>496.06695931286299</v>
      </c>
      <c r="DS68" s="59">
        <f t="shared" ref="DS68:DS131" si="71">DR68+(DJ68+DK68)*44/12</f>
        <v>789.40029264619625</v>
      </c>
      <c r="DT68" s="59">
        <f ca="1">AVERAGE(OFFSET($DS$3,0,0,'Données projet'!$E$14+1,1))-AVERAGE(OFFSET($H$3,0,0,'Données projet'!$E$14+1,1))</f>
        <v>288.80569134263209</v>
      </c>
      <c r="DU68" s="59">
        <f t="shared" si="44"/>
        <v>283.48738729114024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22.002286395492241</v>
      </c>
      <c r="EB68" s="21">
        <f>EXP(-LN(2)/25)*EB67+(1-EXP(-LN(2)/25))/(LN(2)/25)*Calculateur!DW68*Calculateur!DY68*VLOOKUP('Données projet'!$B$14,Paramètres!$A$1:$I$89,3,0)*0.475*44/12</f>
        <v>22.072485385893899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44.07477178138614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-1.1368683772161603E-13</v>
      </c>
      <c r="EK68" s="17">
        <f>EJ68*VLOOKUP('Données projet'!$B$15,Paramètres!$A$1:$I$89,3,0)*VLOOKUP('Données projet'!$B$15,Paramètres!$A$1:$I$89,5,0)</f>
        <v>-6.3550942286383367E-14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335.04906256888819</v>
      </c>
      <c r="EP68" s="59">
        <f t="shared" si="46"/>
        <v>440.84111898279554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185.93481802341336</v>
      </c>
      <c r="EW68" s="21">
        <f>EXP(-LN(2)/25)*EW67+(1-EXP(-LN(2)/25))/(LN(2)/25)*Calculateur!ER68*Calculateur!ET68*VLOOKUP('Données projet'!$B$15,Paramètres!$A$1:$I$89,3,0)*0.475*44/12</f>
        <v>43.658457761345673</v>
      </c>
      <c r="EX68" s="21">
        <f>EXP(-LN(2)/2)*EX67+(1-EXP(-LN(2)/2))/(LN(2)/2)*ER68*EU68*VLOOKUP('Données projet'!$B$15,Paramètres!$A$1:$I$89,3,0)*0.475*44/12</f>
        <v>1.0675407501285148</v>
      </c>
      <c r="EY68" s="22">
        <f t="shared" ref="EY68:EY131" si="75">SUM(EV68:EX68)</f>
        <v>230.66081653488754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8.6666666666666661</v>
      </c>
      <c r="N69" s="13">
        <f>IF('Données projet'!$A$36&gt;35,N68+M69-V68,IF(A69&lt;'Données projet'!$A$36,$K$205^A69,IF(A69='Données projet'!$A$36,'Données projet'!$B$36,N68+M69-V68)))</f>
        <v>302.00000000000011</v>
      </c>
      <c r="O69" s="13">
        <f>N69*VLOOKUP('Données projet'!$B$9,Paramètres!$A$1:$I$89,3,0)*VLOOKUP('Données projet'!$B$9,Paramètres!$A$1:$I$89,5,0)</f>
        <v>244.98240000000013</v>
      </c>
      <c r="P69" s="13">
        <f t="shared" ref="P69:P132" si="87">EXP(-1.0587+0.8836*LN(O69)+0.284)</f>
        <v>59.510232801299694</v>
      </c>
      <c r="Q69" s="20">
        <f t="shared" si="54"/>
        <v>530.32466879559718</v>
      </c>
      <c r="R69" s="59">
        <f t="shared" si="55"/>
        <v>823.65800212893055</v>
      </c>
      <c r="S69" s="59">
        <f ca="1">AVERAGE(OFFSET($R$3,0,0,'Données projet'!$E$9+1,1))-AVERAGE(OFFSET($H$3,0,0,'Données projet'!$E$9+1,1))</f>
        <v>298.96480270023716</v>
      </c>
      <c r="T69" s="59">
        <f t="shared" ref="T69:T132" si="88">$T$3</f>
        <v>293.11447542333889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27.650800559571245</v>
      </c>
      <c r="AA69" s="21">
        <f>EXP(-LN(2)/25)*AA68+(1-EXP(-LN(2)/25))/(LN(2)/25)*Calculateur!V69*Calculateur!X69*VLOOKUP('Données projet'!$B$9,Paramètres!$A$1:$I$89,3,0)*0.475*44/12</f>
        <v>27.520149665781442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55.170950225352684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8.9615384615384599</v>
      </c>
      <c r="AI69" s="13">
        <f>IF('Données projet'!$A$62&gt;35,AI68+AH69-AQ68,IF(A69&lt;'Données projet'!$A$62,$AF$205^A69,IF(A69='Données projet'!$A$62,'Données projet'!$B$62,AI68+AH69-AQ68)))</f>
        <v>206.67307692307719</v>
      </c>
      <c r="AJ69" s="13">
        <f>AI69*VLOOKUP('Données projet'!$B$10,Paramètres!$A$1:$I$89,3,0)*VLOOKUP('Données projet'!$B$10,Paramètres!$A$1:$I$89,5,0)</f>
        <v>177.32550000000023</v>
      </c>
      <c r="AK69" s="13">
        <f t="shared" ref="AK69:AK132" si="89">EXP(-1.0587+0.8836*LN(AJ69)+0.284)</f>
        <v>44.72664177106892</v>
      </c>
      <c r="AL69" s="20">
        <f t="shared" si="58"/>
        <v>386.74081358461211</v>
      </c>
      <c r="AM69" s="59">
        <f t="shared" si="59"/>
        <v>680.07414691794543</v>
      </c>
      <c r="AN69" s="59">
        <f ca="1">AVERAGE(OFFSET($AM$3,0,0,'Données projet'!$E$10+1,1))-AVERAGE(OFFSET($H$3,0,0,'Données projet'!$E$10+1,1))</f>
        <v>335.02113791949211</v>
      </c>
      <c r="AO69" s="59">
        <f t="shared" ref="AO69:AO132" si="90">$AO$3</f>
        <v>222.06886429435099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18.664204119691615</v>
      </c>
      <c r="AW69" s="21">
        <f>EXP(-LN(2)/2)*AW68+(1-EXP(-LN(2)/2))/(LN(2)/2)*AQ69*AT69*VLOOKUP('Données projet'!$B$10,Paramètres!$A$1:$I$89,3,0)*0.475*44/12</f>
        <v>5.7699731714026878</v>
      </c>
      <c r="AX69" s="21">
        <f t="shared" si="60"/>
        <v>24.434177291094301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-3.1036506698001178E-14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207.02306964567629</v>
      </c>
      <c r="BJ69" s="59">
        <f t="shared" ref="BJ69:BJ132" si="92">$BJ$3</f>
        <v>342.06887933351783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40.298954626761009</v>
      </c>
      <c r="BQ69" s="21">
        <f>EXP(-LN(2)/25)*BQ68+(1-EXP(-LN(2)/25))/(LN(2)/25)*Calculateur!BL69*Calculateur!BN69*VLOOKUP('Données projet'!$B$11,Paramètres!$A$1:$I$89,3,0)*0.475*44/12</f>
        <v>72.9122077187412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113.2111623455022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218.20031999999989</v>
      </c>
      <c r="CA69" s="13">
        <f t="shared" ref="CA69:CA132" si="93">EXP(-1.0587+0.8836*LN(BZ69)+0.284)</f>
        <v>53.723547368945667</v>
      </c>
      <c r="CB69" s="20">
        <f t="shared" si="64"/>
        <v>473.60073566758007</v>
      </c>
      <c r="CC69" s="59">
        <f t="shared" si="65"/>
        <v>766.93406900091338</v>
      </c>
      <c r="CD69" s="59">
        <f ca="1">AVERAGE(OFFSET($CC$3,0,0,'Données projet'!$E$12+1,1))-AVERAGE(OFFSET($H$3,0,0,'Données projet'!$E$12+1,1))</f>
        <v>328.55201074501201</v>
      </c>
      <c r="CE69" s="59">
        <f t="shared" ref="CE69:CE132" si="94">$CE$3</f>
        <v>321.81422611044985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30.463907245951734</v>
      </c>
      <c r="CL69" s="21">
        <f>EXP(-LN(2)/25)*CL68+(1-EXP(-LN(2)/25))/(LN(2)/25)*Calculateur!CG69*Calculateur!CI69*VLOOKUP('Données projet'!$B$12,Paramètres!$A$1:$I$89,3,0)*0.475*44/12</f>
        <v>7.8105640854848088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38.274471331436544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217</v>
      </c>
      <c r="CU69" s="17">
        <f>CT69*VLOOKUP('Données projet'!$B$13,Paramètres!$A$1:$I$89,3,0)*VLOOKUP('Données projet'!$B$13,Paramètres!$A$1:$I$89,5,0)</f>
        <v>189.57120000000003</v>
      </c>
      <c r="CV69" s="13">
        <f t="shared" ref="CV69:CV132" si="95">EXP(-1.0587+0.8836*LN(CU69)+0.284)</f>
        <v>47.44513879693244</v>
      </c>
      <c r="CW69" s="20">
        <f t="shared" si="67"/>
        <v>412.8034567379907</v>
      </c>
      <c r="CX69" s="59">
        <f t="shared" si="68"/>
        <v>706.13679007132396</v>
      </c>
      <c r="CY69" s="59">
        <f ca="1">AVERAGE(OFFSET($CX$3,0,0,'Données projet'!$E$13+1,1))-AVERAGE(OFFSET($H$3,0,0,'Données projet'!$E$13+1,1))</f>
        <v>354.24684313982857</v>
      </c>
      <c r="CZ69" s="59">
        <f t="shared" ref="CZ69:CZ132" si="96">$CZ$3</f>
        <v>322.65043486962185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16.768907093408426</v>
      </c>
      <c r="DG69" s="21">
        <f>EXP(-LN(2)/25)*DG68+(1-EXP(-LN(2)/25))/(LN(2)/25)*Calculateur!DB69*Calculateur!DD69*VLOOKUP('Données projet'!$B$13,Paramètres!$A$1:$I$89,3,0)*0.475*44/12</f>
        <v>18.996836392027667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35.76574348543609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302.00000000000011</v>
      </c>
      <c r="DP69" s="17">
        <f>DO69*VLOOKUP('Données projet'!$B$14,Paramètres!$A$1:$I$89,3,0)*VLOOKUP('Données projet'!$B$14,Paramètres!$A$1:$I$89,5,0)</f>
        <v>235.56000000000009</v>
      </c>
      <c r="DQ69" s="13">
        <f t="shared" ref="DQ69:DQ132" si="97">EXP(-1.0587+0.8836*LN(DP69)+0.284)</f>
        <v>57.483207143847771</v>
      </c>
      <c r="DR69" s="20">
        <f t="shared" si="70"/>
        <v>510.38358577553487</v>
      </c>
      <c r="DS69" s="59">
        <f t="shared" si="71"/>
        <v>803.71691910886818</v>
      </c>
      <c r="DT69" s="59">
        <f ca="1">AVERAGE(OFFSET($DS$3,0,0,'Données projet'!$E$14+1,1))-AVERAGE(OFFSET($H$3,0,0,'Données projet'!$E$14+1,1))</f>
        <v>288.80569134263209</v>
      </c>
      <c r="DU69" s="59">
        <f t="shared" ref="DU69:DU132" si="98">$DU$3</f>
        <v>283.48738729114024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21.57083497934622</v>
      </c>
      <c r="EB69" s="21">
        <f>EXP(-LN(2)/25)*EB68+(1-EXP(-LN(2)/25))/(LN(2)/25)*Calculateur!DW69*Calculateur!DY69*VLOOKUP('Données projet'!$B$14,Paramètres!$A$1:$I$89,3,0)*0.475*44/12</f>
        <v>21.468912112275071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43.039747091621294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-1.1368683772161603E-13</v>
      </c>
      <c r="EK69" s="17">
        <f>EJ69*VLOOKUP('Données projet'!$B$15,Paramètres!$A$1:$I$89,3,0)*VLOOKUP('Données projet'!$B$15,Paramètres!$A$1:$I$89,5,0)</f>
        <v>-6.3550942286383367E-14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335.04906256888819</v>
      </c>
      <c r="EP69" s="59">
        <f t="shared" ref="EP69:EP132" si="100">$EP$3</f>
        <v>440.84111898279554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182.288749651015</v>
      </c>
      <c r="EW69" s="21">
        <f>EXP(-LN(2)/25)*EW68+(1-EXP(-LN(2)/25))/(LN(2)/25)*Calculateur!ER69*Calculateur!ET69*VLOOKUP('Données projet'!$B$15,Paramètres!$A$1:$I$89,3,0)*0.475*44/12</f>
        <v>42.464614937963162</v>
      </c>
      <c r="EX69" s="21">
        <f>EXP(-LN(2)/2)*EX68+(1-EXP(-LN(2)/2))/(LN(2)/2)*ER69*EU69*VLOOKUP('Données projet'!$B$15,Paramètres!$A$1:$I$89,3,0)*0.475*44/12</f>
        <v>0.75486530360884652</v>
      </c>
      <c r="EY69" s="22">
        <f t="shared" si="75"/>
        <v>225.50822989258702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8.6666666666666661</v>
      </c>
      <c r="N70" s="13">
        <f>IF('Données projet'!$A$36&gt;35,N69+M70-V69,IF(A70&lt;'Données projet'!$A$36,$K$205^A70,IF(A70='Données projet'!$A$36,'Données projet'!$B$36,N69+M70-V69)))</f>
        <v>310.6666666666668</v>
      </c>
      <c r="O70" s="13">
        <f>N70*VLOOKUP('Données projet'!$B$9,Paramètres!$A$1:$I$89,3,0)*VLOOKUP('Données projet'!$B$9,Paramètres!$A$1:$I$89,5,0)</f>
        <v>252.01280000000011</v>
      </c>
      <c r="P70" s="13">
        <f t="shared" si="87"/>
        <v>61.016750317950084</v>
      </c>
      <c r="Q70" s="20">
        <f t="shared" si="54"/>
        <v>545.19313347042998</v>
      </c>
      <c r="R70" s="59">
        <f t="shared" si="55"/>
        <v>838.52646680376324</v>
      </c>
      <c r="S70" s="59">
        <f ca="1">AVERAGE(OFFSET($R$3,0,0,'Données projet'!$E$9+1,1))-AVERAGE(OFFSET($H$3,0,0,'Données projet'!$E$9+1,1))</f>
        <v>298.96480270023716</v>
      </c>
      <c r="T70" s="59">
        <f t="shared" si="88"/>
        <v>293.11447542333889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27.108585225921082</v>
      </c>
      <c r="AA70" s="21">
        <f>EXP(-LN(2)/25)*AA69+(1-EXP(-LN(2)/25))/(LN(2)/25)*Calculateur!V70*Calculateur!X70*VLOOKUP('Données projet'!$B$9,Paramètres!$A$1:$I$89,3,0)*0.475*44/12</f>
        <v>26.767609725948876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53.876194951869962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8.9615384615384599</v>
      </c>
      <c r="AI70" s="13">
        <f>IF('Données projet'!$A$62&gt;35,AI69+AH70-AQ69,IF(A70&lt;'Données projet'!$A$62,$AF$205^A70,IF(A70='Données projet'!$A$62,'Données projet'!$B$62,AI69+AH70-AQ69)))</f>
        <v>215.63461538461564</v>
      </c>
      <c r="AJ70" s="13">
        <f>AI70*VLOOKUP('Données projet'!$B$10,Paramètres!$A$1:$I$89,3,0)*VLOOKUP('Données projet'!$B$10,Paramètres!$A$1:$I$89,5,0)</f>
        <v>185.01450000000025</v>
      </c>
      <c r="AK70" s="13">
        <f t="shared" si="89"/>
        <v>46.436029671900428</v>
      </c>
      <c r="AL70" s="20">
        <f t="shared" si="58"/>
        <v>403.10967251189368</v>
      </c>
      <c r="AM70" s="59">
        <f t="shared" si="59"/>
        <v>696.44300584522693</v>
      </c>
      <c r="AN70" s="59">
        <f ca="1">AVERAGE(OFFSET($AM$3,0,0,'Données projet'!$E$10+1,1))-AVERAGE(OFFSET($H$3,0,0,'Données projet'!$E$10+1,1))</f>
        <v>335.02113791949211</v>
      </c>
      <c r="AO70" s="59">
        <f t="shared" si="90"/>
        <v>222.06886429435099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18.153830476530811</v>
      </c>
      <c r="AW70" s="21">
        <f>EXP(-LN(2)/2)*AW69+(1-EXP(-LN(2)/2))/(LN(2)/2)*AQ70*AT70*VLOOKUP('Données projet'!$B$10,Paramètres!$A$1:$I$89,3,0)*0.475*44/12</f>
        <v>4.0799871567632904</v>
      </c>
      <c r="AX70" s="21">
        <f t="shared" si="60"/>
        <v>22.233817633294102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-3.1036506698001178E-14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207.02306964567629</v>
      </c>
      <c r="BJ70" s="59">
        <f t="shared" si="92"/>
        <v>342.06887933351783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39.508716706465478</v>
      </c>
      <c r="BQ70" s="21">
        <f>EXP(-LN(2)/25)*BQ69+(1-EXP(-LN(2)/25))/(LN(2)/25)*Calculateur!BL70*Calculateur!BN70*VLOOKUP('Données projet'!$B$11,Paramètres!$A$1:$I$89,3,0)*0.475*44/12</f>
        <v>70.918419564385857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110.42713627085134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221.57303999999991</v>
      </c>
      <c r="CA70" s="13">
        <f t="shared" si="93"/>
        <v>54.456636294321989</v>
      </c>
      <c r="CB70" s="20">
        <f t="shared" si="64"/>
        <v>480.75168621261065</v>
      </c>
      <c r="CC70" s="59">
        <f t="shared" si="65"/>
        <v>774.08501954594396</v>
      </c>
      <c r="CD70" s="59">
        <f ca="1">AVERAGE(OFFSET($CC$3,0,0,'Données projet'!$E$12+1,1))-AVERAGE(OFFSET($H$3,0,0,'Données projet'!$E$12+1,1))</f>
        <v>328.55201074501201</v>
      </c>
      <c r="CE70" s="59">
        <f t="shared" si="94"/>
        <v>321.81422611044985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29.866528606007304</v>
      </c>
      <c r="CL70" s="21">
        <f>EXP(-LN(2)/25)*CL69+(1-EXP(-LN(2)/25))/(LN(2)/25)*Calculateur!CG70*Calculateur!CI70*VLOOKUP('Données projet'!$B$12,Paramètres!$A$1:$I$89,3,0)*0.475*44/12</f>
        <v>7.5969837998275125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37.46351240583482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222</v>
      </c>
      <c r="CU70" s="17">
        <f>CT70*VLOOKUP('Données projet'!$B$13,Paramètres!$A$1:$I$89,3,0)*VLOOKUP('Données projet'!$B$13,Paramètres!$A$1:$I$89,5,0)</f>
        <v>193.93920000000003</v>
      </c>
      <c r="CV70" s="13">
        <f t="shared" si="95"/>
        <v>48.409811198069384</v>
      </c>
      <c r="CW70" s="20">
        <f t="shared" si="67"/>
        <v>422.09119450330417</v>
      </c>
      <c r="CX70" s="59">
        <f t="shared" si="68"/>
        <v>715.42452783663748</v>
      </c>
      <c r="CY70" s="59">
        <f ca="1">AVERAGE(OFFSET($CX$3,0,0,'Données projet'!$E$13+1,1))-AVERAGE(OFFSET($H$3,0,0,'Données projet'!$E$13+1,1))</f>
        <v>354.24684313982857</v>
      </c>
      <c r="CZ70" s="59">
        <f t="shared" si="96"/>
        <v>322.65043486962185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16.440079053330081</v>
      </c>
      <c r="DG70" s="21">
        <f>EXP(-LN(2)/25)*DG69+(1-EXP(-LN(2)/25))/(LN(2)/25)*Calculateur!DB70*Calculateur!DD70*VLOOKUP('Données projet'!$B$13,Paramètres!$A$1:$I$89,3,0)*0.475*44/12</f>
        <v>18.477366901887464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34.917445955217545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310.6666666666668</v>
      </c>
      <c r="DP70" s="17">
        <f>DO70*VLOOKUP('Données projet'!$B$14,Paramètres!$A$1:$I$89,3,0)*VLOOKUP('Données projet'!$B$14,Paramètres!$A$1:$I$89,5,0)</f>
        <v>242.32000000000011</v>
      </c>
      <c r="DQ70" s="13">
        <f t="shared" si="97"/>
        <v>58.938409961900909</v>
      </c>
      <c r="DR70" s="20">
        <f t="shared" si="70"/>
        <v>524.69173068364421</v>
      </c>
      <c r="DS70" s="59">
        <f t="shared" si="71"/>
        <v>818.02506401697747</v>
      </c>
      <c r="DT70" s="59">
        <f ca="1">AVERAGE(OFFSET($DS$3,0,0,'Données projet'!$E$14+1,1))-AVERAGE(OFFSET($H$3,0,0,'Données projet'!$E$14+1,1))</f>
        <v>288.80569134263209</v>
      </c>
      <c r="DU70" s="59">
        <f t="shared" si="98"/>
        <v>283.48738729114024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21.147844062311442</v>
      </c>
      <c r="EB70" s="21">
        <f>EXP(-LN(2)/25)*EB69+(1-EXP(-LN(2)/25))/(LN(2)/25)*Calculateur!DW70*Calculateur!DY70*VLOOKUP('Données projet'!$B$14,Paramètres!$A$1:$I$89,3,0)*0.475*44/12</f>
        <v>20.881843581563889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42.029687643875334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-1.1368683772161603E-13</v>
      </c>
      <c r="EK70" s="17">
        <f>EJ70*VLOOKUP('Données projet'!$B$15,Paramètres!$A$1:$I$89,3,0)*VLOOKUP('Données projet'!$B$15,Paramètres!$A$1:$I$89,5,0)</f>
        <v>-6.3550942286383367E-14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335.04906256888819</v>
      </c>
      <c r="EP70" s="59">
        <f t="shared" si="100"/>
        <v>440.84111898279554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178.71417845551724</v>
      </c>
      <c r="EW70" s="21">
        <f>EXP(-LN(2)/25)*EW69+(1-EXP(-LN(2)/25))/(LN(2)/25)*Calculateur!ER70*Calculateur!ET70*VLOOKUP('Données projet'!$B$15,Paramètres!$A$1:$I$89,3,0)*0.475*44/12</f>
        <v>41.303417809367517</v>
      </c>
      <c r="EX70" s="21">
        <f>EXP(-LN(2)/2)*EX69+(1-EXP(-LN(2)/2))/(LN(2)/2)*ER70*EU70*VLOOKUP('Données projet'!$B$15,Paramètres!$A$1:$I$89,3,0)*0.475*44/12</f>
        <v>0.5337703750642574</v>
      </c>
      <c r="EY70" s="22">
        <f t="shared" si="75"/>
        <v>220.55136663994901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8.6666666666666661</v>
      </c>
      <c r="N71" s="13">
        <f>IF('Données projet'!$A$36&gt;35,N70+M71-V70,IF(A71&lt;'Données projet'!$A$36,$K$205^A71,IF(A71='Données projet'!$A$36,'Données projet'!$B$36,N70+M71-V70)))</f>
        <v>319.33333333333348</v>
      </c>
      <c r="O71" s="13">
        <f>N71*VLOOKUP('Données projet'!$B$9,Paramètres!$A$1:$I$89,3,0)*VLOOKUP('Données projet'!$B$9,Paramètres!$A$1:$I$89,5,0)</f>
        <v>259.04320000000013</v>
      </c>
      <c r="P71" s="13">
        <f t="shared" si="87"/>
        <v>62.518383119960305</v>
      </c>
      <c r="Q71" s="20">
        <f t="shared" si="54"/>
        <v>560.05309060059778</v>
      </c>
      <c r="R71" s="59">
        <f t="shared" si="55"/>
        <v>853.38642393393116</v>
      </c>
      <c r="S71" s="59">
        <f ca="1">AVERAGE(OFFSET($R$3,0,0,'Données projet'!$E$9+1,1))-AVERAGE(OFFSET($H$3,0,0,'Données projet'!$E$9+1,1))</f>
        <v>298.96480270023716</v>
      </c>
      <c r="T71" s="59">
        <f t="shared" si="88"/>
        <v>293.11447542333889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26.5770024042451</v>
      </c>
      <c r="AA71" s="21">
        <f>EXP(-LN(2)/25)*AA70+(1-EXP(-LN(2)/25))/(LN(2)/25)*Calculateur!V71*Calculateur!X71*VLOOKUP('Données projet'!$B$9,Paramètres!$A$1:$I$89,3,0)*0.475*44/12</f>
        <v>26.035648030345389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52.612650434590492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8.9615384615384599</v>
      </c>
      <c r="AI71" s="13">
        <f>IF('Données projet'!$A$62&gt;35,AI70+AH71-AQ70,IF(A71&lt;'Données projet'!$A$62,$AF$205^A71,IF(A71='Données projet'!$A$62,'Données projet'!$B$62,AI70+AH71-AQ70)))</f>
        <v>224.5961538461541</v>
      </c>
      <c r="AJ71" s="13">
        <f>AI71*VLOOKUP('Données projet'!$B$10,Paramètres!$A$1:$I$89,3,0)*VLOOKUP('Données projet'!$B$10,Paramètres!$A$1:$I$89,5,0)</f>
        <v>192.70350000000025</v>
      </c>
      <c r="AK71" s="13">
        <f t="shared" si="89"/>
        <v>48.137165943040578</v>
      </c>
      <c r="AL71" s="20">
        <f t="shared" si="58"/>
        <v>419.46415985079608</v>
      </c>
      <c r="AM71" s="59">
        <f t="shared" si="59"/>
        <v>712.79749318412939</v>
      </c>
      <c r="AN71" s="59">
        <f ca="1">AVERAGE(OFFSET($AM$3,0,0,'Données projet'!$E$10+1,1))-AVERAGE(OFFSET($H$3,0,0,'Données projet'!$E$10+1,1))</f>
        <v>335.02113791949211</v>
      </c>
      <c r="AO71" s="59">
        <f t="shared" si="90"/>
        <v>222.06886429435099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17.657413027481621</v>
      </c>
      <c r="AW71" s="21">
        <f>EXP(-LN(2)/2)*AW70+(1-EXP(-LN(2)/2))/(LN(2)/2)*AQ71*AT71*VLOOKUP('Données projet'!$B$10,Paramètres!$A$1:$I$89,3,0)*0.475*44/12</f>
        <v>2.8849865857013444</v>
      </c>
      <c r="AX71" s="21">
        <f t="shared" si="60"/>
        <v>20.542399613182965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-3.1036506698001178E-14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207.02306964567629</v>
      </c>
      <c r="BJ71" s="59">
        <f t="shared" si="92"/>
        <v>342.06887933351783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38.733974869789407</v>
      </c>
      <c r="BQ71" s="21">
        <f>EXP(-LN(2)/25)*BQ70+(1-EXP(-LN(2)/25))/(LN(2)/25)*Calculateur!BL71*Calculateur!BN71*VLOOKUP('Données projet'!$B$11,Paramètres!$A$1:$I$89,3,0)*0.475*44/12</f>
        <v>68.979151651960123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107.71312652174953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224.94575999999992</v>
      </c>
      <c r="CA71" s="13">
        <f t="shared" si="93"/>
        <v>55.188427424815572</v>
      </c>
      <c r="CB71" s="20">
        <f t="shared" si="64"/>
        <v>487.90037643155364</v>
      </c>
      <c r="CC71" s="59">
        <f t="shared" si="65"/>
        <v>781.23370976488695</v>
      </c>
      <c r="CD71" s="59">
        <f ca="1">AVERAGE(OFFSET($CC$3,0,0,'Données projet'!$E$12+1,1))-AVERAGE(OFFSET($H$3,0,0,'Données projet'!$E$12+1,1))</f>
        <v>328.55201074501201</v>
      </c>
      <c r="CE71" s="59">
        <f t="shared" si="94"/>
        <v>321.81422611044985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29.280864196827192</v>
      </c>
      <c r="CL71" s="21">
        <f>EXP(-LN(2)/25)*CL70+(1-EXP(-LN(2)/25))/(LN(2)/25)*Calculateur!CG71*Calculateur!CI71*VLOOKUP('Données projet'!$B$12,Paramètres!$A$1:$I$89,3,0)*0.475*44/12</f>
        <v>7.3892438783132146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36.670108075140405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227</v>
      </c>
      <c r="CU71" s="17">
        <f>CT71*VLOOKUP('Données projet'!$B$13,Paramètres!$A$1:$I$89,3,0)*VLOOKUP('Données projet'!$B$13,Paramètres!$A$1:$I$89,5,0)</f>
        <v>198.30720000000002</v>
      </c>
      <c r="CV71" s="13">
        <f t="shared" si="95"/>
        <v>49.371957679623371</v>
      </c>
      <c r="CW71" s="20">
        <f t="shared" si="67"/>
        <v>431.37453295867743</v>
      </c>
      <c r="CX71" s="59">
        <f t="shared" si="68"/>
        <v>724.70786629201075</v>
      </c>
      <c r="CY71" s="59">
        <f ca="1">AVERAGE(OFFSET($CX$3,0,0,'Données projet'!$E$13+1,1))-AVERAGE(OFFSET($H$3,0,0,'Données projet'!$E$13+1,1))</f>
        <v>354.24684313982857</v>
      </c>
      <c r="CZ71" s="59">
        <f t="shared" si="96"/>
        <v>322.65043486962185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16.117699130552371</v>
      </c>
      <c r="DG71" s="21">
        <f>EXP(-LN(2)/25)*DG70+(1-EXP(-LN(2)/25))/(LN(2)/25)*Calculateur!DB71*Calculateur!DD71*VLOOKUP('Données projet'!$B$13,Paramètres!$A$1:$I$89,3,0)*0.475*44/12</f>
        <v>17.972102332272858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34.089801462825228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319.33333333333348</v>
      </c>
      <c r="DP71" s="17">
        <f>DO71*VLOOKUP('Données projet'!$B$14,Paramètres!$A$1:$I$89,3,0)*VLOOKUP('Données projet'!$B$14,Paramètres!$A$1:$I$89,5,0)</f>
        <v>249.08000000000013</v>
      </c>
      <c r="DQ71" s="13">
        <f t="shared" si="97"/>
        <v>60.388894447487857</v>
      </c>
      <c r="DR71" s="20">
        <f t="shared" si="70"/>
        <v>538.99165782937473</v>
      </c>
      <c r="DS71" s="59">
        <f t="shared" si="71"/>
        <v>832.3249911627081</v>
      </c>
      <c r="DT71" s="59">
        <f ca="1">AVERAGE(OFFSET($DS$3,0,0,'Données projet'!$E$14+1,1))-AVERAGE(OFFSET($H$3,0,0,'Données projet'!$E$14+1,1))</f>
        <v>288.80569134263209</v>
      </c>
      <c r="DU71" s="59">
        <f t="shared" si="98"/>
        <v>283.48738729114024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20.733147739160732</v>
      </c>
      <c r="EB71" s="21">
        <f>EXP(-LN(2)/25)*EB70+(1-EXP(-LN(2)/25))/(LN(2)/25)*Calculateur!DW71*Calculateur!DY71*VLOOKUP('Données projet'!$B$14,Paramètres!$A$1:$I$89,3,0)*0.475*44/12</f>
        <v>20.310828470697597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41.043976209858329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-1.1368683772161603E-13</v>
      </c>
      <c r="EK71" s="17">
        <f>EJ71*VLOOKUP('Données projet'!$B$15,Paramètres!$A$1:$I$89,3,0)*VLOOKUP('Données projet'!$B$15,Paramètres!$A$1:$I$89,5,0)</f>
        <v>-6.3550942286383367E-14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335.04906256888819</v>
      </c>
      <c r="EP71" s="59">
        <f t="shared" si="100"/>
        <v>440.84111898279554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175.20970242089007</v>
      </c>
      <c r="EW71" s="21">
        <f>EXP(-LN(2)/25)*EW70+(1-EXP(-LN(2)/25))/(LN(2)/25)*Calculateur!ER71*Calculateur!ET71*VLOOKUP('Données projet'!$B$15,Paramètres!$A$1:$I$89,3,0)*0.475*44/12</f>
        <v>40.173973677318017</v>
      </c>
      <c r="EX71" s="21">
        <f>EXP(-LN(2)/2)*EX70+(1-EXP(-LN(2)/2))/(LN(2)/2)*ER71*EU71*VLOOKUP('Données projet'!$B$15,Paramètres!$A$1:$I$89,3,0)*0.475*44/12</f>
        <v>0.37743265180442326</v>
      </c>
      <c r="EY71" s="22">
        <f t="shared" si="75"/>
        <v>215.76110875001248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328</v>
      </c>
      <c r="L72" s="12">
        <f>VLOOKUP(A72,'Données projet'!$A$35:$I$55,9,0)</f>
        <v>8.6666666666666661</v>
      </c>
      <c r="M72" s="12">
        <f t="array" ref="M72">INDEX(L:L,MIN(IF(ISNUMBER(L72:L268),ROW(L72:L268),"")))</f>
        <v>8.6666666666666661</v>
      </c>
      <c r="N72" s="13">
        <f>IF('Données projet'!$A$36&gt;35,N71+M72-V71,IF(A72&lt;'Données projet'!$A$36,$K$205^A72,IF(A72='Données projet'!$A$36,'Données projet'!$B$36,N71+M72-V71)))</f>
        <v>328.00000000000017</v>
      </c>
      <c r="O72" s="13">
        <f>N72*VLOOKUP('Données projet'!$B$9,Paramètres!$A$1:$I$89,3,0)*VLOOKUP('Données projet'!$B$9,Paramètres!$A$1:$I$89,5,0)</f>
        <v>266.07360000000017</v>
      </c>
      <c r="P72" s="13">
        <f t="shared" si="87"/>
        <v>64.015279012301136</v>
      </c>
      <c r="Q72" s="20">
        <f t="shared" si="54"/>
        <v>574.90479761309132</v>
      </c>
      <c r="R72" s="59">
        <f t="shared" si="55"/>
        <v>868.23813094642469</v>
      </c>
      <c r="S72" s="59">
        <f ca="1">AVERAGE(OFFSET($R$3,0,0,'Données projet'!$E$9+1,1))-AVERAGE(OFFSET($H$3,0,0,'Données projet'!$E$9+1,1))</f>
        <v>298.96480270023716</v>
      </c>
      <c r="T72" s="59">
        <f t="shared" si="88"/>
        <v>293.11447542333889</v>
      </c>
      <c r="U72" s="15" t="str">
        <f>IF(ISNA(VLOOKUP(A72,'Données projet'!$A$35:$I$55,3,0)),0,VLOOKUP(A72,'Données projet'!$A$35:$I$55,3,0))</f>
        <v>CR</v>
      </c>
      <c r="V72" s="15">
        <f>IF(ISNA(VLOOKUP(A72,'Données projet'!$A$35:$I$55,4,0)),0,VLOOKUP(A72,'Données projet'!$A$35:$I$55,4,0))</f>
        <v>328</v>
      </c>
      <c r="W72" s="16">
        <f>IF(ISNA(VLOOKUP(A72,'Données projet'!$A$35:$I$55,5,0)),0%,VLOOKUP(A72,'Données projet'!$A$35:$I$55,5,0)*VLOOKUP('Données projet'!$B$9,Paramètres!$A$1:$I$89,7,0))</f>
        <v>0.26500000000000001</v>
      </c>
      <c r="X72" s="16">
        <f>IF(ISNA(VLOOKUP(A72,'Données projet'!$A$35:$I$55,6,0)),0%,VLOOKUP(A72,'Données projet'!$A$35:$I$55,6,0)*VLOOKUP('Données projet'!$B$9,Paramètres!$A$1:$I$89,7,0))</f>
        <v>0.21200000000000002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104.00201174502875</v>
      </c>
      <c r="AA72" s="21">
        <f>EXP(-LN(2)/25)*AA71+(1-EXP(-LN(2)/25))/(LN(2)/25)*Calculateur!V72*Calculateur!X72*VLOOKUP('Données projet'!$B$9,Paramètres!$A$1:$I$89,3,0)*0.475*44/12</f>
        <v>87.435113372796081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191.43712511782485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8.9615384615384599</v>
      </c>
      <c r="AI72" s="13">
        <f>IF('Données projet'!$A$62&gt;35,AI71+AH72-AQ71,IF(A72&lt;'Données projet'!$A$62,$AF$205^A72,IF(A72='Données projet'!$A$62,'Données projet'!$B$62,AI71+AH72-AQ71)))</f>
        <v>233.55769230769255</v>
      </c>
      <c r="AJ72" s="13">
        <f>AI72*VLOOKUP('Données projet'!$B$10,Paramètres!$A$1:$I$89,3,0)*VLOOKUP('Données projet'!$B$10,Paramètres!$A$1:$I$89,5,0)</f>
        <v>200.39250000000024</v>
      </c>
      <c r="AK72" s="13">
        <f t="shared" si="89"/>
        <v>49.830417500419586</v>
      </c>
      <c r="AL72" s="20">
        <f t="shared" si="58"/>
        <v>435.80491464656455</v>
      </c>
      <c r="AM72" s="59">
        <f t="shared" si="59"/>
        <v>729.13824797989787</v>
      </c>
      <c r="AN72" s="59">
        <f ca="1">AVERAGE(OFFSET($AM$3,0,0,'Données projet'!$E$10+1,1))-AVERAGE(OFFSET($H$3,0,0,'Données projet'!$E$10+1,1))</f>
        <v>335.02113791949211</v>
      </c>
      <c r="AO72" s="59">
        <f t="shared" si="90"/>
        <v>222.06886429435099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17.174570139682142</v>
      </c>
      <c r="AW72" s="21">
        <f>EXP(-LN(2)/2)*AW71+(1-EXP(-LN(2)/2))/(LN(2)/2)*AQ72*AT72*VLOOKUP('Données projet'!$B$10,Paramètres!$A$1:$I$89,3,0)*0.475*44/12</f>
        <v>2.0399935783816456</v>
      </c>
      <c r="AX72" s="21">
        <f t="shared" si="60"/>
        <v>19.214563718063786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-3.1036506698001178E-14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207.02306964567629</v>
      </c>
      <c r="BJ72" s="59">
        <f t="shared" si="92"/>
        <v>342.06887933351783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37.974425247984691</v>
      </c>
      <c r="BQ72" s="21">
        <f>EXP(-LN(2)/25)*BQ71+(1-EXP(-LN(2)/25))/(LN(2)/25)*Calculateur!BL72*Calculateur!BN72*VLOOKUP('Données projet'!$B$11,Paramètres!$A$1:$I$89,3,0)*0.475*44/12</f>
        <v>67.092913122581336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105.06733837056603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228.31847999999994</v>
      </c>
      <c r="CA72" s="13">
        <f t="shared" si="93"/>
        <v>55.918942466546987</v>
      </c>
      <c r="CB72" s="20">
        <f t="shared" si="64"/>
        <v>495.04684412923598</v>
      </c>
      <c r="CC72" s="59">
        <f t="shared" si="65"/>
        <v>788.38017746256924</v>
      </c>
      <c r="CD72" s="59">
        <f ca="1">AVERAGE(OFFSET($CC$3,0,0,'Données projet'!$E$12+1,1))-AVERAGE(OFFSET($H$3,0,0,'Données projet'!$E$12+1,1))</f>
        <v>328.55201074501201</v>
      </c>
      <c r="CE72" s="59">
        <f t="shared" si="94"/>
        <v>321.81422611044985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28.706684309491084</v>
      </c>
      <c r="CL72" s="21">
        <f>EXP(-LN(2)/25)*CL71+(1-EXP(-LN(2)/25))/(LN(2)/25)*Calculateur!CG72*Calculateur!CI72*VLOOKUP('Données projet'!$B$12,Paramètres!$A$1:$I$89,3,0)*0.475*44/12</f>
        <v>7.1871846158772925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35.89386892536838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232</v>
      </c>
      <c r="CU72" s="17">
        <f>CT72*VLOOKUP('Données projet'!$B$13,Paramètres!$A$1:$I$89,3,0)*VLOOKUP('Données projet'!$B$13,Paramètres!$A$1:$I$89,5,0)</f>
        <v>202.67520000000002</v>
      </c>
      <c r="CV72" s="13">
        <f t="shared" si="95"/>
        <v>50.331640285313689</v>
      </c>
      <c r="CW72" s="20">
        <f t="shared" si="67"/>
        <v>440.653580163588</v>
      </c>
      <c r="CX72" s="59">
        <f t="shared" si="68"/>
        <v>733.98691349692126</v>
      </c>
      <c r="CY72" s="59">
        <f ca="1">AVERAGE(OFFSET($CX$3,0,0,'Données projet'!$E$13+1,1))-AVERAGE(OFFSET($H$3,0,0,'Données projet'!$E$13+1,1))</f>
        <v>354.24684313982857</v>
      </c>
      <c r="CZ72" s="59">
        <f t="shared" si="96"/>
        <v>322.65043486962185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15.801640881427995</v>
      </c>
      <c r="DG72" s="21">
        <f>EXP(-LN(2)/25)*DG71+(1-EXP(-LN(2)/25))/(LN(2)/25)*Calculateur!DB72*Calculateur!DD72*VLOOKUP('Données projet'!$B$13,Paramètres!$A$1:$I$89,3,0)*0.475*44/12</f>
        <v>17.48065424888507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33.282295130313067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328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328.00000000000017</v>
      </c>
      <c r="DP72" s="17">
        <f>DO72*VLOOKUP('Données projet'!$B$14,Paramètres!$A$1:$I$89,3,0)*VLOOKUP('Données projet'!$B$14,Paramètres!$A$1:$I$89,5,0)</f>
        <v>255.84000000000015</v>
      </c>
      <c r="DQ72" s="13">
        <f t="shared" si="97"/>
        <v>61.834803371075886</v>
      </c>
      <c r="DR72" s="20">
        <f t="shared" si="70"/>
        <v>553.28361587129086</v>
      </c>
      <c r="DS72" s="59">
        <f t="shared" si="71"/>
        <v>846.61694920462423</v>
      </c>
      <c r="DT72" s="59">
        <f ca="1">AVERAGE(OFFSET($DS$3,0,0,'Données projet'!$E$14+1,1))-AVERAGE(OFFSET($H$3,0,0,'Données projet'!$E$14+1,1))</f>
        <v>288.80569134263209</v>
      </c>
      <c r="DU72" s="59">
        <f t="shared" si="98"/>
        <v>283.48738729114024</v>
      </c>
      <c r="DV72" s="15" t="str">
        <f>IF(ISNA(VLOOKUP(A72,'Données projet'!$A$165:$I$185,3,0)),0,VLOOKUP(A72,'Données projet'!$A$165:$I$185,3,0))</f>
        <v>CR</v>
      </c>
      <c r="DW72" s="15">
        <f>IF(ISNA(VLOOKUP(A72,'Données projet'!$A$165:$I$185,4,0)),0,VLOOKUP(A72,'Données projet'!$A$165:$I$185,4,0))</f>
        <v>328</v>
      </c>
      <c r="DX72" s="16">
        <f>IF(ISNA(VLOOKUP(A72,'Données projet'!$A$165:$I$185,5,0)),0%,VLOOKUP(A72,'Données projet'!$A$165:$I$185,5,0)*VLOOKUP('Données projet'!$B$14,Paramètres!$A$1:$I$89,7,0))</f>
        <v>0.215</v>
      </c>
      <c r="DY72" s="16">
        <f>IF(ISNA(VLOOKUP(A72,'Données projet'!$A$165:$I$185,6,0)),0%,VLOOKUP(A72,'Données projet'!$A$165:$I$185,6,0)*VLOOKUP('Données projet'!$B$14,Paramètres!$A$1:$I$89,7,0))</f>
        <v>0.17200000000000001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81.133644866404865</v>
      </c>
      <c r="EB72" s="21">
        <f>EXP(-LN(2)/25)*EB71+(1-EXP(-LN(2)/25))/(LN(2)/25)*Calculateur!DW72*Calculateur!DY72*VLOOKUP('Données projet'!$B$14,Paramètres!$A$1:$I$89,3,0)*0.475*44/12</f>
        <v>68.209540548443968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149.34318541484885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-1.1368683772161603E-13</v>
      </c>
      <c r="EK72" s="17">
        <f>EJ72*VLOOKUP('Données projet'!$B$15,Paramètres!$A$1:$I$89,3,0)*VLOOKUP('Données projet'!$B$15,Paramètres!$A$1:$I$89,5,0)</f>
        <v>-6.3550942286383367E-14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335.04906256888819</v>
      </c>
      <c r="EP72" s="59">
        <f t="shared" si="100"/>
        <v>440.84111898279554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171.77394702378263</v>
      </c>
      <c r="EW72" s="21">
        <f>EXP(-LN(2)/25)*EW71+(1-EXP(-LN(2)/25))/(LN(2)/25)*Calculateur!ER72*Calculateur!ET72*VLOOKUP('Données projet'!$B$15,Paramètres!$A$1:$I$89,3,0)*0.475*44/12</f>
        <v>39.075414254454301</v>
      </c>
      <c r="EX72" s="21">
        <f>EXP(-LN(2)/2)*EX71+(1-EXP(-LN(2)/2))/(LN(2)/2)*ER72*EU72*VLOOKUP('Données projet'!$B$15,Paramètres!$A$1:$I$89,3,0)*0.475*44/12</f>
        <v>0.2668851875321287</v>
      </c>
      <c r="EY72" s="22">
        <f t="shared" si="75"/>
        <v>211.11624646576905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1.7053025658242404E-13</v>
      </c>
      <c r="O73" s="13">
        <f>N73*VLOOKUP('Données projet'!$B$9,Paramètres!$A$1:$I$89,3,0)*VLOOKUP('Données projet'!$B$9,Paramètres!$A$1:$I$89,5,0)</f>
        <v>1.383341441396624E-13</v>
      </c>
      <c r="P73" s="13">
        <f t="shared" si="87"/>
        <v>2.0011390722884082E-12</v>
      </c>
      <c r="Q73" s="20">
        <f t="shared" si="54"/>
        <v>3.7262491852788889E-12</v>
      </c>
      <c r="R73" s="59">
        <f t="shared" si="55"/>
        <v>293.33333333333707</v>
      </c>
      <c r="S73" s="59">
        <f ca="1">AVERAGE(OFFSET($R$3,0,0,'Données projet'!$E$9+1,1))-AVERAGE(OFFSET($H$3,0,0,'Données projet'!$E$9+1,1))</f>
        <v>298.96480270023716</v>
      </c>
      <c r="T73" s="59">
        <f t="shared" si="88"/>
        <v>293.11447542333889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101.96259572967222</v>
      </c>
      <c r="AA73" s="21">
        <f>EXP(-LN(2)/25)*AA72+(1-EXP(-LN(2)/25))/(LN(2)/25)*Calculateur!V73*Calculateur!X73*VLOOKUP('Données projet'!$B$9,Paramètres!$A$1:$I$89,3,0)*0.475*44/12</f>
        <v>85.044195599604194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187.00679132927641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8.9615384615384599</v>
      </c>
      <c r="AI73" s="13">
        <f>IF('Données projet'!$A$62&gt;35,AI72+AH73-AQ72,IF(A73&lt;'Données projet'!$A$62,$AF$205^A73,IF(A73='Données projet'!$A$62,'Données projet'!$B$62,AI72+AH73-AQ72)))</f>
        <v>242.519230769231</v>
      </c>
      <c r="AJ73" s="13">
        <f>AI73*VLOOKUP('Données projet'!$B$10,Paramètres!$A$1:$I$89,3,0)*VLOOKUP('Données projet'!$B$10,Paramètres!$A$1:$I$89,5,0)</f>
        <v>208.0815000000002</v>
      </c>
      <c r="AK73" s="13">
        <f t="shared" si="89"/>
        <v>51.516121508448691</v>
      </c>
      <c r="AL73" s="20">
        <f t="shared" si="58"/>
        <v>452.13252412721516</v>
      </c>
      <c r="AM73" s="59">
        <f t="shared" si="59"/>
        <v>745.46585746054848</v>
      </c>
      <c r="AN73" s="59">
        <f ca="1">AVERAGE(OFFSET($AM$3,0,0,'Données projet'!$E$10+1,1))-AVERAGE(OFFSET($H$3,0,0,'Données projet'!$E$10+1,1))</f>
        <v>335.02113791949211</v>
      </c>
      <c r="AO73" s="59">
        <f t="shared" si="90"/>
        <v>222.06886429435099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16.704930616041143</v>
      </c>
      <c r="AW73" s="21">
        <f>EXP(-LN(2)/2)*AW72+(1-EXP(-LN(2)/2))/(LN(2)/2)*AQ73*AT73*VLOOKUP('Données projet'!$B$10,Paramètres!$A$1:$I$89,3,0)*0.475*44/12</f>
        <v>1.4424932928506724</v>
      </c>
      <c r="AX73" s="21">
        <f t="shared" si="60"/>
        <v>18.147423908891817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-3.1036506698001178E-14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207.02306964567629</v>
      </c>
      <c r="BJ73" s="59">
        <f t="shared" si="92"/>
        <v>342.06887933351783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37.229769930984041</v>
      </c>
      <c r="BQ73" s="21">
        <f>EXP(-LN(2)/25)*BQ72+(1-EXP(-LN(2)/25))/(LN(2)/25)*Calculateur!BL73*Calculateur!BN73*VLOOKUP('Données projet'!$B$11,Paramètres!$A$1:$I$89,3,0)*0.475*44/12</f>
        <v>65.258253884981386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102.48802381596542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231.69119999999992</v>
      </c>
      <c r="CA73" s="13">
        <f t="shared" si="93"/>
        <v>56.648202447537749</v>
      </c>
      <c r="CB73" s="20">
        <f t="shared" si="64"/>
        <v>502.19112592946141</v>
      </c>
      <c r="CC73" s="59">
        <f t="shared" si="65"/>
        <v>795.52445926279472</v>
      </c>
      <c r="CD73" s="59">
        <f ca="1">AVERAGE(OFFSET($CC$3,0,0,'Données projet'!$E$12+1,1))-AVERAGE(OFFSET($H$3,0,0,'Données projet'!$E$12+1,1))</f>
        <v>328.55201074501201</v>
      </c>
      <c r="CE73" s="59">
        <f t="shared" si="94"/>
        <v>321.81422611044985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0.39560000000000001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32.312161960886947</v>
      </c>
      <c r="CL73" s="21">
        <f>EXP(-LN(2)/25)*CL72+(1-EXP(-LN(2)/25))/(LN(2)/25)*Calculateur!CG73*Calculateur!CI73*VLOOKUP('Données projet'!$B$12,Paramètres!$A$1:$I$89,3,0)*0.475*44/12</f>
        <v>6.9906506745985153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39.302812635485459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237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237</v>
      </c>
      <c r="CU73" s="17">
        <f>CT73*VLOOKUP('Données projet'!$B$13,Paramètres!$A$1:$I$89,3,0)*VLOOKUP('Données projet'!$B$13,Paramètres!$A$1:$I$89,5,0)</f>
        <v>207.04320000000001</v>
      </c>
      <c r="CV73" s="13">
        <f t="shared" si="95"/>
        <v>51.288918231806321</v>
      </c>
      <c r="CW73" s="20">
        <f t="shared" si="67"/>
        <v>449.92843925372944</v>
      </c>
      <c r="CX73" s="59">
        <f t="shared" si="68"/>
        <v>743.26177258706275</v>
      </c>
      <c r="CY73" s="59">
        <f ca="1">AVERAGE(OFFSET($CX$3,0,0,'Données projet'!$E$13+1,1))-AVERAGE(OFFSET($H$3,0,0,'Données projet'!$E$13+1,1))</f>
        <v>354.24684313982857</v>
      </c>
      <c r="CZ73" s="59">
        <f t="shared" si="96"/>
        <v>322.65043486962185</v>
      </c>
      <c r="DA73" s="15">
        <f>IF(ISNA(VLOOKUP(A73,'Données projet'!$A$139:$I$159,3,0)),0,VLOOKUP(A73,'Données projet'!$A$139:$I$159,3,0))</f>
        <v>11</v>
      </c>
      <c r="DB73" s="15" t="str">
        <f>IF(ISNA(VLOOKUP(A73,'Données projet'!$A$139:$I$159,4,0)),0,VLOOKUP(A73,'Données projet'!$A$139:$I$159,4,0))</f>
        <v>18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0.17200000000000001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19.229189975969593</v>
      </c>
      <c r="DG73" s="21">
        <f>EXP(-LN(2)/25)*DG72+(1-EXP(-LN(2)/25))/(LN(2)/25)*Calculateur!DB73*Calculateur!DD73*VLOOKUP('Données projet'!$B$13,Paramètres!$A$1:$I$89,3,0)*0.475*44/12</f>
        <v>19.980800061887791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39.209990037857381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1.7053025658242404E-13</v>
      </c>
      <c r="DP73" s="17">
        <f>DO73*VLOOKUP('Données projet'!$B$14,Paramètres!$A$1:$I$89,3,0)*VLOOKUP('Données projet'!$B$14,Paramètres!$A$1:$I$89,5,0)</f>
        <v>1.3301360013429075E-13</v>
      </c>
      <c r="DQ73" s="13">
        <f t="shared" si="97"/>
        <v>1.9329766731057041E-12</v>
      </c>
      <c r="DR73" s="20">
        <f t="shared" si="70"/>
        <v>3.5982663925596575E-12</v>
      </c>
      <c r="DS73" s="59">
        <f t="shared" si="71"/>
        <v>293.3333333333369</v>
      </c>
      <c r="DT73" s="59">
        <f ca="1">AVERAGE(OFFSET($DS$3,0,0,'Données projet'!$E$14+1,1))-AVERAGE(OFFSET($H$3,0,0,'Données projet'!$E$14+1,1))</f>
        <v>288.80569134263209</v>
      </c>
      <c r="DU73" s="59">
        <f t="shared" si="98"/>
        <v>283.48738729114024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79.542663577211641</v>
      </c>
      <c r="EB73" s="21">
        <f>EXP(-LN(2)/25)*EB72+(1-EXP(-LN(2)/25))/(LN(2)/25)*Calculateur!DW73*Calculateur!DY73*VLOOKUP('Données projet'!$B$14,Paramètres!$A$1:$I$89,3,0)*0.475*44/12</f>
        <v>66.344347075162929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145.88701065237456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-1.1368683772161603E-13</v>
      </c>
      <c r="EK73" s="17">
        <f>EJ73*VLOOKUP('Données projet'!$B$15,Paramètres!$A$1:$I$89,3,0)*VLOOKUP('Données projet'!$B$15,Paramètres!$A$1:$I$89,5,0)</f>
        <v>-6.3550942286383367E-14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335.04906256888819</v>
      </c>
      <c r="EP73" s="59">
        <f t="shared" si="100"/>
        <v>440.84111898279554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168.40556469440858</v>
      </c>
      <c r="EW73" s="21">
        <f>EXP(-LN(2)/25)*EW72+(1-EXP(-LN(2)/25))/(LN(2)/25)*Calculateur!ER73*Calculateur!ET73*VLOOKUP('Données projet'!$B$15,Paramètres!$A$1:$I$89,3,0)*0.475*44/12</f>
        <v>38.006894996779522</v>
      </c>
      <c r="EX73" s="21">
        <f>EXP(-LN(2)/2)*EX72+(1-EXP(-LN(2)/2))/(LN(2)/2)*ER73*EU73*VLOOKUP('Données projet'!$B$15,Paramètres!$A$1:$I$89,3,0)*0.475*44/12</f>
        <v>0.18871632590221163</v>
      </c>
      <c r="EY73" s="22">
        <f t="shared" si="75"/>
        <v>206.60117601709032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1.7053025658242404E-13</v>
      </c>
      <c r="O74" s="13">
        <f>N74*VLOOKUP('Données projet'!$B$9,Paramètres!$A$1:$I$89,3,0)*VLOOKUP('Données projet'!$B$9,Paramètres!$A$1:$I$89,5,0)</f>
        <v>1.383341441396624E-13</v>
      </c>
      <c r="P74" s="13">
        <f t="shared" si="87"/>
        <v>2.0011390722884082E-12</v>
      </c>
      <c r="Q74" s="20">
        <f t="shared" si="54"/>
        <v>3.7262491852788889E-12</v>
      </c>
      <c r="R74" s="59">
        <f t="shared" si="55"/>
        <v>293.33333333333707</v>
      </c>
      <c r="S74" s="59">
        <f ca="1">AVERAGE(OFFSET($R$3,0,0,'Données projet'!$E$9+1,1))-AVERAGE(OFFSET($H$3,0,0,'Données projet'!$E$9+1,1))</f>
        <v>298.96480270023716</v>
      </c>
      <c r="T74" s="59">
        <f t="shared" si="88"/>
        <v>293.11447542333889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99.963171418455886</v>
      </c>
      <c r="AA74" s="21">
        <f>EXP(-LN(2)/25)*AA73+(1-EXP(-LN(2)/25))/(LN(2)/25)*Calculateur!V74*Calculateur!X74*VLOOKUP('Données projet'!$B$9,Paramètres!$A$1:$I$89,3,0)*0.475*44/12</f>
        <v>82.718657598653138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182.68182901710901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8.9615384615384599</v>
      </c>
      <c r="AI74" s="13">
        <f>IF('Données projet'!$A$62&gt;35,AI73+AH74-AQ73,IF(A74&lt;'Données projet'!$A$62,$AF$205^A74,IF(A74='Données projet'!$A$62,'Données projet'!$B$62,AI73+AH74-AQ73)))</f>
        <v>251.48076923076945</v>
      </c>
      <c r="AJ74" s="13">
        <f>AI74*VLOOKUP('Données projet'!$B$10,Paramètres!$A$1:$I$89,3,0)*VLOOKUP('Données projet'!$B$10,Paramètres!$A$1:$I$89,5,0)</f>
        <v>215.77050000000023</v>
      </c>
      <c r="AK74" s="13">
        <f t="shared" si="89"/>
        <v>53.194588801954836</v>
      </c>
      <c r="AL74" s="20">
        <f t="shared" si="58"/>
        <v>468.44752966340502</v>
      </c>
      <c r="AM74" s="59">
        <f t="shared" si="59"/>
        <v>761.78086299673828</v>
      </c>
      <c r="AN74" s="59">
        <f ca="1">AVERAGE(OFFSET($AM$3,0,0,'Données projet'!$E$10+1,1))-AVERAGE(OFFSET($H$3,0,0,'Données projet'!$E$10+1,1))</f>
        <v>335.02113791949211</v>
      </c>
      <c r="AO74" s="59">
        <f t="shared" si="90"/>
        <v>222.06886429435099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16.248133409871375</v>
      </c>
      <c r="AW74" s="21">
        <f>EXP(-LN(2)/2)*AW73+(1-EXP(-LN(2)/2))/(LN(2)/2)*AQ74*AT74*VLOOKUP('Données projet'!$B$10,Paramètres!$A$1:$I$89,3,0)*0.475*44/12</f>
        <v>1.0199967891908228</v>
      </c>
      <c r="AX74" s="21">
        <f t="shared" si="60"/>
        <v>17.268130199062199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-3.1036506698001178E-14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207.02306964567629</v>
      </c>
      <c r="BJ74" s="59">
        <f t="shared" si="92"/>
        <v>342.06887933351783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36.499716850554883</v>
      </c>
      <c r="BQ74" s="21">
        <f>EXP(-LN(2)/25)*BQ73+(1-EXP(-LN(2)/25))/(LN(2)/25)*Calculateur!BL74*Calculateur!BN74*VLOOKUP('Données projet'!$B$11,Paramètres!$A$1:$I$89,3,0)*0.475*44/12</f>
        <v>63.473763500714149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99.973480351269032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225.23903999999993</v>
      </c>
      <c r="CA74" s="13">
        <f t="shared" si="93"/>
        <v>55.252000822487368</v>
      </c>
      <c r="CB74" s="20">
        <f t="shared" si="64"/>
        <v>488.52189609916542</v>
      </c>
      <c r="CC74" s="59">
        <f t="shared" si="65"/>
        <v>781.85522943249873</v>
      </c>
      <c r="CD74" s="59">
        <f ca="1">AVERAGE(OFFSET($CC$3,0,0,'Données projet'!$E$12+1,1))-AVERAGE(OFFSET($H$3,0,0,'Données projet'!$E$12+1,1))</f>
        <v>328.55201074501201</v>
      </c>
      <c r="CE74" s="59">
        <f t="shared" si="94"/>
        <v>321.81422611044985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31.6785401733067</v>
      </c>
      <c r="CL74" s="21">
        <f>EXP(-LN(2)/25)*CL73+(1-EXP(-LN(2)/25))/(LN(2)/25)*Calculateur!CG74*Calculateur!CI74*VLOOKUP('Données projet'!$B$12,Paramètres!$A$1:$I$89,3,0)*0.475*44/12</f>
        <v>6.7994909642792773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38.47803113758598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4.4000000000000004</v>
      </c>
      <c r="CT74" s="12">
        <f>IF('Données projet'!$A$140&gt;35,CT73+CS74-DB73,IF(A74&lt;'Données projet'!$A$140,$CQ$205^A74,IF(A74='Données projet'!$A$140,'Données projet'!$B$140,CT73+CS74-DB73)))</f>
        <v>223.4</v>
      </c>
      <c r="CU74" s="17">
        <f>CT74*VLOOKUP('Données projet'!$B$13,Paramètres!$A$1:$I$89,3,0)*VLOOKUP('Données projet'!$B$13,Paramètres!$A$1:$I$89,5,0)</f>
        <v>195.16224000000003</v>
      </c>
      <c r="CV74" s="13">
        <f t="shared" si="95"/>
        <v>48.67946410296608</v>
      </c>
      <c r="CW74" s="20">
        <f t="shared" si="67"/>
        <v>424.69096797933258</v>
      </c>
      <c r="CX74" s="59">
        <f t="shared" si="68"/>
        <v>718.0243013126659</v>
      </c>
      <c r="CY74" s="59">
        <f ca="1">AVERAGE(OFFSET($CX$3,0,0,'Données projet'!$E$13+1,1))-AVERAGE(OFFSET($H$3,0,0,'Données projet'!$E$13+1,1))</f>
        <v>354.24684313982857</v>
      </c>
      <c r="CZ74" s="59">
        <f t="shared" si="96"/>
        <v>322.65043486962185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18.852117289188605</v>
      </c>
      <c r="DG74" s="21">
        <f>EXP(-LN(2)/25)*DG73+(1-EXP(-LN(2)/25))/(LN(2)/25)*Calculateur!DB74*Calculateur!DD74*VLOOKUP('Données projet'!$B$13,Paramètres!$A$1:$I$89,3,0)*0.475*44/12</f>
        <v>19.43442403345086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38.286541322639465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1.7053025658242404E-13</v>
      </c>
      <c r="DP74" s="17">
        <f>DO74*VLOOKUP('Données projet'!$B$14,Paramètres!$A$1:$I$89,3,0)*VLOOKUP('Données projet'!$B$14,Paramètres!$A$1:$I$89,5,0)</f>
        <v>1.3301360013429075E-13</v>
      </c>
      <c r="DQ74" s="13">
        <f t="shared" si="97"/>
        <v>1.9329766731057041E-12</v>
      </c>
      <c r="DR74" s="20">
        <f t="shared" si="70"/>
        <v>3.5982663925596575E-12</v>
      </c>
      <c r="DS74" s="59">
        <f t="shared" si="71"/>
        <v>293.3333333333369</v>
      </c>
      <c r="DT74" s="59">
        <f ca="1">AVERAGE(OFFSET($DS$3,0,0,'Données projet'!$E$14+1,1))-AVERAGE(OFFSET($H$3,0,0,'Données projet'!$E$14+1,1))</f>
        <v>288.80569134263209</v>
      </c>
      <c r="DU74" s="59">
        <f t="shared" si="98"/>
        <v>283.48738729114024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77.98288046069672</v>
      </c>
      <c r="EB74" s="21">
        <f>EXP(-LN(2)/25)*EB73+(1-EXP(-LN(2)/25))/(LN(2)/25)*Calculateur!DW74*Calculateur!DY74*VLOOKUP('Données projet'!$B$14,Paramètres!$A$1:$I$89,3,0)*0.475*44/12</f>
        <v>64.530157415495012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142.51303787619173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-1.1368683772161603E-13</v>
      </c>
      <c r="EK74" s="17">
        <f>EJ74*VLOOKUP('Données projet'!$B$15,Paramètres!$A$1:$I$89,3,0)*VLOOKUP('Données projet'!$B$15,Paramètres!$A$1:$I$89,5,0)</f>
        <v>-6.3550942286383367E-14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335.04906256888819</v>
      </c>
      <c r="EP74" s="59">
        <f t="shared" si="100"/>
        <v>440.84111898279554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165.10323428800319</v>
      </c>
      <c r="EW74" s="21">
        <f>EXP(-LN(2)/25)*EW73+(1-EXP(-LN(2)/25))/(LN(2)/25)*Calculateur!ER74*Calculateur!ET74*VLOOKUP('Données projet'!$B$15,Paramètres!$A$1:$I$89,3,0)*0.475*44/12</f>
        <v>36.967594454396846</v>
      </c>
      <c r="EX74" s="21">
        <f>EXP(-LN(2)/2)*EX73+(1-EXP(-LN(2)/2))/(LN(2)/2)*ER74*EU74*VLOOKUP('Données projet'!$B$15,Paramètres!$A$1:$I$89,3,0)*0.475*44/12</f>
        <v>0.13344259376606435</v>
      </c>
      <c r="EY74" s="22">
        <f t="shared" si="75"/>
        <v>202.2042713361661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1.7053025658242404E-13</v>
      </c>
      <c r="O75" s="13">
        <f>N75*VLOOKUP('Données projet'!$B$9,Paramètres!$A$1:$I$89,3,0)*VLOOKUP('Données projet'!$B$9,Paramètres!$A$1:$I$89,5,0)</f>
        <v>1.383341441396624E-13</v>
      </c>
      <c r="P75" s="13">
        <f t="shared" si="87"/>
        <v>2.0011390722884082E-12</v>
      </c>
      <c r="Q75" s="20">
        <f t="shared" si="54"/>
        <v>3.7262491852788889E-12</v>
      </c>
      <c r="R75" s="59">
        <f t="shared" si="55"/>
        <v>293.33333333333707</v>
      </c>
      <c r="S75" s="59">
        <f ca="1">AVERAGE(OFFSET($R$3,0,0,'Données projet'!$E$9+1,1))-AVERAGE(OFFSET($H$3,0,0,'Données projet'!$E$9+1,1))</f>
        <v>298.96480270023716</v>
      </c>
      <c r="T75" s="59">
        <f t="shared" si="88"/>
        <v>293.11447542333889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98.002954598454096</v>
      </c>
      <c r="AA75" s="21">
        <f>EXP(-LN(2)/25)*AA74+(1-EXP(-LN(2)/25))/(LN(2)/25)*Calculateur!V75*Calculateur!X75*VLOOKUP('Données projet'!$B$9,Paramètres!$A$1:$I$89,3,0)*0.475*44/12</f>
        <v>80.456711556632825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178.45966615508692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260.44230769230768</v>
      </c>
      <c r="AG75" s="12">
        <f>VLOOKUP(A75,'Données projet'!$A$61:$I$81,9,0)</f>
        <v>8.9615384615384599</v>
      </c>
      <c r="AH75" s="12">
        <f t="array" ref="AH75">INDEX(AG:AG,MIN(IF(ISNUMBER(AG75:AG271),ROW(AG75:AG271),"")))</f>
        <v>8.9615384615384599</v>
      </c>
      <c r="AI75" s="13">
        <f>IF('Données projet'!$A$62&gt;35,AI74+AH75-AQ74,IF(A75&lt;'Données projet'!$A$62,$AF$205^A75,IF(A75='Données projet'!$A$62,'Données projet'!$B$62,AI74+AH75-AQ74)))</f>
        <v>260.44230769230791</v>
      </c>
      <c r="AJ75" s="13">
        <f>AI75*VLOOKUP('Données projet'!$B$10,Paramètres!$A$1:$I$89,3,0)*VLOOKUP('Données projet'!$B$10,Paramètres!$A$1:$I$89,5,0)</f>
        <v>223.45950000000022</v>
      </c>
      <c r="AK75" s="13">
        <f t="shared" si="89"/>
        <v>54.866106806645128</v>
      </c>
      <c r="AL75" s="20">
        <f t="shared" si="58"/>
        <v>484.75043185490728</v>
      </c>
      <c r="AM75" s="59">
        <f t="shared" si="59"/>
        <v>778.08376518824059</v>
      </c>
      <c r="AN75" s="59">
        <f ca="1">AVERAGE(OFFSET($AM$3,0,0,'Données projet'!$E$10+1,1))-AVERAGE(OFFSET($H$3,0,0,'Données projet'!$E$10+1,1))</f>
        <v>335.02113791949211</v>
      </c>
      <c r="AO75" s="59">
        <f t="shared" si="90"/>
        <v>222.06886429435099</v>
      </c>
      <c r="AP75" s="15">
        <f>IF(ISNA(VLOOKUP(A75,'Données projet'!$A$61:$I$81,3,0)),0,VLOOKUP(A75,'Données projet'!$A$61:$I$81,3,0))</f>
        <v>5</v>
      </c>
      <c r="AQ75" s="15">
        <f>IF(ISNA(VLOOKUP(A75,'Données projet'!$A$61:$I$81,4,0)),0,VLOOKUP(A75,'Données projet'!$A$61:$I$81,4,0))</f>
        <v>62.551282051282051</v>
      </c>
      <c r="AR75" s="16">
        <f>IF(ISNA(VLOOKUP(A75,'Données projet'!$A$61:$I$81,5,0)),0%,VLOOKUP(A75,'Données projet'!$A$61:$I$81,5,0)*VLOOKUP('Données projet'!$B$10,Paramètres!$A$1:$I$89,7,0))</f>
        <v>0.159</v>
      </c>
      <c r="AS75" s="16">
        <f>IF(ISNA(VLOOKUP(A75,'Données projet'!$A$61:$I$81,6,0)),0%,VLOOKUP(A75,'Données projet'!$A$61:$I$81,6,0)*VLOOKUP('Données projet'!$B$10,Paramètres!$A$1:$I$89,7,0))</f>
        <v>0.159</v>
      </c>
      <c r="AT75" s="16">
        <f>IF(ISNA(VLOOKUP(A75,'Données projet'!$A$61:$I$81,7,0)),0%,VLOOKUP(A75,'Données projet'!$A$61:$I$81,7,0))</f>
        <v>0.2</v>
      </c>
      <c r="AU75" s="21">
        <f>EXP(-LN(2)/35)*AU74+(1-EXP(-LN(2)/35))/(LN(2)/35)*AQ75*AR75*VLOOKUP('Données projet'!$B$10,Paramètres!$A$1:$I$89,3,0)*0.475*44/12</f>
        <v>9.43338887806547</v>
      </c>
      <c r="AV75" s="21">
        <f>EXP(-LN(2)/25)*AV74+(1-EXP(-LN(2)/25))/(LN(2)/25)*Calculateur!AQ75*Calculateur!AS75*VLOOKUP('Données projet'!$B$10,Paramètres!$A$1:$I$89,3,0)*0.475*44/12</f>
        <v>25.200073378975809</v>
      </c>
      <c r="AW75" s="21">
        <f>EXP(-LN(2)/2)*AW74+(1-EXP(-LN(2)/2))/(LN(2)/2)*AQ75*AT75*VLOOKUP('Données projet'!$B$10,Paramètres!$A$1:$I$89,3,0)*0.475*44/12</f>
        <v>10.848875842416653</v>
      </c>
      <c r="AX75" s="21">
        <f t="shared" si="60"/>
        <v>45.482338099457934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-3.1036506698001178E-14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207.02306964567629</v>
      </c>
      <c r="BJ75" s="59">
        <f t="shared" si="92"/>
        <v>342.06887933351783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35.783979665744525</v>
      </c>
      <c r="BQ75" s="21">
        <f>EXP(-LN(2)/25)*BQ74+(1-EXP(-LN(2)/25))/(LN(2)/25)*Calculateur!BL75*Calculateur!BN75*VLOOKUP('Données projet'!$B$11,Paramètres!$A$1:$I$89,3,0)*0.475*44/12</f>
        <v>61.738070099846972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97.522049765591504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228.31847999999994</v>
      </c>
      <c r="CA75" s="13">
        <f t="shared" si="93"/>
        <v>55.918942466546987</v>
      </c>
      <c r="CB75" s="20">
        <f t="shared" si="64"/>
        <v>495.04684412923598</v>
      </c>
      <c r="CC75" s="59">
        <f t="shared" si="65"/>
        <v>788.38017746256924</v>
      </c>
      <c r="CD75" s="59">
        <f ca="1">AVERAGE(OFFSET($CC$3,0,0,'Données projet'!$E$12+1,1))-AVERAGE(OFFSET($H$3,0,0,'Données projet'!$E$12+1,1))</f>
        <v>328.55201074501201</v>
      </c>
      <c r="CE75" s="59">
        <f t="shared" si="94"/>
        <v>321.81422611044985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31.057343322509773</v>
      </c>
      <c r="CL75" s="21">
        <f>EXP(-LN(2)/25)*CL74+(1-EXP(-LN(2)/25))/(LN(2)/25)*Calculateur!CG75*Calculateur!CI75*VLOOKUP('Données projet'!$B$12,Paramètres!$A$1:$I$89,3,0)*0.475*44/12</f>
        <v>6.6135585262913708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37.670901848801144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4.4000000000000004</v>
      </c>
      <c r="CT75" s="12">
        <f>IF('Données projet'!$A$140&gt;35,CT74+CS75-DB74,IF(A75&lt;'Données projet'!$A$140,$CQ$205^A75,IF(A75='Données projet'!$A$140,'Données projet'!$B$140,CT74+CS75-DB74)))</f>
        <v>227.8</v>
      </c>
      <c r="CU75" s="17">
        <f>CT75*VLOOKUP('Données projet'!$B$13,Paramètres!$A$1:$I$89,3,0)*VLOOKUP('Données projet'!$B$13,Paramètres!$A$1:$I$89,5,0)</f>
        <v>199.00608000000003</v>
      </c>
      <c r="CV75" s="13">
        <f t="shared" si="95"/>
        <v>49.525670897515027</v>
      </c>
      <c r="CW75" s="20">
        <f t="shared" si="67"/>
        <v>432.85946614650538</v>
      </c>
      <c r="CX75" s="59">
        <f t="shared" si="68"/>
        <v>726.19279947983864</v>
      </c>
      <c r="CY75" s="59">
        <f ca="1">AVERAGE(OFFSET($CX$3,0,0,'Données projet'!$E$13+1,1))-AVERAGE(OFFSET($H$3,0,0,'Données projet'!$E$13+1,1))</f>
        <v>354.24684313982857</v>
      </c>
      <c r="CZ75" s="59">
        <f t="shared" si="96"/>
        <v>322.65043486962185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18.482438767803764</v>
      </c>
      <c r="DG75" s="21">
        <f>EXP(-LN(2)/25)*DG74+(1-EXP(-LN(2)/25))/(LN(2)/25)*Calculateur!DB75*Calculateur!DD75*VLOOKUP('Données projet'!$B$13,Paramètres!$A$1:$I$89,3,0)*0.475*44/12</f>
        <v>18.902988686244203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37.385427454047971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1.7053025658242404E-13</v>
      </c>
      <c r="DP75" s="17">
        <f>DO75*VLOOKUP('Données projet'!$B$14,Paramètres!$A$1:$I$89,3,0)*VLOOKUP('Données projet'!$B$14,Paramètres!$A$1:$I$89,5,0)</f>
        <v>1.3301360013429075E-13</v>
      </c>
      <c r="DQ75" s="13">
        <f t="shared" si="97"/>
        <v>1.9329766731057041E-12</v>
      </c>
      <c r="DR75" s="20">
        <f t="shared" si="70"/>
        <v>3.5982663925596575E-12</v>
      </c>
      <c r="DS75" s="59">
        <f t="shared" si="71"/>
        <v>293.3333333333369</v>
      </c>
      <c r="DT75" s="59">
        <f ca="1">AVERAGE(OFFSET($DS$3,0,0,'Données projet'!$E$14+1,1))-AVERAGE(OFFSET($H$3,0,0,'Données projet'!$E$14+1,1))</f>
        <v>288.80569134263209</v>
      </c>
      <c r="DU75" s="59">
        <f t="shared" si="98"/>
        <v>283.48738729114024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76.453683739722905</v>
      </c>
      <c r="EB75" s="21">
        <f>EXP(-LN(2)/25)*EB74+(1-EXP(-LN(2)/25))/(LN(2)/25)*Calculateur!DW75*Calculateur!DY75*VLOOKUP('Données projet'!$B$14,Paramètres!$A$1:$I$89,3,0)*0.475*44/12</f>
        <v>62.765576867474806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139.21926060719773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-1.1368683772161603E-13</v>
      </c>
      <c r="EK75" s="17">
        <f>EJ75*VLOOKUP('Données projet'!$B$15,Paramètres!$A$1:$I$89,3,0)*VLOOKUP('Données projet'!$B$15,Paramètres!$A$1:$I$89,5,0)</f>
        <v>-6.3550942286383367E-14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335.04906256888819</v>
      </c>
      <c r="EP75" s="59">
        <f t="shared" si="100"/>
        <v>440.84111898279554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161.86566056664478</v>
      </c>
      <c r="EW75" s="21">
        <f>EXP(-LN(2)/25)*EW74+(1-EXP(-LN(2)/25))/(LN(2)/25)*Calculateur!ER75*Calculateur!ET75*VLOOKUP('Données projet'!$B$15,Paramètres!$A$1:$I$89,3,0)*0.475*44/12</f>
        <v>35.956713640000061</v>
      </c>
      <c r="EX75" s="21">
        <f>EXP(-LN(2)/2)*EX74+(1-EXP(-LN(2)/2))/(LN(2)/2)*ER75*EU75*VLOOKUP('Données projet'!$B$15,Paramètres!$A$1:$I$89,3,0)*0.475*44/12</f>
        <v>9.4358162951105815E-2</v>
      </c>
      <c r="EY75" s="22">
        <f t="shared" si="75"/>
        <v>197.91673236959593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1.7053025658242404E-13</v>
      </c>
      <c r="O76" s="13">
        <f>N76*VLOOKUP('Données projet'!$B$9,Paramètres!$A$1:$I$89,3,0)*VLOOKUP('Données projet'!$B$9,Paramètres!$A$1:$I$89,5,0)</f>
        <v>1.383341441396624E-13</v>
      </c>
      <c r="P76" s="13">
        <f t="shared" si="87"/>
        <v>2.0011390722884082E-12</v>
      </c>
      <c r="Q76" s="20">
        <f t="shared" si="54"/>
        <v>3.7262491852788889E-12</v>
      </c>
      <c r="R76" s="59">
        <f t="shared" si="55"/>
        <v>293.33333333333707</v>
      </c>
      <c r="S76" s="59">
        <f ca="1">AVERAGE(OFFSET($R$3,0,0,'Données projet'!$E$9+1,1))-AVERAGE(OFFSET($H$3,0,0,'Données projet'!$E$9+1,1))</f>
        <v>298.96480270023716</v>
      </c>
      <c r="T76" s="59">
        <f t="shared" si="88"/>
        <v>293.11447542333889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96.081176434678341</v>
      </c>
      <c r="AA76" s="21">
        <f>EXP(-LN(2)/25)*AA75+(1-EXP(-LN(2)/25))/(LN(2)/25)*Calculateur!V76*Calculateur!X76*VLOOKUP('Données projet'!$B$9,Paramètres!$A$1:$I$89,3,0)*0.475*44/12</f>
        <v>78.25661854808213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174.33779498276047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8.017806267806268</v>
      </c>
      <c r="AI76" s="13">
        <f>IF('Données projet'!$A$62&gt;35,AI75+AH76-AQ75,IF(A76&lt;'Données projet'!$A$62,$AF$205^A76,IF(A76='Données projet'!$A$62,'Données projet'!$B$62,AI75+AH76-AQ75)))</f>
        <v>205.90883190883216</v>
      </c>
      <c r="AJ76" s="13">
        <f>AI76*VLOOKUP('Données projet'!$B$10,Paramètres!$A$1:$I$89,3,0)*VLOOKUP('Données projet'!$B$10,Paramètres!$A$1:$I$89,5,0)</f>
        <v>176.66977777777799</v>
      </c>
      <c r="AK76" s="13">
        <f t="shared" si="89"/>
        <v>44.580469736313056</v>
      </c>
      <c r="AL76" s="20">
        <f t="shared" si="58"/>
        <v>385.34418108704193</v>
      </c>
      <c r="AM76" s="59">
        <f t="shared" si="59"/>
        <v>678.67751442037525</v>
      </c>
      <c r="AN76" s="59">
        <f ca="1">AVERAGE(OFFSET($AM$3,0,0,'Données projet'!$E$10+1,1))-AVERAGE(OFFSET($H$3,0,0,'Données projet'!$E$10+1,1))</f>
        <v>335.02113791949211</v>
      </c>
      <c r="AO76" s="59">
        <f t="shared" si="90"/>
        <v>222.06886429435099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9.2484058759656804</v>
      </c>
      <c r="AV76" s="21">
        <f>EXP(-LN(2)/25)*AV75+(1-EXP(-LN(2)/25))/(LN(2)/25)*Calculateur!AQ76*Calculateur!AS76*VLOOKUP('Données projet'!$B$10,Paramètres!$A$1:$I$89,3,0)*0.475*44/12</f>
        <v>24.51097604721345</v>
      </c>
      <c r="AW76" s="21">
        <f>EXP(-LN(2)/2)*AW75+(1-EXP(-LN(2)/2))/(LN(2)/2)*AQ76*AT76*VLOOKUP('Données projet'!$B$10,Paramètres!$A$1:$I$89,3,0)*0.475*44/12</f>
        <v>7.6713136764237344</v>
      </c>
      <c r="AX76" s="21">
        <f t="shared" si="60"/>
        <v>41.430695599602871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-3.1036506698001178E-14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207.02306964567629</v>
      </c>
      <c r="BJ76" s="59">
        <f t="shared" si="92"/>
        <v>342.06887933351783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35.082277650571726</v>
      </c>
      <c r="BQ76" s="21">
        <f>EXP(-LN(2)/25)*BQ75+(1-EXP(-LN(2)/25))/(LN(2)/25)*Calculateur!BL76*Calculateur!BN76*VLOOKUP('Données projet'!$B$11,Paramètres!$A$1:$I$89,3,0)*0.475*44/12</f>
        <v>60.049839326302653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95.132116976874386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231.39791999999991</v>
      </c>
      <c r="CA76" s="13">
        <f t="shared" si="93"/>
        <v>56.584837838715806</v>
      </c>
      <c r="CB76" s="20">
        <f t="shared" si="64"/>
        <v>501.56996990242982</v>
      </c>
      <c r="CC76" s="59">
        <f t="shared" si="65"/>
        <v>794.90330323576313</v>
      </c>
      <c r="CD76" s="59">
        <f ca="1">AVERAGE(OFFSET($CC$3,0,0,'Données projet'!$E$12+1,1))-AVERAGE(OFFSET($H$3,0,0,'Données projet'!$E$12+1,1))</f>
        <v>328.55201074501201</v>
      </c>
      <c r="CE76" s="59">
        <f t="shared" si="94"/>
        <v>321.81422611044985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30.448327763064306</v>
      </c>
      <c r="CL76" s="21">
        <f>EXP(-LN(2)/25)*CL75+(1-EXP(-LN(2)/25))/(LN(2)/25)*Calculateur!CG76*Calculateur!CI76*VLOOKUP('Données projet'!$B$12,Paramètres!$A$1:$I$89,3,0)*0.475*44/12</f>
        <v>6.4327104205980055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36.881038183662312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4.4000000000000004</v>
      </c>
      <c r="CT76" s="12">
        <f>IF('Données projet'!$A$140&gt;35,CT75+CS76-DB75,IF(A76&lt;'Données projet'!$A$140,$CQ$205^A76,IF(A76='Données projet'!$A$140,'Données projet'!$B$140,CT75+CS76-DB75)))</f>
        <v>232.20000000000002</v>
      </c>
      <c r="CU76" s="17">
        <f>CT76*VLOOKUP('Données projet'!$B$13,Paramètres!$A$1:$I$89,3,0)*VLOOKUP('Données projet'!$B$13,Paramètres!$A$1:$I$89,5,0)</f>
        <v>202.84992000000003</v>
      </c>
      <c r="CV76" s="13">
        <f t="shared" si="95"/>
        <v>50.369977187686075</v>
      </c>
      <c r="CW76" s="20">
        <f t="shared" si="67"/>
        <v>441.02465426855332</v>
      </c>
      <c r="CX76" s="59">
        <f t="shared" si="68"/>
        <v>734.35798760188663</v>
      </c>
      <c r="CY76" s="59">
        <f ca="1">AVERAGE(OFFSET($CX$3,0,0,'Données projet'!$E$13+1,1))-AVERAGE(OFFSET($H$3,0,0,'Données projet'!$E$13+1,1))</f>
        <v>354.24684313982857</v>
      </c>
      <c r="CZ76" s="59">
        <f t="shared" si="96"/>
        <v>322.65043486962185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18.120009416741645</v>
      </c>
      <c r="DG76" s="21">
        <f>EXP(-LN(2)/25)*DG75+(1-EXP(-LN(2)/25))/(LN(2)/25)*Calculateur!DB76*Calculateur!DD76*VLOOKUP('Données projet'!$B$13,Paramètres!$A$1:$I$89,3,0)*0.475*44/12</f>
        <v>18.386085466553883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36.506094883295532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1.7053025658242404E-13</v>
      </c>
      <c r="DP76" s="17">
        <f>DO76*VLOOKUP('Données projet'!$B$14,Paramètres!$A$1:$I$89,3,0)*VLOOKUP('Données projet'!$B$14,Paramètres!$A$1:$I$89,5,0)</f>
        <v>1.3301360013429075E-13</v>
      </c>
      <c r="DQ76" s="13">
        <f t="shared" si="97"/>
        <v>1.9329766731057041E-12</v>
      </c>
      <c r="DR76" s="20">
        <f t="shared" si="70"/>
        <v>3.5982663925596575E-12</v>
      </c>
      <c r="DS76" s="59">
        <f t="shared" si="71"/>
        <v>293.3333333333369</v>
      </c>
      <c r="DT76" s="59">
        <f ca="1">AVERAGE(OFFSET($DS$3,0,0,'Données projet'!$E$14+1,1))-AVERAGE(OFFSET($H$3,0,0,'Données projet'!$E$14+1,1))</f>
        <v>288.80569134263209</v>
      </c>
      <c r="DU76" s="59">
        <f t="shared" si="98"/>
        <v>283.48738729114024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74.954473633729478</v>
      </c>
      <c r="EB76" s="21">
        <f>EXP(-LN(2)/25)*EB75+(1-EXP(-LN(2)/25))/(LN(2)/25)*Calculateur!DW76*Calculateur!DY76*VLOOKUP('Données projet'!$B$14,Paramètres!$A$1:$I$89,3,0)*0.475*44/12</f>
        <v>61.049248867335471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136.00372250106494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-1.1368683772161603E-13</v>
      </c>
      <c r="EK76" s="17">
        <f>EJ76*VLOOKUP('Données projet'!$B$15,Paramètres!$A$1:$I$89,3,0)*VLOOKUP('Données projet'!$B$15,Paramètres!$A$1:$I$89,5,0)</f>
        <v>-6.3550942286383367E-14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335.04906256888819</v>
      </c>
      <c r="EP76" s="59">
        <f t="shared" si="100"/>
        <v>440.84111898279554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158.69157369123721</v>
      </c>
      <c r="EW76" s="21">
        <f>EXP(-LN(2)/25)*EW75+(1-EXP(-LN(2)/25))/(LN(2)/25)*Calculateur!ER76*Calculateur!ET76*VLOOKUP('Données projet'!$B$15,Paramètres!$A$1:$I$89,3,0)*0.475*44/12</f>
        <v>34.973475414632865</v>
      </c>
      <c r="EX76" s="21">
        <f>EXP(-LN(2)/2)*EX75+(1-EXP(-LN(2)/2))/(LN(2)/2)*ER76*EU76*VLOOKUP('Données projet'!$B$15,Paramètres!$A$1:$I$89,3,0)*0.475*44/12</f>
        <v>6.6721296883032175E-2</v>
      </c>
      <c r="EY76" s="22">
        <f t="shared" si="75"/>
        <v>193.73177040275311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1.7053025658242404E-13</v>
      </c>
      <c r="O77" s="13">
        <f>N77*VLOOKUP('Données projet'!$B$9,Paramètres!$A$1:$I$89,3,0)*VLOOKUP('Données projet'!$B$9,Paramètres!$A$1:$I$89,5,0)</f>
        <v>1.383341441396624E-13</v>
      </c>
      <c r="P77" s="13">
        <f t="shared" si="87"/>
        <v>2.0011390722884082E-12</v>
      </c>
      <c r="Q77" s="20">
        <f t="shared" si="54"/>
        <v>3.7262491852788889E-12</v>
      </c>
      <c r="R77" s="59">
        <f t="shared" si="55"/>
        <v>293.33333333333707</v>
      </c>
      <c r="S77" s="59">
        <f ca="1">AVERAGE(OFFSET($R$3,0,0,'Données projet'!$E$9+1,1))-AVERAGE(OFFSET($H$3,0,0,'Données projet'!$E$9+1,1))</f>
        <v>298.96480270023716</v>
      </c>
      <c r="T77" s="59">
        <f t="shared" si="88"/>
        <v>293.11447542333889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94.197083168525282</v>
      </c>
      <c r="AA77" s="21">
        <f>EXP(-LN(2)/25)*AA76+(1-EXP(-LN(2)/25))/(LN(2)/25)*Calculateur!V77*Calculateur!X77*VLOOKUP('Données projet'!$B$9,Paramètres!$A$1:$I$89,3,0)*0.475*44/12</f>
        <v>76.116687198548107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170.3137703670734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8.017806267806268</v>
      </c>
      <c r="AI77" s="13">
        <f>IF('Données projet'!$A$62&gt;35,AI76+AH77-AQ76,IF(A77&lt;'Données projet'!$A$62,$AF$205^A77,IF(A77='Données projet'!$A$62,'Données projet'!$B$62,AI76+AH77-AQ76)))</f>
        <v>213.92663817663842</v>
      </c>
      <c r="AJ77" s="13">
        <f>AI77*VLOOKUP('Données projet'!$B$10,Paramètres!$A$1:$I$89,3,0)*VLOOKUP('Données projet'!$B$10,Paramètres!$A$1:$I$89,5,0)</f>
        <v>183.54905555555578</v>
      </c>
      <c r="AK77" s="13">
        <f t="shared" si="89"/>
        <v>46.110886132490592</v>
      </c>
      <c r="AL77" s="20">
        <f t="shared" si="58"/>
        <v>399.99106510668076</v>
      </c>
      <c r="AM77" s="59">
        <f t="shared" si="59"/>
        <v>693.32439844001408</v>
      </c>
      <c r="AN77" s="59">
        <f ca="1">AVERAGE(OFFSET($AM$3,0,0,'Données projet'!$E$10+1,1))-AVERAGE(OFFSET($H$3,0,0,'Données projet'!$E$10+1,1))</f>
        <v>335.02113791949211</v>
      </c>
      <c r="AO77" s="59">
        <f t="shared" si="90"/>
        <v>222.06886429435099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9.067050277708578</v>
      </c>
      <c r="AV77" s="21">
        <f>EXP(-LN(2)/25)*AV76+(1-EXP(-LN(2)/25))/(LN(2)/25)*Calculateur!AQ77*Calculateur!AS77*VLOOKUP('Données projet'!$B$10,Paramètres!$A$1:$I$89,3,0)*0.475*44/12</f>
        <v>23.840722118226189</v>
      </c>
      <c r="AW77" s="21">
        <f>EXP(-LN(2)/2)*AW76+(1-EXP(-LN(2)/2))/(LN(2)/2)*AQ77*AT77*VLOOKUP('Données projet'!$B$10,Paramètres!$A$1:$I$89,3,0)*0.475*44/12</f>
        <v>5.4244379212083276</v>
      </c>
      <c r="AX77" s="21">
        <f t="shared" si="60"/>
        <v>38.332210317143101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-3.1036506698001178E-14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207.02306964567629</v>
      </c>
      <c r="BJ77" s="59">
        <f t="shared" si="92"/>
        <v>342.06887933351783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34.394335583920494</v>
      </c>
      <c r="BQ77" s="21">
        <f>EXP(-LN(2)/25)*BQ76+(1-EXP(-LN(2)/25))/(LN(2)/25)*Calculateur!BL77*Calculateur!BN77*VLOOKUP('Données projet'!$B$11,Paramètres!$A$1:$I$89,3,0)*0.475*44/12</f>
        <v>58.407773312041101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92.802108895961595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234.47735999999995</v>
      </c>
      <c r="CA77" s="13">
        <f t="shared" si="93"/>
        <v>57.249702472380292</v>
      </c>
      <c r="CB77" s="20">
        <f t="shared" si="64"/>
        <v>508.09130047272885</v>
      </c>
      <c r="CC77" s="59">
        <f t="shared" si="65"/>
        <v>801.42463380606216</v>
      </c>
      <c r="CD77" s="59">
        <f ca="1">AVERAGE(OFFSET($CC$3,0,0,'Données projet'!$E$12+1,1))-AVERAGE(OFFSET($H$3,0,0,'Données projet'!$E$12+1,1))</f>
        <v>328.55201074501201</v>
      </c>
      <c r="CE77" s="59">
        <f t="shared" si="94"/>
        <v>321.81422611044985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29.851254627276752</v>
      </c>
      <c r="CL77" s="21">
        <f>EXP(-LN(2)/25)*CL76+(1-EXP(-LN(2)/25))/(LN(2)/25)*Calculateur!CG77*Calculateur!CI77*VLOOKUP('Données projet'!$B$12,Paramètres!$A$1:$I$89,3,0)*0.475*44/12</f>
        <v>6.2568076158652142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36.108062243141966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4.4000000000000004</v>
      </c>
      <c r="CT77" s="12">
        <f>IF('Données projet'!$A$140&gt;35,CT76+CS77-DB76,IF(A77&lt;'Données projet'!$A$140,$CQ$205^A77,IF(A77='Données projet'!$A$140,'Données projet'!$B$140,CT76+CS77-DB76)))</f>
        <v>236.60000000000002</v>
      </c>
      <c r="CU77" s="17">
        <f>CT77*VLOOKUP('Données projet'!$B$13,Paramètres!$A$1:$I$89,3,0)*VLOOKUP('Données projet'!$B$13,Paramètres!$A$1:$I$89,5,0)</f>
        <v>206.69376000000005</v>
      </c>
      <c r="CV77" s="13">
        <f t="shared" si="95"/>
        <v>51.212423138937325</v>
      </c>
      <c r="CW77" s="20">
        <f t="shared" si="67"/>
        <v>449.18660230031583</v>
      </c>
      <c r="CX77" s="59">
        <f t="shared" si="68"/>
        <v>742.51993563364908</v>
      </c>
      <c r="CY77" s="59">
        <f ca="1">AVERAGE(OFFSET($CX$3,0,0,'Données projet'!$E$13+1,1))-AVERAGE(OFFSET($H$3,0,0,'Données projet'!$E$13+1,1))</f>
        <v>354.24684313982857</v>
      </c>
      <c r="CZ77" s="59">
        <f t="shared" si="96"/>
        <v>322.65043486962185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17.764687084193781</v>
      </c>
      <c r="DG77" s="21">
        <f>EXP(-LN(2)/25)*DG76+(1-EXP(-LN(2)/25))/(LN(2)/25)*Calculateur!DB77*Calculateur!DD77*VLOOKUP('Données projet'!$B$13,Paramètres!$A$1:$I$89,3,0)*0.475*44/12</f>
        <v>17.883316992588753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35.648004076782534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1.7053025658242404E-13</v>
      </c>
      <c r="DP77" s="17">
        <f>DO77*VLOOKUP('Données projet'!$B$14,Paramètres!$A$1:$I$89,3,0)*VLOOKUP('Données projet'!$B$14,Paramètres!$A$1:$I$89,5,0)</f>
        <v>1.3301360013429075E-13</v>
      </c>
      <c r="DQ77" s="13">
        <f t="shared" si="97"/>
        <v>1.9329766731057041E-12</v>
      </c>
      <c r="DR77" s="20">
        <f t="shared" si="70"/>
        <v>3.5982663925596575E-12</v>
      </c>
      <c r="DS77" s="59">
        <f t="shared" si="71"/>
        <v>293.3333333333369</v>
      </c>
      <c r="DT77" s="59">
        <f ca="1">AVERAGE(OFFSET($DS$3,0,0,'Données projet'!$E$14+1,1))-AVERAGE(OFFSET($H$3,0,0,'Données projet'!$E$14+1,1))</f>
        <v>288.80569134263209</v>
      </c>
      <c r="DU77" s="59">
        <f t="shared" si="98"/>
        <v>283.48738729114024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73.484662123486714</v>
      </c>
      <c r="EB77" s="21">
        <f>EXP(-LN(2)/25)*EB76+(1-EXP(-LN(2)/25))/(LN(2)/25)*Calculateur!DW77*Calculateur!DY77*VLOOKUP('Données projet'!$B$14,Paramètres!$A$1:$I$89,3,0)*0.475*44/12</f>
        <v>59.379853946617715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132.86451607010443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-1.1368683772161603E-13</v>
      </c>
      <c r="EK77" s="17">
        <f>EJ77*VLOOKUP('Données projet'!$B$15,Paramètres!$A$1:$I$89,3,0)*VLOOKUP('Données projet'!$B$15,Paramètres!$A$1:$I$89,5,0)</f>
        <v>-6.3550942286383367E-14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335.04906256888819</v>
      </c>
      <c r="EP77" s="59">
        <f t="shared" si="100"/>
        <v>440.84111898279554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155.57972872345456</v>
      </c>
      <c r="EW77" s="21">
        <f>EXP(-LN(2)/25)*EW76+(1-EXP(-LN(2)/25))/(LN(2)/25)*Calculateur!ER77*Calculateur!ET77*VLOOKUP('Données projet'!$B$15,Paramètres!$A$1:$I$89,3,0)*0.475*44/12</f>
        <v>34.017123890244591</v>
      </c>
      <c r="EX77" s="21">
        <f>EXP(-LN(2)/2)*EX76+(1-EXP(-LN(2)/2))/(LN(2)/2)*ER77*EU77*VLOOKUP('Données projet'!$B$15,Paramètres!$A$1:$I$89,3,0)*0.475*44/12</f>
        <v>4.7179081475552907E-2</v>
      </c>
      <c r="EY77" s="22">
        <f t="shared" si="75"/>
        <v>189.6440316951747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1.7053025658242404E-13</v>
      </c>
      <c r="O78" s="13">
        <f>N78*VLOOKUP('Données projet'!$B$9,Paramètres!$A$1:$I$89,3,0)*VLOOKUP('Données projet'!$B$9,Paramètres!$A$1:$I$89,5,0)</f>
        <v>1.383341441396624E-13</v>
      </c>
      <c r="P78" s="13">
        <f t="shared" si="87"/>
        <v>2.0011390722884082E-12</v>
      </c>
      <c r="Q78" s="20">
        <f t="shared" si="54"/>
        <v>3.7262491852788889E-12</v>
      </c>
      <c r="R78" s="59">
        <f t="shared" si="55"/>
        <v>293.33333333333707</v>
      </c>
      <c r="S78" s="59">
        <f ca="1">AVERAGE(OFFSET($R$3,0,0,'Données projet'!$E$9+1,1))-AVERAGE(OFFSET($H$3,0,0,'Données projet'!$E$9+1,1))</f>
        <v>298.96480270023716</v>
      </c>
      <c r="T78" s="59">
        <f t="shared" si="88"/>
        <v>293.11447542333889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92.349935822138065</v>
      </c>
      <c r="AA78" s="21">
        <f>EXP(-LN(2)/25)*AA77+(1-EXP(-LN(2)/25))/(LN(2)/25)*Calculateur!V78*Calculateur!X78*VLOOKUP('Données projet'!$B$9,Paramètres!$A$1:$I$89,3,0)*0.475*44/12</f>
        <v>74.035272384301194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166.38520820643924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8.017806267806268</v>
      </c>
      <c r="AI78" s="13">
        <f>IF('Données projet'!$A$62&gt;35,AI77+AH78-AQ77,IF(A78&lt;'Données projet'!$A$62,$AF$205^A78,IF(A78='Données projet'!$A$62,'Données projet'!$B$62,AI77+AH78-AQ77)))</f>
        <v>221.94444444444468</v>
      </c>
      <c r="AJ78" s="13">
        <f>AI78*VLOOKUP('Données projet'!$B$10,Paramètres!$A$1:$I$89,3,0)*VLOOKUP('Données projet'!$B$10,Paramètres!$A$1:$I$89,5,0)</f>
        <v>190.42833333333357</v>
      </c>
      <c r="AK78" s="13">
        <f t="shared" si="89"/>
        <v>47.634638855140132</v>
      </c>
      <c r="AL78" s="20">
        <f t="shared" si="58"/>
        <v>414.62634322825835</v>
      </c>
      <c r="AM78" s="59">
        <f t="shared" si="59"/>
        <v>707.95967656159166</v>
      </c>
      <c r="AN78" s="59">
        <f ca="1">AVERAGE(OFFSET($AM$3,0,0,'Données projet'!$E$10+1,1))-AVERAGE(OFFSET($H$3,0,0,'Données projet'!$E$10+1,1))</f>
        <v>335.02113791949211</v>
      </c>
      <c r="AO78" s="59">
        <f t="shared" si="90"/>
        <v>222.06886429435099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8.8892509521173046</v>
      </c>
      <c r="AV78" s="21">
        <f>EXP(-LN(2)/25)*AV77+(1-EXP(-LN(2)/25))/(LN(2)/25)*Calculateur!AQ78*Calculateur!AS78*VLOOKUP('Données projet'!$B$10,Paramètres!$A$1:$I$89,3,0)*0.475*44/12</f>
        <v>23.188796318174205</v>
      </c>
      <c r="AW78" s="21">
        <f>EXP(-LN(2)/2)*AW77+(1-EXP(-LN(2)/2))/(LN(2)/2)*AQ78*AT78*VLOOKUP('Données projet'!$B$10,Paramètres!$A$1:$I$89,3,0)*0.475*44/12</f>
        <v>3.8356568382118676</v>
      </c>
      <c r="AX78" s="21">
        <f t="shared" si="60"/>
        <v>35.913704108503374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-3.1036506698001178E-14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207.02306964567629</v>
      </c>
      <c r="BJ78" s="59">
        <f t="shared" si="92"/>
        <v>342.06887933351783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33.719883641593064</v>
      </c>
      <c r="BQ78" s="21">
        <f>EXP(-LN(2)/25)*BQ77+(1-EXP(-LN(2)/25))/(LN(2)/25)*Calculateur!BL78*Calculateur!BN78*VLOOKUP('Données projet'!$B$11,Paramètres!$A$1:$I$89,3,0)*0.475*44/12</f>
        <v>56.810609679292028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90.530493320885085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237.55679999999992</v>
      </c>
      <c r="CA78" s="13">
        <f t="shared" si="93"/>
        <v>57.913551469467308</v>
      </c>
      <c r="CB78" s="20">
        <f t="shared" si="64"/>
        <v>514.61086214265538</v>
      </c>
      <c r="CC78" s="59">
        <f t="shared" si="65"/>
        <v>807.94419547598864</v>
      </c>
      <c r="CD78" s="59">
        <f ca="1">AVERAGE(OFFSET($CC$3,0,0,'Données projet'!$E$12+1,1))-AVERAGE(OFFSET($H$3,0,0,'Données projet'!$E$12+1,1))</f>
        <v>328.55201074501201</v>
      </c>
      <c r="CE78" s="59">
        <f t="shared" si="94"/>
        <v>321.81422611044985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0.39560000000000001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33.113641935832376</v>
      </c>
      <c r="CL78" s="21">
        <f>EXP(-LN(2)/25)*CL77+(1-EXP(-LN(2)/25))/(LN(2)/25)*Calculateur!CG78*Calculateur!CI78*VLOOKUP('Données projet'!$B$12,Paramètres!$A$1:$I$89,3,0)*0.475*44/12</f>
        <v>6.0857148825781673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39.199356818410543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241</v>
      </c>
      <c r="CR78" s="12">
        <f>VLOOKUP(A78,'Données projet'!$A$139:$I$159,9,0)</f>
        <v>4.4000000000000004</v>
      </c>
      <c r="CS78" s="12">
        <f t="array" ref="CS78">INDEX(CR:CR,MIN(IF(ISNUMBER(CR78:CR274),ROW(CR78:CR274),"")))</f>
        <v>4.4000000000000004</v>
      </c>
      <c r="CT78" s="12">
        <f>IF('Données projet'!$A$140&gt;35,CT77+CS78-DB77,IF(A78&lt;'Données projet'!$A$140,$CQ$205^A78,IF(A78='Données projet'!$A$140,'Données projet'!$B$140,CT77+CS78-DB77)))</f>
        <v>241.00000000000003</v>
      </c>
      <c r="CU78" s="17">
        <f>CT78*VLOOKUP('Données projet'!$B$13,Paramètres!$A$1:$I$89,3,0)*VLOOKUP('Données projet'!$B$13,Paramètres!$A$1:$I$89,5,0)</f>
        <v>210.53760000000005</v>
      </c>
      <c r="CV78" s="13">
        <f t="shared" si="95"/>
        <v>52.053047337322276</v>
      </c>
      <c r="CW78" s="20">
        <f t="shared" si="67"/>
        <v>457.34537744583628</v>
      </c>
      <c r="CX78" s="59">
        <f t="shared" si="68"/>
        <v>750.67871077916959</v>
      </c>
      <c r="CY78" s="59">
        <f ca="1">AVERAGE(OFFSET($CX$3,0,0,'Données projet'!$E$13+1,1))-AVERAGE(OFFSET($H$3,0,0,'Données projet'!$E$13+1,1))</f>
        <v>354.24684313982857</v>
      </c>
      <c r="CZ78" s="59">
        <f t="shared" si="96"/>
        <v>322.65043486962185</v>
      </c>
      <c r="DA78" s="15">
        <f>IF(ISNA(VLOOKUP(A78,'Données projet'!$A$139:$I$159,3,0)),0,VLOOKUP(A78,'Données projet'!$A$139:$I$159,3,0))</f>
        <v>12</v>
      </c>
      <c r="DB78" s="15" t="str">
        <f>IF(ISNA(VLOOKUP(A78,'Données projet'!$A$139:$I$159,4,0)),0,VLOOKUP(A78,'Données projet'!$A$139:$I$159,4,0))</f>
        <v>16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0.129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21.402902682317578</v>
      </c>
      <c r="DG78" s="21">
        <f>EXP(-LN(2)/25)*DG77+(1-EXP(-LN(2)/25))/(LN(2)/25)*Calculateur!DB78*Calculateur!DD78*VLOOKUP('Données projet'!$B$13,Paramètres!$A$1:$I$89,3,0)*0.475*44/12</f>
        <v>19.379733564121072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40.782636246438649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1.7053025658242404E-13</v>
      </c>
      <c r="DP78" s="17">
        <f>DO78*VLOOKUP('Données projet'!$B$14,Paramètres!$A$1:$I$89,3,0)*VLOOKUP('Données projet'!$B$14,Paramètres!$A$1:$I$89,5,0)</f>
        <v>1.3301360013429075E-13</v>
      </c>
      <c r="DQ78" s="13">
        <f t="shared" si="97"/>
        <v>1.9329766731057041E-12</v>
      </c>
      <c r="DR78" s="20">
        <f t="shared" si="70"/>
        <v>3.5982663925596575E-12</v>
      </c>
      <c r="DS78" s="59">
        <f t="shared" si="71"/>
        <v>293.3333333333369</v>
      </c>
      <c r="DT78" s="59">
        <f ca="1">AVERAGE(OFFSET($DS$3,0,0,'Données projet'!$E$14+1,1))-AVERAGE(OFFSET($H$3,0,0,'Données projet'!$E$14+1,1))</f>
        <v>288.80569134263209</v>
      </c>
      <c r="DU78" s="59">
        <f t="shared" si="98"/>
        <v>283.48738729114024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72.043672720463306</v>
      </c>
      <c r="EB78" s="21">
        <f>EXP(-LN(2)/25)*EB77+(1-EXP(-LN(2)/25))/(LN(2)/25)*Calculateur!DW78*Calculateur!DY78*VLOOKUP('Données projet'!$B$14,Paramètres!$A$1:$I$89,3,0)*0.475*44/12</f>
        <v>57.75610871779665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129.79978143825997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-1.1368683772161603E-13</v>
      </c>
      <c r="EK78" s="17">
        <f>EJ78*VLOOKUP('Données projet'!$B$15,Paramètres!$A$1:$I$89,3,0)*VLOOKUP('Données projet'!$B$15,Paramètres!$A$1:$I$89,5,0)</f>
        <v>-6.3550942286383367E-14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335.04906256888819</v>
      </c>
      <c r="EP78" s="59">
        <f t="shared" si="100"/>
        <v>440.84111898279554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152.52890513745211</v>
      </c>
      <c r="EW78" s="21">
        <f>EXP(-LN(2)/25)*EW77+(1-EXP(-LN(2)/25))/(LN(2)/25)*Calculateur!ER78*Calculateur!ET78*VLOOKUP('Données projet'!$B$15,Paramètres!$A$1:$I$89,3,0)*0.475*44/12</f>
        <v>33.086923848583055</v>
      </c>
      <c r="EX78" s="21">
        <f>EXP(-LN(2)/2)*EX77+(1-EXP(-LN(2)/2))/(LN(2)/2)*ER78*EU78*VLOOKUP('Données projet'!$B$15,Paramètres!$A$1:$I$89,3,0)*0.475*44/12</f>
        <v>3.3360648441516087E-2</v>
      </c>
      <c r="EY78" s="22">
        <f t="shared" si="75"/>
        <v>185.6491896344767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1.7053025658242404E-13</v>
      </c>
      <c r="O79" s="13">
        <f>N79*VLOOKUP('Données projet'!$B$9,Paramètres!$A$1:$I$89,3,0)*VLOOKUP('Données projet'!$B$9,Paramètres!$A$1:$I$89,5,0)</f>
        <v>1.383341441396624E-13</v>
      </c>
      <c r="P79" s="13">
        <f t="shared" si="87"/>
        <v>2.0011390722884082E-12</v>
      </c>
      <c r="Q79" s="20">
        <f t="shared" si="54"/>
        <v>3.7262491852788889E-12</v>
      </c>
      <c r="R79" s="59">
        <f t="shared" si="55"/>
        <v>293.33333333333707</v>
      </c>
      <c r="S79" s="59">
        <f ca="1">AVERAGE(OFFSET($R$3,0,0,'Données projet'!$E$9+1,1))-AVERAGE(OFFSET($H$3,0,0,'Données projet'!$E$9+1,1))</f>
        <v>298.96480270023716</v>
      </c>
      <c r="T79" s="59">
        <f t="shared" si="88"/>
        <v>293.11447542333889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90.539009908564864</v>
      </c>
      <c r="AA79" s="21">
        <f>EXP(-LN(2)/25)*AA78+(1-EXP(-LN(2)/25))/(LN(2)/25)*Calculateur!V79*Calculateur!X79*VLOOKUP('Données projet'!$B$9,Paramètres!$A$1:$I$89,3,0)*0.475*44/12</f>
        <v>72.01077396760671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162.54978387617157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8.017806267806268</v>
      </c>
      <c r="AI79" s="13">
        <f>IF('Données projet'!$A$62&gt;35,AI78+AH79-AQ78,IF(A79&lt;'Données projet'!$A$62,$AF$205^A79,IF(A79='Données projet'!$A$62,'Données projet'!$B$62,AI78+AH79-AQ78)))</f>
        <v>229.96225071225095</v>
      </c>
      <c r="AJ79" s="13">
        <f>AI79*VLOOKUP('Données projet'!$B$10,Paramètres!$A$1:$I$89,3,0)*VLOOKUP('Données projet'!$B$10,Paramètres!$A$1:$I$89,5,0)</f>
        <v>197.30761111111136</v>
      </c>
      <c r="AK79" s="13">
        <f t="shared" si="89"/>
        <v>49.151996206447294</v>
      </c>
      <c r="AL79" s="20">
        <f t="shared" si="58"/>
        <v>429.25048274474801</v>
      </c>
      <c r="AM79" s="59">
        <f t="shared" si="59"/>
        <v>722.58381607808133</v>
      </c>
      <c r="AN79" s="59">
        <f ca="1">AVERAGE(OFFSET($AM$3,0,0,'Données projet'!$E$10+1,1))-AVERAGE(OFFSET($H$3,0,0,'Données projet'!$E$10+1,1))</f>
        <v>335.02113791949211</v>
      </c>
      <c r="AO79" s="59">
        <f t="shared" si="90"/>
        <v>222.06886429435099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8.714938162853997</v>
      </c>
      <c r="AV79" s="21">
        <f>EXP(-LN(2)/25)*AV78+(1-EXP(-LN(2)/25))/(LN(2)/25)*Calculateur!AQ79*Calculateur!AS79*VLOOKUP('Données projet'!$B$10,Paramètres!$A$1:$I$89,3,0)*0.475*44/12</f>
        <v>22.554697463407933</v>
      </c>
      <c r="AW79" s="21">
        <f>EXP(-LN(2)/2)*AW78+(1-EXP(-LN(2)/2))/(LN(2)/2)*AQ79*AT79*VLOOKUP('Données projet'!$B$10,Paramètres!$A$1:$I$89,3,0)*0.475*44/12</f>
        <v>2.7122189606041638</v>
      </c>
      <c r="AX79" s="21">
        <f t="shared" si="60"/>
        <v>33.981854586866092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-3.1036506698001178E-14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207.02306964567629</v>
      </c>
      <c r="BJ79" s="59">
        <f t="shared" si="92"/>
        <v>342.06887933351783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33.058657290479616</v>
      </c>
      <c r="BQ79" s="21">
        <f>EXP(-LN(2)/25)*BQ78+(1-EXP(-LN(2)/25))/(LN(2)/25)*Calculateur!BL79*Calculateur!BN79*VLOOKUP('Données projet'!$B$11,Paramètres!$A$1:$I$89,3,0)*0.475*44/12</f>
        <v>55.25712057007167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88.315777860551293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231.39791999999991</v>
      </c>
      <c r="CA79" s="13">
        <f t="shared" si="93"/>
        <v>56.584837838715806</v>
      </c>
      <c r="CB79" s="20">
        <f t="shared" si="64"/>
        <v>501.56996990242982</v>
      </c>
      <c r="CC79" s="59">
        <f t="shared" si="65"/>
        <v>794.90330323576313</v>
      </c>
      <c r="CD79" s="59">
        <f ca="1">AVERAGE(OFFSET($CC$3,0,0,'Données projet'!$E$12+1,1))-AVERAGE(OFFSET($H$3,0,0,'Données projet'!$E$12+1,1))</f>
        <v>328.55201074501201</v>
      </c>
      <c r="CE79" s="59">
        <f t="shared" si="94"/>
        <v>321.81422611044985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32.464303614797963</v>
      </c>
      <c r="CL79" s="21">
        <f>EXP(-LN(2)/25)*CL78+(1-EXP(-LN(2)/25))/(LN(2)/25)*Calculateur!CG79*Calculateur!CI79*VLOOKUP('Données projet'!$B$12,Paramètres!$A$1:$I$89,3,0)*0.475*44/12</f>
        <v>5.9193006890802309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38.383604303878194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229.00000000000003</v>
      </c>
      <c r="CU79" s="17">
        <f>CT79*VLOOKUP('Données projet'!$B$13,Paramètres!$A$1:$I$89,3,0)*VLOOKUP('Données projet'!$B$13,Paramètres!$A$1:$I$89,5,0)</f>
        <v>200.05440000000007</v>
      </c>
      <c r="CV79" s="13">
        <f t="shared" si="95"/>
        <v>49.756123009618236</v>
      </c>
      <c r="CW79" s="20">
        <f t="shared" si="67"/>
        <v>435.08666090841854</v>
      </c>
      <c r="CX79" s="59">
        <f t="shared" si="68"/>
        <v>728.41999424175185</v>
      </c>
      <c r="CY79" s="59">
        <f ca="1">AVERAGE(OFFSET($CX$3,0,0,'Données projet'!$E$13+1,1))-AVERAGE(OFFSET($H$3,0,0,'Données projet'!$E$13+1,1))</f>
        <v>354.24684313982857</v>
      </c>
      <c r="CZ79" s="59">
        <f t="shared" si="96"/>
        <v>322.65043486962185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20.983204815198942</v>
      </c>
      <c r="DG79" s="21">
        <f>EXP(-LN(2)/25)*DG78+(1-EXP(-LN(2)/25))/(LN(2)/25)*Calculateur!DB79*Calculateur!DD79*VLOOKUP('Données projet'!$B$13,Paramètres!$A$1:$I$89,3,0)*0.475*44/12</f>
        <v>18.849793730674286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39.832998545873224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1.7053025658242404E-13</v>
      </c>
      <c r="DP79" s="17">
        <f>DO79*VLOOKUP('Données projet'!$B$14,Paramètres!$A$1:$I$89,3,0)*VLOOKUP('Données projet'!$B$14,Paramètres!$A$1:$I$89,5,0)</f>
        <v>1.3301360013429075E-13</v>
      </c>
      <c r="DQ79" s="13">
        <f t="shared" si="97"/>
        <v>1.9329766731057041E-12</v>
      </c>
      <c r="DR79" s="20">
        <f t="shared" si="70"/>
        <v>3.5982663925596575E-12</v>
      </c>
      <c r="DS79" s="59">
        <f t="shared" si="71"/>
        <v>293.3333333333369</v>
      </c>
      <c r="DT79" s="59">
        <f ca="1">AVERAGE(OFFSET($DS$3,0,0,'Données projet'!$E$14+1,1))-AVERAGE(OFFSET($H$3,0,0,'Données projet'!$E$14+1,1))</f>
        <v>288.80569134263209</v>
      </c>
      <c r="DU79" s="59">
        <f t="shared" si="98"/>
        <v>283.48738729114024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70.630940240716441</v>
      </c>
      <c r="EB79" s="21">
        <f>EXP(-LN(2)/25)*EB78+(1-EXP(-LN(2)/25))/(LN(2)/25)*Calculateur!DW79*Calculateur!DY79*VLOOKUP('Données projet'!$B$14,Paramètres!$A$1:$I$89,3,0)*0.475*44/12</f>
        <v>56.176764887646748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126.80770512836318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-1.1368683772161603E-13</v>
      </c>
      <c r="EK79" s="17">
        <f>EJ79*VLOOKUP('Données projet'!$B$15,Paramètres!$A$1:$I$89,3,0)*VLOOKUP('Données projet'!$B$15,Paramètres!$A$1:$I$89,5,0)</f>
        <v>-6.3550942286383367E-14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335.04906256888819</v>
      </c>
      <c r="EP79" s="59">
        <f t="shared" si="100"/>
        <v>440.84111898279554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149.53790634115254</v>
      </c>
      <c r="EW79" s="21">
        <f>EXP(-LN(2)/25)*EW78+(1-EXP(-LN(2)/25))/(LN(2)/25)*Calculateur!ER79*Calculateur!ET79*VLOOKUP('Données projet'!$B$15,Paramètres!$A$1:$I$89,3,0)*0.475*44/12</f>
        <v>32.182160175977849</v>
      </c>
      <c r="EX79" s="21">
        <f>EXP(-LN(2)/2)*EX78+(1-EXP(-LN(2)/2))/(LN(2)/2)*ER79*EU79*VLOOKUP('Données projet'!$B$15,Paramètres!$A$1:$I$89,3,0)*0.475*44/12</f>
        <v>2.3589540737776454E-2</v>
      </c>
      <c r="EY79" s="22">
        <f t="shared" si="75"/>
        <v>181.74365605786818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1.7053025658242404E-13</v>
      </c>
      <c r="O80" s="13">
        <f>N80*VLOOKUP('Données projet'!$B$9,Paramètres!$A$1:$I$89,3,0)*VLOOKUP('Données projet'!$B$9,Paramètres!$A$1:$I$89,5,0)</f>
        <v>1.383341441396624E-13</v>
      </c>
      <c r="P80" s="13">
        <f t="shared" si="87"/>
        <v>2.0011390722884082E-12</v>
      </c>
      <c r="Q80" s="20">
        <f t="shared" si="54"/>
        <v>3.7262491852788889E-12</v>
      </c>
      <c r="R80" s="59">
        <f t="shared" si="55"/>
        <v>293.33333333333707</v>
      </c>
      <c r="S80" s="59">
        <f ca="1">AVERAGE(OFFSET($R$3,0,0,'Données projet'!$E$9+1,1))-AVERAGE(OFFSET($H$3,0,0,'Données projet'!$E$9+1,1))</f>
        <v>298.96480270023716</v>
      </c>
      <c r="T80" s="59">
        <f t="shared" si="88"/>
        <v>293.11447542333889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88.763595147601094</v>
      </c>
      <c r="AA80" s="21">
        <f>EXP(-LN(2)/25)*AA79+(1-EXP(-LN(2)/25))/(LN(2)/25)*Calculateur!V80*Calculateur!X80*VLOOKUP('Données projet'!$B$9,Paramètres!$A$1:$I$89,3,0)*0.475*44/12</f>
        <v>70.041635566580482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158.80523071418156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8.017806267806268</v>
      </c>
      <c r="AI80" s="13">
        <f>IF('Données projet'!$A$62&gt;35,AI79+AH80-AQ79,IF(A80&lt;'Données projet'!$A$62,$AF$205^A80,IF(A80='Données projet'!$A$62,'Données projet'!$B$62,AI79+AH80-AQ79)))</f>
        <v>237.98005698005721</v>
      </c>
      <c r="AJ80" s="13">
        <f>AI80*VLOOKUP('Données projet'!$B$10,Paramètres!$A$1:$I$89,3,0)*VLOOKUP('Données projet'!$B$10,Paramètres!$A$1:$I$89,5,0)</f>
        <v>204.18688888888911</v>
      </c>
      <c r="AK80" s="13">
        <f t="shared" si="89"/>
        <v>50.663206718533701</v>
      </c>
      <c r="AL80" s="20">
        <f t="shared" si="58"/>
        <v>443.86391651626144</v>
      </c>
      <c r="AM80" s="59">
        <f t="shared" si="59"/>
        <v>737.19724984959475</v>
      </c>
      <c r="AN80" s="59">
        <f ca="1">AVERAGE(OFFSET($AM$3,0,0,'Données projet'!$E$10+1,1))-AVERAGE(OFFSET($H$3,0,0,'Données projet'!$E$10+1,1))</f>
        <v>335.02113791949211</v>
      </c>
      <c r="AO80" s="59">
        <f t="shared" si="90"/>
        <v>222.06886429435099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8.5440435410678397</v>
      </c>
      <c r="AV80" s="21">
        <f>EXP(-LN(2)/25)*AV79+(1-EXP(-LN(2)/25))/(LN(2)/25)*Calculateur!AQ80*Calculateur!AS80*VLOOKUP('Données projet'!$B$10,Paramètres!$A$1:$I$89,3,0)*0.475*44/12</f>
        <v>21.937938075171054</v>
      </c>
      <c r="AW80" s="21">
        <f>EXP(-LN(2)/2)*AW79+(1-EXP(-LN(2)/2))/(LN(2)/2)*AQ80*AT80*VLOOKUP('Données projet'!$B$10,Paramètres!$A$1:$I$89,3,0)*0.475*44/12</f>
        <v>1.9178284191059338</v>
      </c>
      <c r="AX80" s="21">
        <f t="shared" si="60"/>
        <v>32.399810035344828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-3.1036506698001178E-14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207.02306964567629</v>
      </c>
      <c r="BJ80" s="59">
        <f t="shared" si="92"/>
        <v>342.06887933351783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32.410397184803251</v>
      </c>
      <c r="BQ80" s="21">
        <f>EXP(-LN(2)/25)*BQ79+(1-EXP(-LN(2)/25))/(LN(2)/25)*Calculateur!BL80*Calculateur!BN80*VLOOKUP('Données projet'!$B$11,Paramètres!$A$1:$I$89,3,0)*0.475*44/12</f>
        <v>53.746111702237378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86.15650888704063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234.03743999999998</v>
      </c>
      <c r="CA80" s="13">
        <f t="shared" si="93"/>
        <v>57.154784339928739</v>
      </c>
      <c r="CB80" s="20">
        <f t="shared" si="64"/>
        <v>507.15979072537579</v>
      </c>
      <c r="CC80" s="59">
        <f t="shared" si="65"/>
        <v>800.4931240587091</v>
      </c>
      <c r="CD80" s="59">
        <f ca="1">AVERAGE(OFFSET($CC$3,0,0,'Données projet'!$E$12+1,1))-AVERAGE(OFFSET($H$3,0,0,'Données projet'!$E$12+1,1))</f>
        <v>328.55201074501201</v>
      </c>
      <c r="CE80" s="59">
        <f t="shared" si="94"/>
        <v>321.81422611044985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31.827698422181768</v>
      </c>
      <c r="CL80" s="21">
        <f>EXP(-LN(2)/25)*CL79+(1-EXP(-LN(2)/25))/(LN(2)/25)*Calculateur!CG80*Calculateur!CI80*VLOOKUP('Données projet'!$B$12,Paramètres!$A$1:$I$89,3,0)*0.475*44/12</f>
        <v>5.7574371004548377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37.585135522636605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233.00000000000003</v>
      </c>
      <c r="CU80" s="17">
        <f>CT80*VLOOKUP('Données projet'!$B$13,Paramètres!$A$1:$I$89,3,0)*VLOOKUP('Données projet'!$B$13,Paramètres!$A$1:$I$89,5,0)</f>
        <v>203.54880000000003</v>
      </c>
      <c r="CV80" s="13">
        <f t="shared" si="95"/>
        <v>50.523286400023487</v>
      </c>
      <c r="CW80" s="20">
        <f t="shared" si="67"/>
        <v>442.50888381337427</v>
      </c>
      <c r="CX80" s="59">
        <f t="shared" si="68"/>
        <v>735.84221714670753</v>
      </c>
      <c r="CY80" s="59">
        <f ca="1">AVERAGE(OFFSET($CX$3,0,0,'Données projet'!$E$13+1,1))-AVERAGE(OFFSET($H$3,0,0,'Données projet'!$E$13+1,1))</f>
        <v>354.24684313982857</v>
      </c>
      <c r="CZ80" s="59">
        <f t="shared" si="96"/>
        <v>322.65043486962185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20.571736967264084</v>
      </c>
      <c r="DG80" s="21">
        <f>EXP(-LN(2)/25)*DG79+(1-EXP(-LN(2)/25))/(LN(2)/25)*Calculateur!DB80*Calculateur!DD80*VLOOKUP('Données projet'!$B$13,Paramètres!$A$1:$I$89,3,0)*0.475*44/12</f>
        <v>18.334345129841427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38.906082097105511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1.7053025658242404E-13</v>
      </c>
      <c r="DP80" s="17">
        <f>DO80*VLOOKUP('Données projet'!$B$14,Paramètres!$A$1:$I$89,3,0)*VLOOKUP('Données projet'!$B$14,Paramètres!$A$1:$I$89,5,0)</f>
        <v>1.3301360013429075E-13</v>
      </c>
      <c r="DQ80" s="13">
        <f t="shared" si="97"/>
        <v>1.9329766731057041E-12</v>
      </c>
      <c r="DR80" s="20">
        <f t="shared" si="70"/>
        <v>3.5982663925596575E-12</v>
      </c>
      <c r="DS80" s="59">
        <f t="shared" si="71"/>
        <v>293.3333333333369</v>
      </c>
      <c r="DT80" s="59">
        <f ca="1">AVERAGE(OFFSET($DS$3,0,0,'Données projet'!$E$14+1,1))-AVERAGE(OFFSET($H$3,0,0,'Données projet'!$E$14+1,1))</f>
        <v>288.80569134263209</v>
      </c>
      <c r="DU80" s="59">
        <f t="shared" si="98"/>
        <v>283.48738729114024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69.245910583215675</v>
      </c>
      <c r="EB80" s="21">
        <f>EXP(-LN(2)/25)*EB79+(1-EXP(-LN(2)/25))/(LN(2)/25)*Calculateur!DW80*Calculateur!DY80*VLOOKUP('Données projet'!$B$14,Paramètres!$A$1:$I$89,3,0)*0.475*44/12</f>
        <v>54.640608297586375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123.88651888080204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-1.1368683772161603E-13</v>
      </c>
      <c r="EK80" s="17">
        <f>EJ80*VLOOKUP('Données projet'!$B$15,Paramètres!$A$1:$I$89,3,0)*VLOOKUP('Données projet'!$B$15,Paramètres!$A$1:$I$89,5,0)</f>
        <v>-6.3550942286383367E-14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335.04906256888819</v>
      </c>
      <c r="EP80" s="59">
        <f t="shared" si="100"/>
        <v>440.84111898279554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146.60555920691925</v>
      </c>
      <c r="EW80" s="21">
        <f>EXP(-LN(2)/25)*EW79+(1-EXP(-LN(2)/25))/(LN(2)/25)*Calculateur!ER80*Calculateur!ET80*VLOOKUP('Données projet'!$B$15,Paramètres!$A$1:$I$89,3,0)*0.475*44/12</f>
        <v>31.302137313579482</v>
      </c>
      <c r="EX80" s="21">
        <f>EXP(-LN(2)/2)*EX79+(1-EXP(-LN(2)/2))/(LN(2)/2)*ER80*EU80*VLOOKUP('Données projet'!$B$15,Paramètres!$A$1:$I$89,3,0)*0.475*44/12</f>
        <v>1.6680324220758044E-2</v>
      </c>
      <c r="EY80" s="22">
        <f t="shared" si="75"/>
        <v>177.92437684471952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1.7053025658242404E-13</v>
      </c>
      <c r="O81" s="13">
        <f>N81*VLOOKUP('Données projet'!$B$9,Paramètres!$A$1:$I$89,3,0)*VLOOKUP('Données projet'!$B$9,Paramètres!$A$1:$I$89,5,0)</f>
        <v>1.383341441396624E-13</v>
      </c>
      <c r="P81" s="13">
        <f t="shared" si="87"/>
        <v>2.0011390722884082E-12</v>
      </c>
      <c r="Q81" s="20">
        <f t="shared" si="54"/>
        <v>3.7262491852788889E-12</v>
      </c>
      <c r="R81" s="59">
        <f t="shared" si="55"/>
        <v>293.33333333333707</v>
      </c>
      <c r="S81" s="59">
        <f ca="1">AVERAGE(OFFSET($R$3,0,0,'Données projet'!$E$9+1,1))-AVERAGE(OFFSET($H$3,0,0,'Données projet'!$E$9+1,1))</f>
        <v>298.96480270023716</v>
      </c>
      <c r="T81" s="59">
        <f t="shared" si="88"/>
        <v>293.11447542333889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87.022995187203747</v>
      </c>
      <c r="AA81" s="21">
        <f>EXP(-LN(2)/25)*AA80+(1-EXP(-LN(2)/25))/(LN(2)/25)*Calculateur!V81*Calculateur!X81*VLOOKUP('Données projet'!$B$9,Paramètres!$A$1:$I$89,3,0)*0.475*44/12</f>
        <v>68.126343358682803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155.14933854588656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8.017806267806268</v>
      </c>
      <c r="AI81" s="13">
        <f>IF('Données projet'!$A$62&gt;35,AI80+AH81-AQ80,IF(A81&lt;'Données projet'!$A$62,$AF$205^A81,IF(A81='Données projet'!$A$62,'Données projet'!$B$62,AI80+AH81-AQ80)))</f>
        <v>245.99786324786348</v>
      </c>
      <c r="AJ81" s="13">
        <f>AI81*VLOOKUP('Données projet'!$B$10,Paramètres!$A$1:$I$89,3,0)*VLOOKUP('Données projet'!$B$10,Paramètres!$A$1:$I$89,5,0)</f>
        <v>211.0661666666669</v>
      </c>
      <c r="AK81" s="13">
        <f t="shared" si="89"/>
        <v>52.168501226752177</v>
      </c>
      <c r="AL81" s="20">
        <f t="shared" si="58"/>
        <v>458.46704658103823</v>
      </c>
      <c r="AM81" s="59">
        <f t="shared" si="59"/>
        <v>751.80037991437155</v>
      </c>
      <c r="AN81" s="59">
        <f ca="1">AVERAGE(OFFSET($AM$3,0,0,'Données projet'!$E$10+1,1))-AVERAGE(OFFSET($H$3,0,0,'Données projet'!$E$10+1,1))</f>
        <v>335.02113791949211</v>
      </c>
      <c r="AO81" s="59">
        <f t="shared" si="90"/>
        <v>222.06886429435099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8.3765000585794809</v>
      </c>
      <c r="AV81" s="21">
        <f>EXP(-LN(2)/25)*AV80+(1-EXP(-LN(2)/25))/(LN(2)/25)*Calculateur!AQ81*Calculateur!AS81*VLOOKUP('Données projet'!$B$10,Paramètres!$A$1:$I$89,3,0)*0.475*44/12</f>
        <v>21.338044004839478</v>
      </c>
      <c r="AW81" s="21">
        <f>EXP(-LN(2)/2)*AW80+(1-EXP(-LN(2)/2))/(LN(2)/2)*AQ81*AT81*VLOOKUP('Données projet'!$B$10,Paramètres!$A$1:$I$89,3,0)*0.475*44/12</f>
        <v>1.3561094803020819</v>
      </c>
      <c r="AX81" s="21">
        <f t="shared" si="60"/>
        <v>31.07065354372104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-3.1036506698001178E-14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207.02306964567629</v>
      </c>
      <c r="BJ81" s="59">
        <f t="shared" si="92"/>
        <v>342.06887933351783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31.774849064399575</v>
      </c>
      <c r="BQ81" s="21">
        <f>EXP(-LN(2)/25)*BQ80+(1-EXP(-LN(2)/25))/(LN(2)/25)*Calculateur!BL81*Calculateur!BN81*VLOOKUP('Données projet'!$B$11,Paramètres!$A$1:$I$89,3,0)*0.475*44/12</f>
        <v>52.276421451354523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84.051270515754098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236.67695999999998</v>
      </c>
      <c r="CA81" s="13">
        <f t="shared" si="93"/>
        <v>57.723983099802702</v>
      </c>
      <c r="CB81" s="20">
        <f t="shared" si="64"/>
        <v>512.74830923215643</v>
      </c>
      <c r="CC81" s="59">
        <f t="shared" si="65"/>
        <v>806.0816425654898</v>
      </c>
      <c r="CD81" s="59">
        <f ca="1">AVERAGE(OFFSET($CC$3,0,0,'Données projet'!$E$12+1,1))-AVERAGE(OFFSET($H$3,0,0,'Données projet'!$E$12+1,1))</f>
        <v>328.55201074501201</v>
      </c>
      <c r="CE81" s="59">
        <f t="shared" si="94"/>
        <v>321.81422611044985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31.203576669101949</v>
      </c>
      <c r="CL81" s="21">
        <f>EXP(-LN(2)/25)*CL80+(1-EXP(-LN(2)/25))/(LN(2)/25)*Calculateur!CG81*Calculateur!CI81*VLOOKUP('Données projet'!$B$12,Paramètres!$A$1:$I$89,3,0)*0.475*44/12</f>
        <v>5.5999996801724414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36.803576349274394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237.00000000000003</v>
      </c>
      <c r="CU81" s="17">
        <f>CT81*VLOOKUP('Données projet'!$B$13,Paramètres!$A$1:$I$89,3,0)*VLOOKUP('Données projet'!$B$13,Paramètres!$A$1:$I$89,5,0)</f>
        <v>207.04320000000004</v>
      </c>
      <c r="CV81" s="13">
        <f t="shared" si="95"/>
        <v>51.288918231806321</v>
      </c>
      <c r="CW81" s="20">
        <f t="shared" si="67"/>
        <v>449.92843925372944</v>
      </c>
      <c r="CX81" s="59">
        <f t="shared" si="68"/>
        <v>743.26177258706275</v>
      </c>
      <c r="CY81" s="59">
        <f ca="1">AVERAGE(OFFSET($CX$3,0,0,'Données projet'!$E$13+1,1))-AVERAGE(OFFSET($H$3,0,0,'Données projet'!$E$13+1,1))</f>
        <v>354.24684313982857</v>
      </c>
      <c r="CZ81" s="59">
        <f t="shared" si="96"/>
        <v>322.65043486962185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20.168337752856619</v>
      </c>
      <c r="DG81" s="21">
        <f>EXP(-LN(2)/25)*DG80+(1-EXP(-LN(2)/25))/(LN(2)/25)*Calculateur!DB81*Calculateur!DD81*VLOOKUP('Données projet'!$B$13,Paramètres!$A$1:$I$89,3,0)*0.475*44/12</f>
        <v>17.832991498104608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38.001329250961227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1.7053025658242404E-13</v>
      </c>
      <c r="DP81" s="17">
        <f>DO81*VLOOKUP('Données projet'!$B$14,Paramètres!$A$1:$I$89,3,0)*VLOOKUP('Données projet'!$B$14,Paramètres!$A$1:$I$89,5,0)</f>
        <v>1.3301360013429075E-13</v>
      </c>
      <c r="DQ81" s="13">
        <f t="shared" si="97"/>
        <v>1.9329766731057041E-12</v>
      </c>
      <c r="DR81" s="20">
        <f t="shared" si="70"/>
        <v>3.5982663925596575E-12</v>
      </c>
      <c r="DS81" s="59">
        <f t="shared" si="71"/>
        <v>293.3333333333369</v>
      </c>
      <c r="DT81" s="59">
        <f ca="1">AVERAGE(OFFSET($DS$3,0,0,'Données projet'!$E$14+1,1))-AVERAGE(OFFSET($H$3,0,0,'Données projet'!$E$14+1,1))</f>
        <v>288.80569134263209</v>
      </c>
      <c r="DU81" s="59">
        <f t="shared" si="98"/>
        <v>283.48738729114024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67.888040512513825</v>
      </c>
      <c r="EB81" s="21">
        <f>EXP(-LN(2)/25)*EB80+(1-EXP(-LN(2)/25))/(LN(2)/25)*Calculateur!DW81*Calculateur!DY81*VLOOKUP('Données projet'!$B$14,Paramètres!$A$1:$I$89,3,0)*0.475*44/12</f>
        <v>53.146457990264167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121.03449850277799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-1.1368683772161603E-13</v>
      </c>
      <c r="EK81" s="17">
        <f>EJ81*VLOOKUP('Données projet'!$B$15,Paramètres!$A$1:$I$89,3,0)*VLOOKUP('Données projet'!$B$15,Paramètres!$A$1:$I$89,5,0)</f>
        <v>-6.3550942286383367E-14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335.04906256888819</v>
      </c>
      <c r="EP81" s="59">
        <f t="shared" si="100"/>
        <v>440.84111898279554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143.73071361143315</v>
      </c>
      <c r="EW81" s="21">
        <f>EXP(-LN(2)/25)*EW80+(1-EXP(-LN(2)/25))/(LN(2)/25)*Calculateur!ER81*Calculateur!ET81*VLOOKUP('Données projet'!$B$15,Paramètres!$A$1:$I$89,3,0)*0.475*44/12</f>
        <v>30.446178722631792</v>
      </c>
      <c r="EX81" s="21">
        <f>EXP(-LN(2)/2)*EX80+(1-EXP(-LN(2)/2))/(LN(2)/2)*ER81*EU81*VLOOKUP('Données projet'!$B$15,Paramètres!$A$1:$I$89,3,0)*0.475*44/12</f>
        <v>1.1794770368888227E-2</v>
      </c>
      <c r="EY81" s="22">
        <f t="shared" si="75"/>
        <v>174.18868710443382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1.7053025658242404E-13</v>
      </c>
      <c r="O82" s="13">
        <f>N82*VLOOKUP('Données projet'!$B$9,Paramètres!$A$1:$I$89,3,0)*VLOOKUP('Données projet'!$B$9,Paramètres!$A$1:$I$89,5,0)</f>
        <v>1.383341441396624E-13</v>
      </c>
      <c r="P82" s="13">
        <f t="shared" si="87"/>
        <v>2.0011390722884082E-12</v>
      </c>
      <c r="Q82" s="20">
        <f t="shared" si="54"/>
        <v>3.7262491852788889E-12</v>
      </c>
      <c r="R82" s="59">
        <f t="shared" si="55"/>
        <v>293.33333333333707</v>
      </c>
      <c r="S82" s="59">
        <f ca="1">AVERAGE(OFFSET($R$3,0,0,'Données projet'!$E$9+1,1))-AVERAGE(OFFSET($H$3,0,0,'Données projet'!$E$9+1,1))</f>
        <v>298.96480270023716</v>
      </c>
      <c r="T82" s="59">
        <f t="shared" si="88"/>
        <v>293.11447542333889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85.316527330368658</v>
      </c>
      <c r="AA82" s="21">
        <f>EXP(-LN(2)/25)*AA81+(1-EXP(-LN(2)/25))/(LN(2)/25)*Calculateur!V82*Calculateur!X82*VLOOKUP('Données projet'!$B$9,Paramètres!$A$1:$I$89,3,0)*0.475*44/12</f>
        <v>66.26342491693093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151.57995224729959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8.017806267806268</v>
      </c>
      <c r="AI82" s="13">
        <f>IF('Données projet'!$A$62&gt;35,AI81+AH82-AQ81,IF(A82&lt;'Données projet'!$A$62,$AF$205^A82,IF(A82='Données projet'!$A$62,'Données projet'!$B$62,AI81+AH82-AQ81)))</f>
        <v>254.01566951566974</v>
      </c>
      <c r="AJ82" s="13">
        <f>AI82*VLOOKUP('Données projet'!$B$10,Paramètres!$A$1:$I$89,3,0)*VLOOKUP('Données projet'!$B$10,Paramètres!$A$1:$I$89,5,0)</f>
        <v>217.94544444444469</v>
      </c>
      <c r="AK82" s="13">
        <f t="shared" si="89"/>
        <v>53.668094665089377</v>
      </c>
      <c r="AL82" s="20">
        <f t="shared" si="58"/>
        <v>473.06024728243852</v>
      </c>
      <c r="AM82" s="59">
        <f t="shared" si="59"/>
        <v>766.39358061577184</v>
      </c>
      <c r="AN82" s="59">
        <f ca="1">AVERAGE(OFFSET($AM$3,0,0,'Données projet'!$E$10+1,1))-AVERAGE(OFFSET($H$3,0,0,'Données projet'!$E$10+1,1))</f>
        <v>335.02113791949211</v>
      </c>
      <c r="AO82" s="59">
        <f t="shared" si="90"/>
        <v>222.06886429435099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8.2122420015912851</v>
      </c>
      <c r="AV82" s="21">
        <f>EXP(-LN(2)/25)*AV81+(1-EXP(-LN(2)/25))/(LN(2)/25)*Calculateur!AQ82*Calculateur!AS82*VLOOKUP('Données projet'!$B$10,Paramètres!$A$1:$I$89,3,0)*0.475*44/12</f>
        <v>20.754554069408176</v>
      </c>
      <c r="AW82" s="21">
        <f>EXP(-LN(2)/2)*AW81+(1-EXP(-LN(2)/2))/(LN(2)/2)*AQ82*AT82*VLOOKUP('Données projet'!$B$10,Paramètres!$A$1:$I$89,3,0)*0.475*44/12</f>
        <v>0.95891420955296691</v>
      </c>
      <c r="AX82" s="21">
        <f t="shared" si="60"/>
        <v>29.925710280552426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-3.1036506698001178E-14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207.02306964567629</v>
      </c>
      <c r="BJ82" s="59">
        <f t="shared" si="92"/>
        <v>342.06887933351783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31.15176365499094</v>
      </c>
      <c r="BQ82" s="21">
        <f>EXP(-LN(2)/25)*BQ81+(1-EXP(-LN(2)/25))/(LN(2)/25)*Calculateur!BL82*Calculateur!BN82*VLOOKUP('Données projet'!$B$11,Paramètres!$A$1:$I$89,3,0)*0.475*44/12</f>
        <v>50.846919957669705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81.998683612660642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239.31647999999998</v>
      </c>
      <c r="CA82" s="13">
        <f t="shared" si="93"/>
        <v>58.292443422481945</v>
      </c>
      <c r="CB82" s="20">
        <f t="shared" si="64"/>
        <v>518.33554162748942</v>
      </c>
      <c r="CC82" s="59">
        <f t="shared" si="65"/>
        <v>811.66887496082268</v>
      </c>
      <c r="CD82" s="59">
        <f ca="1">AVERAGE(OFFSET($CC$3,0,0,'Données projet'!$E$12+1,1))-AVERAGE(OFFSET($H$3,0,0,'Données projet'!$E$12+1,1))</f>
        <v>328.55201074501201</v>
      </c>
      <c r="CE82" s="59">
        <f t="shared" si="94"/>
        <v>321.81422611044985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30.591693562923343</v>
      </c>
      <c r="CL82" s="21">
        <f>EXP(-LN(2)/25)*CL81+(1-EXP(-LN(2)/25))/(LN(2)/25)*Calculateur!CG82*Calculateur!CI82*VLOOKUP('Données projet'!$B$12,Paramètres!$A$1:$I$89,3,0)*0.475*44/12</f>
        <v>5.4468673944269419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36.038560957350285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241.00000000000003</v>
      </c>
      <c r="CU82" s="17">
        <f>CT82*VLOOKUP('Données projet'!$B$13,Paramètres!$A$1:$I$89,3,0)*VLOOKUP('Données projet'!$B$13,Paramètres!$A$1:$I$89,5,0)</f>
        <v>210.53760000000005</v>
      </c>
      <c r="CV82" s="13">
        <f t="shared" si="95"/>
        <v>52.053047337322276</v>
      </c>
      <c r="CW82" s="20">
        <f t="shared" si="67"/>
        <v>457.34537744583628</v>
      </c>
      <c r="CX82" s="59">
        <f t="shared" si="68"/>
        <v>750.67871077916959</v>
      </c>
      <c r="CY82" s="59">
        <f ca="1">AVERAGE(OFFSET($CX$3,0,0,'Données projet'!$E$13+1,1))-AVERAGE(OFFSET($H$3,0,0,'Données projet'!$E$13+1,1))</f>
        <v>354.24684313982857</v>
      </c>
      <c r="CZ82" s="59">
        <f t="shared" si="96"/>
        <v>322.65043486962185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19.772848950994462</v>
      </c>
      <c r="DG82" s="21">
        <f>EXP(-LN(2)/25)*DG81+(1-EXP(-LN(2)/25))/(LN(2)/25)*Calculateur!DB82*Calculateur!DD82*VLOOKUP('Données projet'!$B$13,Paramètres!$A$1:$I$89,3,0)*0.475*44/12</f>
        <v>17.345347407792673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37.118196358787131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1.7053025658242404E-13</v>
      </c>
      <c r="DP82" s="17">
        <f>DO82*VLOOKUP('Données projet'!$B$14,Paramètres!$A$1:$I$89,3,0)*VLOOKUP('Données projet'!$B$14,Paramètres!$A$1:$I$89,5,0)</f>
        <v>1.3301360013429075E-13</v>
      </c>
      <c r="DQ82" s="13">
        <f t="shared" si="97"/>
        <v>1.9329766731057041E-12</v>
      </c>
      <c r="DR82" s="20">
        <f t="shared" si="70"/>
        <v>3.5982663925596575E-12</v>
      </c>
      <c r="DS82" s="59">
        <f t="shared" si="71"/>
        <v>293.3333333333369</v>
      </c>
      <c r="DT82" s="59">
        <f ca="1">AVERAGE(OFFSET($DS$3,0,0,'Données projet'!$E$14+1,1))-AVERAGE(OFFSET($H$3,0,0,'Données projet'!$E$14+1,1))</f>
        <v>288.80569134263209</v>
      </c>
      <c r="DU82" s="59">
        <f t="shared" si="98"/>
        <v>283.48738729114024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66.556797445679479</v>
      </c>
      <c r="EB82" s="21">
        <f>EXP(-LN(2)/25)*EB81+(1-EXP(-LN(2)/25))/(LN(2)/25)*Calculateur!DW82*Calculateur!DY82*VLOOKUP('Données projet'!$B$14,Paramètres!$A$1:$I$89,3,0)*0.475*44/12</f>
        <v>51.693165301669637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118.24996274734912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-1.1368683772161603E-13</v>
      </c>
      <c r="EK82" s="17">
        <f>EJ82*VLOOKUP('Données projet'!$B$15,Paramètres!$A$1:$I$89,3,0)*VLOOKUP('Données projet'!$B$15,Paramètres!$A$1:$I$89,5,0)</f>
        <v>-6.3550942286383367E-14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335.04906256888819</v>
      </c>
      <c r="EP82" s="59">
        <f t="shared" si="100"/>
        <v>440.84111898279554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140.91224198459184</v>
      </c>
      <c r="EW82" s="21">
        <f>EXP(-LN(2)/25)*EW81+(1-EXP(-LN(2)/25))/(LN(2)/25)*Calculateur!ER82*Calculateur!ET82*VLOOKUP('Données projet'!$B$15,Paramètres!$A$1:$I$89,3,0)*0.475*44/12</f>
        <v>29.613626364366471</v>
      </c>
      <c r="EX82" s="21">
        <f>EXP(-LN(2)/2)*EX81+(1-EXP(-LN(2)/2))/(LN(2)/2)*ER82*EU82*VLOOKUP('Données projet'!$B$15,Paramètres!$A$1:$I$89,3,0)*0.475*44/12</f>
        <v>8.3401621103790218E-3</v>
      </c>
      <c r="EY82" s="22">
        <f t="shared" si="75"/>
        <v>170.5342085110687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1.7053025658242404E-13</v>
      </c>
      <c r="O83" s="13">
        <f>N83*VLOOKUP('Données projet'!$B$9,Paramètres!$A$1:$I$89,3,0)*VLOOKUP('Données projet'!$B$9,Paramètres!$A$1:$I$89,5,0)</f>
        <v>1.383341441396624E-13</v>
      </c>
      <c r="P83" s="13">
        <f t="shared" si="87"/>
        <v>2.0011390722884082E-12</v>
      </c>
      <c r="Q83" s="20">
        <f t="shared" si="54"/>
        <v>3.7262491852788889E-12</v>
      </c>
      <c r="R83" s="59">
        <f t="shared" si="55"/>
        <v>293.33333333333707</v>
      </c>
      <c r="S83" s="59">
        <f ca="1">AVERAGE(OFFSET($R$3,0,0,'Données projet'!$E$9+1,1))-AVERAGE(OFFSET($H$3,0,0,'Données projet'!$E$9+1,1))</f>
        <v>298.96480270023716</v>
      </c>
      <c r="T83" s="59">
        <f t="shared" si="88"/>
        <v>293.11447542333889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83.64352226736348</v>
      </c>
      <c r="AA83" s="21">
        <f>EXP(-LN(2)/25)*AA82+(1-EXP(-LN(2)/25))/(LN(2)/25)*Calculateur!V83*Calculateur!X83*VLOOKUP('Données projet'!$B$9,Paramètres!$A$1:$I$89,3,0)*0.475*44/12</f>
        <v>64.451448077935382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148.09497034529886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8.017806267806268</v>
      </c>
      <c r="AI83" s="13">
        <f>IF('Données projet'!$A$62&gt;35,AI82+AH83-AQ82,IF(A83&lt;'Données projet'!$A$62,$AF$205^A83,IF(A83='Données projet'!$A$62,'Données projet'!$B$62,AI82+AH83-AQ82)))</f>
        <v>262.03347578347604</v>
      </c>
      <c r="AJ83" s="13">
        <f>AI83*VLOOKUP('Données projet'!$B$10,Paramètres!$A$1:$I$89,3,0)*VLOOKUP('Données projet'!$B$10,Paramètres!$A$1:$I$89,5,0)</f>
        <v>224.82472222222248</v>
      </c>
      <c r="AK83" s="13">
        <f t="shared" si="89"/>
        <v>55.162187628518872</v>
      </c>
      <c r="AL83" s="20">
        <f t="shared" si="58"/>
        <v>487.64386799004114</v>
      </c>
      <c r="AM83" s="59">
        <f t="shared" si="59"/>
        <v>780.9772013233744</v>
      </c>
      <c r="AN83" s="59">
        <f ca="1">AVERAGE(OFFSET($AM$3,0,0,'Données projet'!$E$10+1,1))-AVERAGE(OFFSET($H$3,0,0,'Données projet'!$E$10+1,1))</f>
        <v>335.02113791949211</v>
      </c>
      <c r="AO83" s="59">
        <f t="shared" si="90"/>
        <v>222.06886429435099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8.0512049449131062</v>
      </c>
      <c r="AV83" s="21">
        <f>EXP(-LN(2)/25)*AV82+(1-EXP(-LN(2)/25))/(LN(2)/25)*Calculateur!AQ83*Calculateur!AS83*VLOOKUP('Données projet'!$B$10,Paramètres!$A$1:$I$89,3,0)*0.475*44/12</f>
        <v>20.187019696945647</v>
      </c>
      <c r="AW83" s="21">
        <f>EXP(-LN(2)/2)*AW82+(1-EXP(-LN(2)/2))/(LN(2)/2)*AQ83*AT83*VLOOKUP('Données projet'!$B$10,Paramètres!$A$1:$I$89,3,0)*0.475*44/12</f>
        <v>0.67805474015104095</v>
      </c>
      <c r="AX83" s="21">
        <f t="shared" si="60"/>
        <v>28.916279382009794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-3.1036506698001178E-14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207.02306964567629</v>
      </c>
      <c r="BJ83" s="59">
        <f t="shared" si="92"/>
        <v>342.06887933351783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30.540896570416233</v>
      </c>
      <c r="BQ83" s="21">
        <f>EXP(-LN(2)/25)*BQ82+(1-EXP(-LN(2)/25))/(LN(2)/25)*Calculateur!BL83*Calculateur!BN83*VLOOKUP('Données projet'!$B$11,Paramètres!$A$1:$I$89,3,0)*0.475*44/12</f>
        <v>49.45650825750392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79.99740482792015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241.95599999999999</v>
      </c>
      <c r="CA83" s="13">
        <f t="shared" si="93"/>
        <v>58.860174395053612</v>
      </c>
      <c r="CB83" s="20">
        <f t="shared" si="64"/>
        <v>523.92150373805168</v>
      </c>
      <c r="CC83" s="59">
        <f t="shared" si="65"/>
        <v>817.25483707138505</v>
      </c>
      <c r="CD83" s="59">
        <f ca="1">AVERAGE(OFFSET($CC$3,0,0,'Données projet'!$E$12+1,1))-AVERAGE(OFFSET($H$3,0,0,'Données projet'!$E$12+1,1))</f>
        <v>328.55201074501201</v>
      </c>
      <c r="CE83" s="59">
        <f t="shared" si="94"/>
        <v>321.81422611044985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0.39129999999999998</v>
      </c>
      <c r="CI83" s="16">
        <f>IF(ISNA(VLOOKUP(A83,'Données projet'!$A$113:$I$133,6,0)),0%,VLOOKUP(A83,'Données projet'!$A$113:$I$133,6,0)*VLOOKUP('Données projet'!$B$12,Paramètres!$A$1:$I$89,7,0))</f>
        <v>3.8699999999999998E-2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33.480577187815136</v>
      </c>
      <c r="CL83" s="21">
        <f>EXP(-LN(2)/25)*CL82+(1-EXP(-LN(2)/25))/(LN(2)/25)*Calculateur!CG83*Calculateur!CI83*VLOOKUP('Données projet'!$B$12,Paramètres!$A$1:$I$89,3,0)*0.475*44/12</f>
        <v>5.6416069499226449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39.122184137737783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245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245.00000000000003</v>
      </c>
      <c r="CU83" s="17">
        <f>CT83*VLOOKUP('Données projet'!$B$13,Paramètres!$A$1:$I$89,3,0)*VLOOKUP('Données projet'!$B$13,Paramètres!$A$1:$I$89,5,0)</f>
        <v>214.03200000000004</v>
      </c>
      <c r="CV83" s="13">
        <f t="shared" si="95"/>
        <v>52.815701536972242</v>
      </c>
      <c r="CW83" s="20">
        <f t="shared" si="67"/>
        <v>464.75974684356009</v>
      </c>
      <c r="CX83" s="59">
        <f t="shared" si="68"/>
        <v>758.09308017689341</v>
      </c>
      <c r="CY83" s="59">
        <f ca="1">AVERAGE(OFFSET($CX$3,0,0,'Données projet'!$E$13+1,1))-AVERAGE(OFFSET($H$3,0,0,'Données projet'!$E$13+1,1))</f>
        <v>354.24684313982857</v>
      </c>
      <c r="CZ83" s="59">
        <f t="shared" si="96"/>
        <v>322.65043486962185</v>
      </c>
      <c r="DA83" s="15">
        <f>IF(ISNA(VLOOKUP(A83,'Données projet'!$A$139:$I$159,3,0)),0,VLOOKUP(A83,'Données projet'!$A$139:$I$159,3,0))</f>
        <v>13</v>
      </c>
      <c r="DB83" s="15" t="str">
        <f>IF(ISNA(VLOOKUP(A83,'Données projet'!$A$139:$I$159,4,0)),0,VLOOKUP(A83,'Données projet'!$A$139:$I$159,4,0))</f>
        <v>15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0.129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23.122525077489612</v>
      </c>
      <c r="DG83" s="21">
        <f>EXP(-LN(2)/25)*DG82+(1-EXP(-LN(2)/25))/(LN(2)/25)*Calculateur!DB83*Calculateur!DD83*VLOOKUP('Données projet'!$B$13,Paramètres!$A$1:$I$89,3,0)*0.475*44/12</f>
        <v>18.732384984965741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41.854910062455353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1.7053025658242404E-13</v>
      </c>
      <c r="DP83" s="17">
        <f>DO83*VLOOKUP('Données projet'!$B$14,Paramètres!$A$1:$I$89,3,0)*VLOOKUP('Données projet'!$B$14,Paramètres!$A$1:$I$89,5,0)</f>
        <v>1.3301360013429075E-13</v>
      </c>
      <c r="DQ83" s="13">
        <f t="shared" si="97"/>
        <v>1.9329766731057041E-12</v>
      </c>
      <c r="DR83" s="20">
        <f t="shared" si="70"/>
        <v>3.5982663925596575E-12</v>
      </c>
      <c r="DS83" s="59">
        <f t="shared" si="71"/>
        <v>293.3333333333369</v>
      </c>
      <c r="DT83" s="59">
        <f ca="1">AVERAGE(OFFSET($DS$3,0,0,'Données projet'!$E$14+1,1))-AVERAGE(OFFSET($H$3,0,0,'Données projet'!$E$14+1,1))</f>
        <v>288.80569134263209</v>
      </c>
      <c r="DU83" s="59">
        <f t="shared" si="98"/>
        <v>283.48738729114024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65.251659243407659</v>
      </c>
      <c r="EB83" s="21">
        <f>EXP(-LN(2)/25)*EB82+(1-EXP(-LN(2)/25))/(LN(2)/25)*Calculateur!DW83*Calculateur!DY83*VLOOKUP('Données projet'!$B$14,Paramètres!$A$1:$I$89,3,0)*0.475*44/12</f>
        <v>50.279612978070062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115.53127222147772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-1.1368683772161603E-13</v>
      </c>
      <c r="EK83" s="17">
        <f>EJ83*VLOOKUP('Données projet'!$B$15,Paramètres!$A$1:$I$89,3,0)*VLOOKUP('Données projet'!$B$15,Paramètres!$A$1:$I$89,5,0)</f>
        <v>-6.3550942286383367E-14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335.04906256888819</v>
      </c>
      <c r="EP83" s="59">
        <f t="shared" si="100"/>
        <v>440.84111898279554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138.14903886725494</v>
      </c>
      <c r="EW83" s="21">
        <f>EXP(-LN(2)/25)*EW82+(1-EXP(-LN(2)/25))/(LN(2)/25)*Calculateur!ER83*Calculateur!ET83*VLOOKUP('Données projet'!$B$15,Paramètres!$A$1:$I$89,3,0)*0.475*44/12</f>
        <v>28.803840194119942</v>
      </c>
      <c r="EX83" s="21">
        <f>EXP(-LN(2)/2)*EX82+(1-EXP(-LN(2)/2))/(LN(2)/2)*ER83*EU83*VLOOKUP('Données projet'!$B$15,Paramètres!$A$1:$I$89,3,0)*0.475*44/12</f>
        <v>5.8973851844441134E-3</v>
      </c>
      <c r="EY83" s="22">
        <f t="shared" si="75"/>
        <v>166.95877644655934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1.7053025658242404E-13</v>
      </c>
      <c r="O84" s="13">
        <f>N84*VLOOKUP('Données projet'!$B$9,Paramètres!$A$1:$I$89,3,0)*VLOOKUP('Données projet'!$B$9,Paramètres!$A$1:$I$89,5,0)</f>
        <v>1.383341441396624E-13</v>
      </c>
      <c r="P84" s="13">
        <f t="shared" si="87"/>
        <v>2.0011390722884082E-12</v>
      </c>
      <c r="Q84" s="20">
        <f t="shared" si="54"/>
        <v>3.7262491852788889E-12</v>
      </c>
      <c r="R84" s="59">
        <f t="shared" si="55"/>
        <v>293.33333333333707</v>
      </c>
      <c r="S84" s="59">
        <f ca="1">AVERAGE(OFFSET($R$3,0,0,'Données projet'!$E$9+1,1))-AVERAGE(OFFSET($H$3,0,0,'Données projet'!$E$9+1,1))</f>
        <v>298.96480270023716</v>
      </c>
      <c r="T84" s="59">
        <f t="shared" si="88"/>
        <v>293.11447542333889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82.003323813211509</v>
      </c>
      <c r="AA84" s="21">
        <f>EXP(-LN(2)/25)*AA83+(1-EXP(-LN(2)/25))/(LN(2)/25)*Calculateur!V84*Calculateur!X84*VLOOKUP('Données projet'!$B$9,Paramètres!$A$1:$I$89,3,0)*0.475*44/12</f>
        <v>62.689019840889891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144.69234365410139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270.05128205128204</v>
      </c>
      <c r="AG84" s="12">
        <f>VLOOKUP(A84,'Données projet'!$A$61:$I$81,9,0)</f>
        <v>8.017806267806268</v>
      </c>
      <c r="AH84" s="12">
        <f t="array" ref="AH84">INDEX(AG:AG,MIN(IF(ISNUMBER(AG84:AG280),ROW(AG84:AG280),"")))</f>
        <v>8.017806267806268</v>
      </c>
      <c r="AI84" s="13">
        <f>IF('Données projet'!$A$62&gt;35,AI83+AH84-AQ83,IF(A84&lt;'Données projet'!$A$62,$AF$205^A84,IF(A84='Données projet'!$A$62,'Données projet'!$B$62,AI83+AH84-AQ83)))</f>
        <v>270.05128205128233</v>
      </c>
      <c r="AJ84" s="13">
        <f>AI84*VLOOKUP('Données projet'!$B$10,Paramètres!$A$1:$I$89,3,0)*VLOOKUP('Données projet'!$B$10,Paramètres!$A$1:$I$89,5,0)</f>
        <v>231.70400000000026</v>
      </c>
      <c r="AK84" s="13">
        <f t="shared" si="89"/>
        <v>56.65096773875964</v>
      </c>
      <c r="AL84" s="20">
        <f t="shared" si="58"/>
        <v>502.21823547834015</v>
      </c>
      <c r="AM84" s="59">
        <f t="shared" si="59"/>
        <v>795.55156881167341</v>
      </c>
      <c r="AN84" s="59">
        <f ca="1">AVERAGE(OFFSET($AM$3,0,0,'Données projet'!$E$10+1,1))-AVERAGE(OFFSET($H$3,0,0,'Données projet'!$E$10+1,1))</f>
        <v>335.02113791949211</v>
      </c>
      <c r="AO84" s="59">
        <f t="shared" si="90"/>
        <v>222.06886429435099</v>
      </c>
      <c r="AP84" s="15">
        <f>IF(ISNA(VLOOKUP(A84,'Données projet'!$A$61:$I$81,3,0)),0,VLOOKUP(A84,'Données projet'!$A$61:$I$81,3,0))</f>
        <v>6</v>
      </c>
      <c r="AQ84" s="15">
        <f>IF(ISNA(VLOOKUP(A84,'Données projet'!$A$61:$I$81,4,0)),0,VLOOKUP(A84,'Données projet'!$A$61:$I$81,4,0))</f>
        <v>57.38461538461538</v>
      </c>
      <c r="AR84" s="16">
        <f>IF(ISNA(VLOOKUP(A84,'Données projet'!$A$61:$I$81,5,0)),0%,VLOOKUP(A84,'Données projet'!$A$61:$I$81,5,0)*VLOOKUP('Données projet'!$B$10,Paramètres!$A$1:$I$89,7,0))</f>
        <v>0.159</v>
      </c>
      <c r="AS84" s="16">
        <f>IF(ISNA(VLOOKUP(A84,'Données projet'!$A$61:$I$81,6,0)),0%,VLOOKUP(A84,'Données projet'!$A$61:$I$81,6,0)*VLOOKUP('Données projet'!$B$10,Paramètres!$A$1:$I$89,7,0))</f>
        <v>0.159</v>
      </c>
      <c r="AT84" s="16">
        <f>IF(ISNA(VLOOKUP(A84,'Données projet'!$A$61:$I$81,7,0)),0%,VLOOKUP(A84,'Données projet'!$A$61:$I$81,7,0))</f>
        <v>0.2</v>
      </c>
      <c r="AU84" s="21">
        <f>EXP(-LN(2)/35)*AU83+(1-EXP(-LN(2)/35))/(LN(2)/35)*AQ84*AR84*VLOOKUP('Données projet'!$B$10,Paramètres!$A$1:$I$89,3,0)*0.475*44/12</f>
        <v>16.547527124156289</v>
      </c>
      <c r="AV84" s="21">
        <f>EXP(-LN(2)/25)*AV83+(1-EXP(-LN(2)/25))/(LN(2)/25)*Calculateur!AQ84*Calculateur!AS84*VLOOKUP('Données projet'!$B$10,Paramètres!$A$1:$I$89,3,0)*0.475*44/12</f>
        <v>28.255131090795189</v>
      </c>
      <c r="AW84" s="21">
        <f>EXP(-LN(2)/2)*AW83+(1-EXP(-LN(2)/2))/(LN(2)/2)*AQ84*AT84*VLOOKUP('Données projet'!$B$10,Paramètres!$A$1:$I$89,3,0)*0.475*44/12</f>
        <v>9.7705553382786636</v>
      </c>
      <c r="AX84" s="21">
        <f t="shared" si="60"/>
        <v>54.57321355323014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-3.1036506698001178E-14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207.02306964567629</v>
      </c>
      <c r="BJ84" s="59">
        <f t="shared" si="92"/>
        <v>342.06887933351783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29.942008216777907</v>
      </c>
      <c r="BQ84" s="21">
        <f>EXP(-LN(2)/25)*BQ83+(1-EXP(-LN(2)/25))/(LN(2)/25)*Calculateur!BL84*Calculateur!BN84*VLOOKUP('Données projet'!$B$11,Paramètres!$A$1:$I$89,3,0)*0.475*44/12</f>
        <v>48.104117438397743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78.046125655175643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233.89079999999998</v>
      </c>
      <c r="CA84" s="13">
        <f t="shared" si="93"/>
        <v>57.123140349023068</v>
      </c>
      <c r="CB84" s="20">
        <f t="shared" si="64"/>
        <v>506.84927944121517</v>
      </c>
      <c r="CC84" s="59">
        <f t="shared" si="65"/>
        <v>800.18261277454849</v>
      </c>
      <c r="CD84" s="59">
        <f ca="1">AVERAGE(OFFSET($CC$3,0,0,'Données projet'!$E$12+1,1))-AVERAGE(OFFSET($H$3,0,0,'Données projet'!$E$12+1,1))</f>
        <v>328.55201074501201</v>
      </c>
      <c r="CE84" s="59">
        <f t="shared" si="94"/>
        <v>321.81422611044985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32.824043490297747</v>
      </c>
      <c r="CL84" s="21">
        <f>EXP(-LN(2)/25)*CL83+(1-EXP(-LN(2)/25))/(LN(2)/25)*Calculateur!CG84*Calculateur!CI84*VLOOKUP('Données projet'!$B$12,Paramètres!$A$1:$I$89,3,0)*0.475*44/12</f>
        <v>5.4873369111977945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38.311380401495541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3.6</v>
      </c>
      <c r="CT84" s="12">
        <f>IF('Données projet'!$A$140&gt;35,CT83+CS84-DB83,IF(A84&lt;'Données projet'!$A$140,$CQ$205^A84,IF(A84='Données projet'!$A$140,'Données projet'!$B$140,CT83+CS84-DB83)))</f>
        <v>233.60000000000002</v>
      </c>
      <c r="CU84" s="17">
        <f>CT84*VLOOKUP('Données projet'!$B$13,Paramètres!$A$1:$I$89,3,0)*VLOOKUP('Données projet'!$B$13,Paramètres!$A$1:$I$89,5,0)</f>
        <v>204.07296000000005</v>
      </c>
      <c r="CV84" s="13">
        <f t="shared" si="95"/>
        <v>50.638228095278635</v>
      </c>
      <c r="CW84" s="20">
        <f t="shared" si="67"/>
        <v>443.62198593261041</v>
      </c>
      <c r="CX84" s="59">
        <f t="shared" si="68"/>
        <v>736.95531926594367</v>
      </c>
      <c r="CY84" s="59">
        <f ca="1">AVERAGE(OFFSET($CX$3,0,0,'Données projet'!$E$13+1,1))-AVERAGE(OFFSET($H$3,0,0,'Données projet'!$E$13+1,1))</f>
        <v>354.24684313982857</v>
      </c>
      <c r="CZ84" s="59">
        <f t="shared" si="96"/>
        <v>322.65043486962185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22.669106464067749</v>
      </c>
      <c r="DG84" s="21">
        <f>EXP(-LN(2)/25)*DG83+(1-EXP(-LN(2)/25))/(LN(2)/25)*Calculateur!DB84*Calculateur!DD84*VLOOKUP('Données projet'!$B$13,Paramètres!$A$1:$I$89,3,0)*0.475*44/12</f>
        <v>18.22014693245854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40.889253396526286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1.7053025658242404E-13</v>
      </c>
      <c r="DP84" s="17">
        <f>DO84*VLOOKUP('Données projet'!$B$14,Paramètres!$A$1:$I$89,3,0)*VLOOKUP('Données projet'!$B$14,Paramètres!$A$1:$I$89,5,0)</f>
        <v>1.3301360013429075E-13</v>
      </c>
      <c r="DQ84" s="13">
        <f t="shared" si="97"/>
        <v>1.9329766731057041E-12</v>
      </c>
      <c r="DR84" s="20">
        <f t="shared" si="70"/>
        <v>3.5982663925596575E-12</v>
      </c>
      <c r="DS84" s="59">
        <f t="shared" si="71"/>
        <v>293.3333333333369</v>
      </c>
      <c r="DT84" s="59">
        <f ca="1">AVERAGE(OFFSET($DS$3,0,0,'Données projet'!$E$14+1,1))-AVERAGE(OFFSET($H$3,0,0,'Données projet'!$E$14+1,1))</f>
        <v>288.80569134263209</v>
      </c>
      <c r="DU84" s="59">
        <f t="shared" si="98"/>
        <v>283.48738729114024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63.972114005226693</v>
      </c>
      <c r="EB84" s="21">
        <f>EXP(-LN(2)/25)*EB83+(1-EXP(-LN(2)/25))/(LN(2)/25)*Calculateur!DW84*Calculateur!DY84*VLOOKUP('Données projet'!$B$14,Paramètres!$A$1:$I$89,3,0)*0.475*44/12</f>
        <v>48.904714317094808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112.8768283223215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-1.1368683772161603E-13</v>
      </c>
      <c r="EK84" s="17">
        <f>EJ84*VLOOKUP('Données projet'!$B$15,Paramètres!$A$1:$I$89,3,0)*VLOOKUP('Données projet'!$B$15,Paramètres!$A$1:$I$89,5,0)</f>
        <v>-6.3550942286383367E-14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335.04906256888819</v>
      </c>
      <c r="EP84" s="59">
        <f t="shared" si="100"/>
        <v>440.84111898279554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135.44002047766153</v>
      </c>
      <c r="EW84" s="21">
        <f>EXP(-LN(2)/25)*EW83+(1-EXP(-LN(2)/25))/(LN(2)/25)*Calculateur!ER84*Calculateur!ET84*VLOOKUP('Données projet'!$B$15,Paramètres!$A$1:$I$89,3,0)*0.475*44/12</f>
        <v>28.01619766928361</v>
      </c>
      <c r="EX84" s="21">
        <f>EXP(-LN(2)/2)*EX83+(1-EXP(-LN(2)/2))/(LN(2)/2)*ER84*EU84*VLOOKUP('Données projet'!$B$15,Paramètres!$A$1:$I$89,3,0)*0.475*44/12</f>
        <v>4.1700810551895109E-3</v>
      </c>
      <c r="EY84" s="22">
        <f t="shared" si="75"/>
        <v>163.46038822800031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1.7053025658242404E-13</v>
      </c>
      <c r="O85" s="13">
        <f>N85*VLOOKUP('Données projet'!$B$9,Paramètres!$A$1:$I$89,3,0)*VLOOKUP('Données projet'!$B$9,Paramètres!$A$1:$I$89,5,0)</f>
        <v>1.383341441396624E-13</v>
      </c>
      <c r="P85" s="13">
        <f t="shared" si="87"/>
        <v>2.0011390722884082E-12</v>
      </c>
      <c r="Q85" s="20">
        <f t="shared" si="54"/>
        <v>3.7262491852788889E-12</v>
      </c>
      <c r="R85" s="59">
        <f t="shared" si="55"/>
        <v>293.33333333333707</v>
      </c>
      <c r="S85" s="59">
        <f ca="1">AVERAGE(OFFSET($R$3,0,0,'Données projet'!$E$9+1,1))-AVERAGE(OFFSET($H$3,0,0,'Données projet'!$E$9+1,1))</f>
        <v>298.96480270023716</v>
      </c>
      <c r="T85" s="59">
        <f t="shared" si="88"/>
        <v>293.11447542333889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80.395288650323181</v>
      </c>
      <c r="AA85" s="21">
        <f>EXP(-LN(2)/25)*AA84+(1-EXP(-LN(2)/25))/(LN(2)/25)*Calculateur!V85*Calculateur!X85*VLOOKUP('Données projet'!$B$9,Paramètres!$A$1:$I$89,3,0)*0.475*44/12</f>
        <v>60.974785296668479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141.37007394699165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7.172364672364675</v>
      </c>
      <c r="AI85" s="13">
        <f>IF('Données projet'!$A$62&gt;35,AI84+AH85-AQ84,IF(A85&lt;'Données projet'!$A$62,$AF$205^A85,IF(A85='Données projet'!$A$62,'Données projet'!$B$62,AI84+AH85-AQ84)))</f>
        <v>219.83903133903161</v>
      </c>
      <c r="AJ85" s="13">
        <f>AI85*VLOOKUP('Données projet'!$B$10,Paramètres!$A$1:$I$89,3,0)*VLOOKUP('Données projet'!$B$10,Paramètres!$A$1:$I$89,5,0)</f>
        <v>188.62188888888915</v>
      </c>
      <c r="AK85" s="13">
        <f t="shared" si="89"/>
        <v>47.235143085683291</v>
      </c>
      <c r="AL85" s="20">
        <f t="shared" si="58"/>
        <v>410.78433068904695</v>
      </c>
      <c r="AM85" s="59">
        <f t="shared" si="59"/>
        <v>704.11766402238027</v>
      </c>
      <c r="AN85" s="59">
        <f ca="1">AVERAGE(OFFSET($AM$3,0,0,'Données projet'!$E$10+1,1))-AVERAGE(OFFSET($H$3,0,0,'Données projet'!$E$10+1,1))</f>
        <v>335.02113791949211</v>
      </c>
      <c r="AO85" s="59">
        <f t="shared" si="90"/>
        <v>222.06886429435099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16.223040210246531</v>
      </c>
      <c r="AV85" s="21">
        <f>EXP(-LN(2)/25)*AV84+(1-EXP(-LN(2)/25))/(LN(2)/25)*Calculateur!AQ85*Calculateur!AS85*VLOOKUP('Données projet'!$B$10,Paramètres!$A$1:$I$89,3,0)*0.475*44/12</f>
        <v>27.482493045244627</v>
      </c>
      <c r="AW85" s="21">
        <f>EXP(-LN(2)/2)*AW84+(1-EXP(-LN(2)/2))/(LN(2)/2)*AQ85*AT85*VLOOKUP('Données projet'!$B$10,Paramètres!$A$1:$I$89,3,0)*0.475*44/12</f>
        <v>6.9088259356552655</v>
      </c>
      <c r="AX85" s="21">
        <f t="shared" si="60"/>
        <v>50.614359191146427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-3.1036506698001178E-14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207.02306964567629</v>
      </c>
      <c r="BJ85" s="59">
        <f t="shared" si="92"/>
        <v>342.06887933351783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29.354863698468602</v>
      </c>
      <c r="BQ85" s="21">
        <f>EXP(-LN(2)/25)*BQ84+(1-EXP(-LN(2)/25))/(LN(2)/25)*Calculateur!BL85*Calculateur!BN85*VLOOKUP('Données projet'!$B$11,Paramètres!$A$1:$I$89,3,0)*0.475*44/12</f>
        <v>46.788707817359168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76.143571515827773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233.89079999999998</v>
      </c>
      <c r="CA85" s="13">
        <f t="shared" si="93"/>
        <v>57.123140349023068</v>
      </c>
      <c r="CB85" s="20">
        <f t="shared" si="64"/>
        <v>506.84927944121517</v>
      </c>
      <c r="CC85" s="59">
        <f t="shared" si="65"/>
        <v>800.18261277454849</v>
      </c>
      <c r="CD85" s="59">
        <f ca="1">AVERAGE(OFFSET($CC$3,0,0,'Données projet'!$E$12+1,1))-AVERAGE(OFFSET($H$3,0,0,'Données projet'!$E$12+1,1))</f>
        <v>328.55201074501201</v>
      </c>
      <c r="CE85" s="59">
        <f t="shared" si="94"/>
        <v>321.81422611044985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32.180384018142661</v>
      </c>
      <c r="CL85" s="21">
        <f>EXP(-LN(2)/25)*CL84+(1-EXP(-LN(2)/25))/(LN(2)/25)*Calculateur!CG85*Calculateur!CI85*VLOOKUP('Données projet'!$B$12,Paramètres!$A$1:$I$89,3,0)*0.475*44/12</f>
        <v>5.3372853947945842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37.517669412937245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3.6</v>
      </c>
      <c r="CT85" s="12">
        <f>IF('Données projet'!$A$140&gt;35,CT84+CS85-DB84,IF(A85&lt;'Données projet'!$A$140,$CQ$205^A85,IF(A85='Données projet'!$A$140,'Données projet'!$B$140,CT84+CS85-DB84)))</f>
        <v>237.20000000000002</v>
      </c>
      <c r="CU85" s="17">
        <f>CT85*VLOOKUP('Données projet'!$B$13,Paramètres!$A$1:$I$89,3,0)*VLOOKUP('Données projet'!$B$13,Paramètres!$A$1:$I$89,5,0)</f>
        <v>207.21792000000005</v>
      </c>
      <c r="CV85" s="13">
        <f t="shared" si="95"/>
        <v>51.327160141561521</v>
      </c>
      <c r="CW85" s="20">
        <f t="shared" si="67"/>
        <v>450.29934791321972</v>
      </c>
      <c r="CX85" s="59">
        <f t="shared" si="68"/>
        <v>743.63268124655303</v>
      </c>
      <c r="CY85" s="59">
        <f ca="1">AVERAGE(OFFSET($CX$3,0,0,'Données projet'!$E$13+1,1))-AVERAGE(OFFSET($H$3,0,0,'Données projet'!$E$13+1,1))</f>
        <v>354.24684313982857</v>
      </c>
      <c r="CZ85" s="59">
        <f t="shared" si="96"/>
        <v>322.65043486962185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22.22457911309704</v>
      </c>
      <c r="DG85" s="21">
        <f>EXP(-LN(2)/25)*DG84+(1-EXP(-LN(2)/25))/(LN(2)/25)*Calculateur!DB85*Calculateur!DD85*VLOOKUP('Données projet'!$B$13,Paramètres!$A$1:$I$89,3,0)*0.475*44/12</f>
        <v>17.721916056434576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39.946495169531616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1.7053025658242404E-13</v>
      </c>
      <c r="DP85" s="17">
        <f>DO85*VLOOKUP('Données projet'!$B$14,Paramètres!$A$1:$I$89,3,0)*VLOOKUP('Données projet'!$B$14,Paramètres!$A$1:$I$89,5,0)</f>
        <v>1.3301360013429075E-13</v>
      </c>
      <c r="DQ85" s="13">
        <f t="shared" si="97"/>
        <v>1.9329766731057041E-12</v>
      </c>
      <c r="DR85" s="20">
        <f t="shared" si="70"/>
        <v>3.5982663925596575E-12</v>
      </c>
      <c r="DS85" s="59">
        <f t="shared" si="71"/>
        <v>293.3333333333369</v>
      </c>
      <c r="DT85" s="59">
        <f ca="1">AVERAGE(OFFSET($DS$3,0,0,'Données projet'!$E$14+1,1))-AVERAGE(OFFSET($H$3,0,0,'Données projet'!$E$14+1,1))</f>
        <v>288.80569134263209</v>
      </c>
      <c r="DU85" s="59">
        <f t="shared" si="98"/>
        <v>283.48738729114024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62.717659868720922</v>
      </c>
      <c r="EB85" s="21">
        <f>EXP(-LN(2)/25)*EB84+(1-EXP(-LN(2)/25))/(LN(2)/25)*Calculateur!DW85*Calculateur!DY85*VLOOKUP('Données projet'!$B$14,Paramètres!$A$1:$I$89,3,0)*0.475*44/12</f>
        <v>47.567412332306695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110.28507220102762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-1.1368683772161603E-13</v>
      </c>
      <c r="EK85" s="17">
        <f>EJ85*VLOOKUP('Données projet'!$B$15,Paramètres!$A$1:$I$89,3,0)*VLOOKUP('Données projet'!$B$15,Paramètres!$A$1:$I$89,5,0)</f>
        <v>-6.3550942286383367E-14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335.04906256888819</v>
      </c>
      <c r="EP85" s="59">
        <f t="shared" si="100"/>
        <v>440.84111898279554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132.78412428634999</v>
      </c>
      <c r="EW85" s="21">
        <f>EXP(-LN(2)/25)*EW84+(1-EXP(-LN(2)/25))/(LN(2)/25)*Calculateur!ER85*Calculateur!ET85*VLOOKUP('Données projet'!$B$15,Paramètres!$A$1:$I$89,3,0)*0.475*44/12</f>
        <v>27.250093270709247</v>
      </c>
      <c r="EX85" s="21">
        <f>EXP(-LN(2)/2)*EX84+(1-EXP(-LN(2)/2))/(LN(2)/2)*ER85*EU85*VLOOKUP('Données projet'!$B$15,Paramètres!$A$1:$I$89,3,0)*0.475*44/12</f>
        <v>2.9486925922220567E-3</v>
      </c>
      <c r="EY85" s="22">
        <f t="shared" si="75"/>
        <v>160.03716624965145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1.7053025658242404E-13</v>
      </c>
      <c r="O86" s="13">
        <f>N86*VLOOKUP('Données projet'!$B$9,Paramètres!$A$1:$I$89,3,0)*VLOOKUP('Données projet'!$B$9,Paramètres!$A$1:$I$89,5,0)</f>
        <v>1.383341441396624E-13</v>
      </c>
      <c r="P86" s="13">
        <f t="shared" si="87"/>
        <v>2.0011390722884082E-12</v>
      </c>
      <c r="Q86" s="20">
        <f t="shared" si="54"/>
        <v>3.7262491852788889E-12</v>
      </c>
      <c r="R86" s="59">
        <f t="shared" si="55"/>
        <v>293.33333333333707</v>
      </c>
      <c r="S86" s="59">
        <f ca="1">AVERAGE(OFFSET($R$3,0,0,'Données projet'!$E$9+1,1))-AVERAGE(OFFSET($H$3,0,0,'Données projet'!$E$9+1,1))</f>
        <v>298.96480270023716</v>
      </c>
      <c r="T86" s="59">
        <f t="shared" si="88"/>
        <v>293.11447542333889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78.81878607617449</v>
      </c>
      <c r="AA86" s="21">
        <f>EXP(-LN(2)/25)*AA85+(1-EXP(-LN(2)/25))/(LN(2)/25)*Calculateur!V86*Calculateur!X86*VLOOKUP('Données projet'!$B$9,Paramètres!$A$1:$I$89,3,0)*0.475*44/12</f>
        <v>59.307426586206482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138.12621266238096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7.172364672364675</v>
      </c>
      <c r="AI86" s="13">
        <f>IF('Données projet'!$A$62&gt;35,AI85+AH86-AQ85,IF(A86&lt;'Données projet'!$A$62,$AF$205^A86,IF(A86='Données projet'!$A$62,'Données projet'!$B$62,AI85+AH86-AQ85)))</f>
        <v>227.01139601139627</v>
      </c>
      <c r="AJ86" s="13">
        <f>AI86*VLOOKUP('Données projet'!$B$10,Paramètres!$A$1:$I$89,3,0)*VLOOKUP('Données projet'!$B$10,Paramètres!$A$1:$I$89,5,0)</f>
        <v>194.77577777777805</v>
      </c>
      <c r="AK86" s="13">
        <f t="shared" si="89"/>
        <v>48.594279160553441</v>
      </c>
      <c r="AL86" s="20">
        <f t="shared" si="58"/>
        <v>423.86951583426065</v>
      </c>
      <c r="AM86" s="59">
        <f t="shared" si="59"/>
        <v>717.20284916759397</v>
      </c>
      <c r="AN86" s="59">
        <f ca="1">AVERAGE(OFFSET($AM$3,0,0,'Données projet'!$E$10+1,1))-AVERAGE(OFFSET($H$3,0,0,'Données projet'!$E$10+1,1))</f>
        <v>335.02113791949211</v>
      </c>
      <c r="AO86" s="59">
        <f t="shared" si="90"/>
        <v>222.06886429435099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15.904916286801067</v>
      </c>
      <c r="AV86" s="21">
        <f>EXP(-LN(2)/25)*AV85+(1-EXP(-LN(2)/25))/(LN(2)/25)*Calculateur!AQ86*Calculateur!AS86*VLOOKUP('Données projet'!$B$10,Paramètres!$A$1:$I$89,3,0)*0.475*44/12</f>
        <v>26.730982827680915</v>
      </c>
      <c r="AW86" s="21">
        <f>EXP(-LN(2)/2)*AW85+(1-EXP(-LN(2)/2))/(LN(2)/2)*AQ86*AT86*VLOOKUP('Données projet'!$B$10,Paramètres!$A$1:$I$89,3,0)*0.475*44/12</f>
        <v>4.8852776691393327</v>
      </c>
      <c r="AX86" s="21">
        <f t="shared" si="60"/>
        <v>47.521176783621314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-3.1036506698001178E-14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207.02306964567629</v>
      </c>
      <c r="BJ86" s="59">
        <f t="shared" si="92"/>
        <v>342.06887933351783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28.779232726040547</v>
      </c>
      <c r="BQ86" s="21">
        <f>EXP(-LN(2)/25)*BQ85+(1-EXP(-LN(2)/25))/(LN(2)/25)*Calculateur!BL86*Calculateur!BN86*VLOOKUP('Données projet'!$B$11,Paramètres!$A$1:$I$89,3,0)*0.475*44/12</f>
        <v>45.509268141582275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74.288500867622815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233.89079999999998</v>
      </c>
      <c r="CA86" s="13">
        <f t="shared" si="93"/>
        <v>57.123140349023068</v>
      </c>
      <c r="CB86" s="20">
        <f t="shared" si="64"/>
        <v>506.84927944121517</v>
      </c>
      <c r="CC86" s="59">
        <f t="shared" si="65"/>
        <v>800.18261277454849</v>
      </c>
      <c r="CD86" s="59">
        <f ca="1">AVERAGE(OFFSET($CC$3,0,0,'Données projet'!$E$12+1,1))-AVERAGE(OFFSET($H$3,0,0,'Données projet'!$E$12+1,1))</f>
        <v>328.55201074501201</v>
      </c>
      <c r="CE86" s="59">
        <f t="shared" si="94"/>
        <v>321.81422611044985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31.549346315643021</v>
      </c>
      <c r="CL86" s="21">
        <f>EXP(-LN(2)/25)*CL85+(1-EXP(-LN(2)/25))/(LN(2)/25)*Calculateur!CG86*Calculateur!CI86*VLOOKUP('Données projet'!$B$12,Paramètres!$A$1:$I$89,3,0)*0.475*44/12</f>
        <v>5.1913370449982859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36.740683360641306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3.6</v>
      </c>
      <c r="CT86" s="12">
        <f>IF('Données projet'!$A$140&gt;35,CT85+CS86-DB85,IF(A86&lt;'Données projet'!$A$140,$CQ$205^A86,IF(A86='Données projet'!$A$140,'Données projet'!$B$140,CT85+CS86-DB85)))</f>
        <v>240.8</v>
      </c>
      <c r="CU86" s="17">
        <f>CT86*VLOOKUP('Données projet'!$B$13,Paramètres!$A$1:$I$89,3,0)*VLOOKUP('Données projet'!$B$13,Paramètres!$A$1:$I$89,5,0)</f>
        <v>210.36288000000002</v>
      </c>
      <c r="CV86" s="13">
        <f t="shared" si="95"/>
        <v>52.014876138342963</v>
      </c>
      <c r="CW86" s="20">
        <f t="shared" si="67"/>
        <v>456.97459194094728</v>
      </c>
      <c r="CX86" s="59">
        <f t="shared" si="68"/>
        <v>750.30792527428059</v>
      </c>
      <c r="CY86" s="59">
        <f ca="1">AVERAGE(OFFSET($CX$3,0,0,'Données projet'!$E$13+1,1))-AVERAGE(OFFSET($H$3,0,0,'Données projet'!$E$13+1,1))</f>
        <v>354.24684313982857</v>
      </c>
      <c r="CZ86" s="59">
        <f t="shared" si="96"/>
        <v>322.65043486962185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21.788768672343956</v>
      </c>
      <c r="DG86" s="21">
        <f>EXP(-LN(2)/25)*DG85+(1-EXP(-LN(2)/25))/(LN(2)/25)*Calculateur!DB86*Calculateur!DD86*VLOOKUP('Données projet'!$B$13,Paramètres!$A$1:$I$89,3,0)*0.475*44/12</f>
        <v>17.237309329916311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39.026078002260263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1.7053025658242404E-13</v>
      </c>
      <c r="DP86" s="17">
        <f>DO86*VLOOKUP('Données projet'!$B$14,Paramètres!$A$1:$I$89,3,0)*VLOOKUP('Données projet'!$B$14,Paramètres!$A$1:$I$89,5,0)</f>
        <v>1.3301360013429075E-13</v>
      </c>
      <c r="DQ86" s="13">
        <f t="shared" si="97"/>
        <v>1.9329766731057041E-12</v>
      </c>
      <c r="DR86" s="20">
        <f t="shared" si="70"/>
        <v>3.5982663925596575E-12</v>
      </c>
      <c r="DS86" s="59">
        <f t="shared" si="71"/>
        <v>293.3333333333369</v>
      </c>
      <c r="DT86" s="59">
        <f ca="1">AVERAGE(OFFSET($DS$3,0,0,'Données projet'!$E$14+1,1))-AVERAGE(OFFSET($H$3,0,0,'Données projet'!$E$14+1,1))</f>
        <v>288.80569134263209</v>
      </c>
      <c r="DU86" s="59">
        <f t="shared" si="98"/>
        <v>283.48738729114024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61.487804812690555</v>
      </c>
      <c r="EB86" s="21">
        <f>EXP(-LN(2)/25)*EB85+(1-EXP(-LN(2)/25))/(LN(2)/25)*Calculateur!DW86*Calculateur!DY86*VLOOKUP('Données projet'!$B$14,Paramètres!$A$1:$I$89,3,0)*0.475*44/12</f>
        <v>46.26667894061827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107.75448375330882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-1.1368683772161603E-13</v>
      </c>
      <c r="EK86" s="17">
        <f>EJ86*VLOOKUP('Données projet'!$B$15,Paramètres!$A$1:$I$89,3,0)*VLOOKUP('Données projet'!$B$15,Paramètres!$A$1:$I$89,5,0)</f>
        <v>-6.3550942286383367E-14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335.04906256888819</v>
      </c>
      <c r="EP86" s="59">
        <f t="shared" si="100"/>
        <v>440.84111898279554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130.18030859941337</v>
      </c>
      <c r="EW86" s="21">
        <f>EXP(-LN(2)/25)*EW85+(1-EXP(-LN(2)/25))/(LN(2)/25)*Calculateur!ER86*Calculateur!ET86*VLOOKUP('Données projet'!$B$15,Paramètres!$A$1:$I$89,3,0)*0.475*44/12</f>
        <v>26.50493803720158</v>
      </c>
      <c r="EX86" s="21">
        <f>EXP(-LN(2)/2)*EX85+(1-EXP(-LN(2)/2))/(LN(2)/2)*ER86*EU86*VLOOKUP('Données projet'!$B$15,Paramètres!$A$1:$I$89,3,0)*0.475*44/12</f>
        <v>2.0850405275947555E-3</v>
      </c>
      <c r="EY86" s="22">
        <f t="shared" si="75"/>
        <v>156.68733167714254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1.7053025658242404E-13</v>
      </c>
      <c r="O87" s="13">
        <f>N87*VLOOKUP('Données projet'!$B$9,Paramètres!$A$1:$I$89,3,0)*VLOOKUP('Données projet'!$B$9,Paramètres!$A$1:$I$89,5,0)</f>
        <v>1.383341441396624E-13</v>
      </c>
      <c r="P87" s="13">
        <f t="shared" si="87"/>
        <v>2.0011390722884082E-12</v>
      </c>
      <c r="Q87" s="20">
        <f t="shared" si="54"/>
        <v>3.7262491852788889E-12</v>
      </c>
      <c r="R87" s="59">
        <f t="shared" si="55"/>
        <v>293.33333333333707</v>
      </c>
      <c r="S87" s="59">
        <f ca="1">AVERAGE(OFFSET($R$3,0,0,'Données projet'!$E$9+1,1))-AVERAGE(OFFSET($H$3,0,0,'Données projet'!$E$9+1,1))</f>
        <v>298.96480270023716</v>
      </c>
      <c r="T87" s="59">
        <f t="shared" si="88"/>
        <v>293.11447542333889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77.273197755933225</v>
      </c>
      <c r="AA87" s="21">
        <f>EXP(-LN(2)/25)*AA86+(1-EXP(-LN(2)/25))/(LN(2)/25)*Calculateur!V87*Calculateur!X87*VLOOKUP('Données projet'!$B$9,Paramètres!$A$1:$I$89,3,0)*0.475*44/12</f>
        <v>57.685661887364653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134.95885964329787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7.172364672364675</v>
      </c>
      <c r="AI87" s="13">
        <f>IF('Données projet'!$A$62&gt;35,AI86+AH87-AQ86,IF(A87&lt;'Données projet'!$A$62,$AF$205^A87,IF(A87='Données projet'!$A$62,'Données projet'!$B$62,AI86+AH87-AQ86)))</f>
        <v>234.18376068376094</v>
      </c>
      <c r="AJ87" s="13">
        <f>AI87*VLOOKUP('Données projet'!$B$10,Paramètres!$A$1:$I$89,3,0)*VLOOKUP('Données projet'!$B$10,Paramètres!$A$1:$I$89,5,0)</f>
        <v>200.92966666666689</v>
      </c>
      <c r="AK87" s="13">
        <f t="shared" si="89"/>
        <v>49.948425142583524</v>
      </c>
      <c r="AL87" s="20">
        <f t="shared" si="58"/>
        <v>436.94600990111115</v>
      </c>
      <c r="AM87" s="59">
        <f t="shared" si="59"/>
        <v>730.27934323444447</v>
      </c>
      <c r="AN87" s="59">
        <f ca="1">AVERAGE(OFFSET($AM$3,0,0,'Données projet'!$E$10+1,1))-AVERAGE(OFFSET($H$3,0,0,'Données projet'!$E$10+1,1))</f>
        <v>335.02113791949211</v>
      </c>
      <c r="AO87" s="59">
        <f t="shared" si="90"/>
        <v>222.06886429435099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15.593030579457935</v>
      </c>
      <c r="AV87" s="21">
        <f>EXP(-LN(2)/25)*AV86+(1-EXP(-LN(2)/25))/(LN(2)/25)*Calculateur!AQ87*Calculateur!AS87*VLOOKUP('Données projet'!$B$10,Paramètres!$A$1:$I$89,3,0)*0.475*44/12</f>
        <v>26.000022696536689</v>
      </c>
      <c r="AW87" s="21">
        <f>EXP(-LN(2)/2)*AW86+(1-EXP(-LN(2)/2))/(LN(2)/2)*AQ87*AT87*VLOOKUP('Données projet'!$B$10,Paramètres!$A$1:$I$89,3,0)*0.475*44/12</f>
        <v>3.4544129678276332</v>
      </c>
      <c r="AX87" s="21">
        <f t="shared" si="60"/>
        <v>45.047466243822257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-3.1036506698001178E-14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207.02306964567629</v>
      </c>
      <c r="BJ87" s="59">
        <f t="shared" si="92"/>
        <v>342.06887933351783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28.214889525881581</v>
      </c>
      <c r="BQ87" s="21">
        <f>EXP(-LN(2)/25)*BQ86+(1-EXP(-LN(2)/25))/(LN(2)/25)*Calculateur!BL87*Calculateur!BN87*VLOOKUP('Données projet'!$B$11,Paramètres!$A$1:$I$89,3,0)*0.475*44/12</f>
        <v>44.264814811022312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72.479704336903893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233.89079999999998</v>
      </c>
      <c r="CA87" s="13">
        <f t="shared" si="93"/>
        <v>57.123140349023068</v>
      </c>
      <c r="CB87" s="20">
        <f t="shared" si="64"/>
        <v>506.84927944121517</v>
      </c>
      <c r="CC87" s="59">
        <f t="shared" si="65"/>
        <v>800.18261277454849</v>
      </c>
      <c r="CD87" s="59">
        <f ca="1">AVERAGE(OFFSET($CC$3,0,0,'Données projet'!$E$12+1,1))-AVERAGE(OFFSET($H$3,0,0,'Données projet'!$E$12+1,1))</f>
        <v>328.55201074501201</v>
      </c>
      <c r="CE87" s="59">
        <f t="shared" si="94"/>
        <v>321.81422611044985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30.930682877594407</v>
      </c>
      <c r="CL87" s="21">
        <f>EXP(-LN(2)/25)*CL86+(1-EXP(-LN(2)/25))/(LN(2)/25)*Calculateur!CG87*Calculateur!CI87*VLOOKUP('Données projet'!$B$12,Paramètres!$A$1:$I$89,3,0)*0.475*44/12</f>
        <v>5.0493796605022574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35.980062538096661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3.6</v>
      </c>
      <c r="CT87" s="12">
        <f>IF('Données projet'!$A$140&gt;35,CT86+CS87-DB86,IF(A87&lt;'Données projet'!$A$140,$CQ$205^A87,IF(A87='Données projet'!$A$140,'Données projet'!$B$140,CT86+CS87-DB86)))</f>
        <v>244.4</v>
      </c>
      <c r="CU87" s="17">
        <f>CT87*VLOOKUP('Données projet'!$B$13,Paramètres!$A$1:$I$89,3,0)*VLOOKUP('Données projet'!$B$13,Paramètres!$A$1:$I$89,5,0)</f>
        <v>213.50784000000002</v>
      </c>
      <c r="CV87" s="13">
        <f t="shared" si="95"/>
        <v>52.701396365805124</v>
      </c>
      <c r="CW87" s="20">
        <f t="shared" si="67"/>
        <v>463.6477533371106</v>
      </c>
      <c r="CX87" s="59">
        <f t="shared" si="68"/>
        <v>756.98108667044391</v>
      </c>
      <c r="CY87" s="59">
        <f ca="1">AVERAGE(OFFSET($CX$3,0,0,'Données projet'!$E$13+1,1))-AVERAGE(OFFSET($H$3,0,0,'Données projet'!$E$13+1,1))</f>
        <v>354.24684313982857</v>
      </c>
      <c r="CZ87" s="59">
        <f t="shared" si="96"/>
        <v>322.65043486962185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21.361504208515917</v>
      </c>
      <c r="DG87" s="21">
        <f>EXP(-LN(2)/25)*DG86+(1-EXP(-LN(2)/25))/(LN(2)/25)*Calculateur!DB87*Calculateur!DD87*VLOOKUP('Données projet'!$B$13,Paramètres!$A$1:$I$89,3,0)*0.475*44/12</f>
        <v>16.765954199819049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38.127458408334967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1.7053025658242404E-13</v>
      </c>
      <c r="DP87" s="17">
        <f>DO87*VLOOKUP('Données projet'!$B$14,Paramètres!$A$1:$I$89,3,0)*VLOOKUP('Données projet'!$B$14,Paramètres!$A$1:$I$89,5,0)</f>
        <v>1.3301360013429075E-13</v>
      </c>
      <c r="DQ87" s="13">
        <f t="shared" si="97"/>
        <v>1.9329766731057041E-12</v>
      </c>
      <c r="DR87" s="20">
        <f t="shared" si="70"/>
        <v>3.5982663925596575E-12</v>
      </c>
      <c r="DS87" s="59">
        <f t="shared" si="71"/>
        <v>293.3333333333369</v>
      </c>
      <c r="DT87" s="59">
        <f ca="1">AVERAGE(OFFSET($DS$3,0,0,'Données projet'!$E$14+1,1))-AVERAGE(OFFSET($H$3,0,0,'Données projet'!$E$14+1,1))</f>
        <v>288.80569134263209</v>
      </c>
      <c r="DU87" s="59">
        <f t="shared" si="98"/>
        <v>283.48738729114024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60.282066464171429</v>
      </c>
      <c r="EB87" s="21">
        <f>EXP(-LN(2)/25)*EB86+(1-EXP(-LN(2)/25))/(LN(2)/25)*Calculateur!DW87*Calculateur!DY87*VLOOKUP('Données projet'!$B$14,Paramètres!$A$1:$I$89,3,0)*0.475*44/12</f>
        <v>45.001514171928164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105.2835806360996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-1.1368683772161603E-13</v>
      </c>
      <c r="EK87" s="17">
        <f>EJ87*VLOOKUP('Données projet'!$B$15,Paramètres!$A$1:$I$89,3,0)*VLOOKUP('Données projet'!$B$15,Paramètres!$A$1:$I$89,5,0)</f>
        <v>-6.3550942286383367E-14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335.04906256888819</v>
      </c>
      <c r="EP87" s="59">
        <f t="shared" si="100"/>
        <v>440.84111898279554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127.6275521499268</v>
      </c>
      <c r="EW87" s="21">
        <f>EXP(-LN(2)/25)*EW86+(1-EXP(-LN(2)/25))/(LN(2)/25)*Calculateur!ER87*Calculateur!ET87*VLOOKUP('Données projet'!$B$15,Paramètres!$A$1:$I$89,3,0)*0.475*44/12</f>
        <v>25.78015911274019</v>
      </c>
      <c r="EX87" s="21">
        <f>EXP(-LN(2)/2)*EX86+(1-EXP(-LN(2)/2))/(LN(2)/2)*ER87*EU87*VLOOKUP('Données projet'!$B$15,Paramètres!$A$1:$I$89,3,0)*0.475*44/12</f>
        <v>1.4743462961110284E-3</v>
      </c>
      <c r="EY87" s="22">
        <f t="shared" si="75"/>
        <v>153.4091856089631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1.7053025658242404E-13</v>
      </c>
      <c r="O88" s="13">
        <f>N88*VLOOKUP('Données projet'!$B$9,Paramètres!$A$1:$I$89,3,0)*VLOOKUP('Données projet'!$B$9,Paramètres!$A$1:$I$89,5,0)</f>
        <v>1.383341441396624E-13</v>
      </c>
      <c r="P88" s="13">
        <f t="shared" si="87"/>
        <v>2.0011390722884082E-12</v>
      </c>
      <c r="Q88" s="20">
        <f t="shared" si="54"/>
        <v>3.7262491852788889E-12</v>
      </c>
      <c r="R88" s="59">
        <f t="shared" si="55"/>
        <v>293.33333333333707</v>
      </c>
      <c r="S88" s="59">
        <f ca="1">AVERAGE(OFFSET($R$3,0,0,'Données projet'!$E$9+1,1))-AVERAGE(OFFSET($H$3,0,0,'Données projet'!$E$9+1,1))</f>
        <v>298.96480270023716</v>
      </c>
      <c r="T88" s="59">
        <f t="shared" si="88"/>
        <v>293.11447542333889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75.757917479936111</v>
      </c>
      <c r="AA88" s="21">
        <f>EXP(-LN(2)/25)*AA87+(1-EXP(-LN(2)/25))/(LN(2)/25)*Calculateur!V88*Calculateur!X88*VLOOKUP('Données projet'!$B$9,Paramètres!$A$1:$I$89,3,0)*0.475*44/12</f>
        <v>56.108244429497553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131.86616190943366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7.172364672364675</v>
      </c>
      <c r="AI88" s="13">
        <f>IF('Données projet'!$A$62&gt;35,AI87+AH88-AQ87,IF(A88&lt;'Données projet'!$A$62,$AF$205^A88,IF(A88='Données projet'!$A$62,'Données projet'!$B$62,AI87+AH88-AQ87)))</f>
        <v>241.3561253561256</v>
      </c>
      <c r="AJ88" s="13">
        <f>AI88*VLOOKUP('Données projet'!$B$10,Paramètres!$A$1:$I$89,3,0)*VLOOKUP('Données projet'!$B$10,Paramètres!$A$1:$I$89,5,0)</f>
        <v>207.08355555555579</v>
      </c>
      <c r="AK88" s="13">
        <f t="shared" si="89"/>
        <v>51.297751403643488</v>
      </c>
      <c r="AL88" s="20">
        <f t="shared" si="58"/>
        <v>450.01410962060532</v>
      </c>
      <c r="AM88" s="59">
        <f t="shared" si="59"/>
        <v>743.34744295393864</v>
      </c>
      <c r="AN88" s="59">
        <f ca="1">AVERAGE(OFFSET($AM$3,0,0,'Données projet'!$E$10+1,1))-AVERAGE(OFFSET($H$3,0,0,'Données projet'!$E$10+1,1))</f>
        <v>335.02113791949211</v>
      </c>
      <c r="AO88" s="59">
        <f t="shared" si="90"/>
        <v>222.06886429435099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15.287260760604303</v>
      </c>
      <c r="AV88" s="21">
        <f>EXP(-LN(2)/25)*AV87+(1-EXP(-LN(2)/25))/(LN(2)/25)*Calculateur!AQ88*Calculateur!AS88*VLOOKUP('Données projet'!$B$10,Paramètres!$A$1:$I$89,3,0)*0.475*44/12</f>
        <v>25.289050708618124</v>
      </c>
      <c r="AW88" s="21">
        <f>EXP(-LN(2)/2)*AW87+(1-EXP(-LN(2)/2))/(LN(2)/2)*AQ88*AT88*VLOOKUP('Données projet'!$B$10,Paramètres!$A$1:$I$89,3,0)*0.475*44/12</f>
        <v>2.4426388345696668</v>
      </c>
      <c r="AX88" s="21">
        <f t="shared" si="60"/>
        <v>43.018950303792089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-3.1036506698001178E-14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207.02306964567629</v>
      </c>
      <c r="BJ88" s="59">
        <f t="shared" si="92"/>
        <v>342.06887933351783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27.661612751662368</v>
      </c>
      <c r="BQ88" s="21">
        <f>EXP(-LN(2)/25)*BQ87+(1-EXP(-LN(2)/25))/(LN(2)/25)*Calculateur!BL88*Calculateur!BN88*VLOOKUP('Données projet'!$B$11,Paramètres!$A$1:$I$89,3,0)*0.475*44/12</f>
        <v>43.054391122229461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70.716003873891822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233.89079999999998</v>
      </c>
      <c r="CA88" s="13">
        <f t="shared" si="93"/>
        <v>57.123140349023068</v>
      </c>
      <c r="CB88" s="20">
        <f t="shared" si="64"/>
        <v>506.84927944121517</v>
      </c>
      <c r="CC88" s="59">
        <f t="shared" si="65"/>
        <v>800.18261277454849</v>
      </c>
      <c r="CD88" s="59">
        <f ca="1">AVERAGE(OFFSET($CC$3,0,0,'Données projet'!$E$12+1,1))-AVERAGE(OFFSET($H$3,0,0,'Données projet'!$E$12+1,1))</f>
        <v>328.55201074501201</v>
      </c>
      <c r="CE88" s="59">
        <f t="shared" si="94"/>
        <v>321.81422611044985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30.324151052218486</v>
      </c>
      <c r="CL88" s="21">
        <f>EXP(-LN(2)/25)*CL87+(1-EXP(-LN(2)/25))/(LN(2)/25)*Calculateur!CG88*Calculateur!CI88*VLOOKUP('Données projet'!$B$12,Paramètres!$A$1:$I$89,3,0)*0.475*44/12</f>
        <v>4.9113041081504871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35.235455160368971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248</v>
      </c>
      <c r="CR88" s="12">
        <f>VLOOKUP(A88,'Données projet'!$A$139:$I$159,9,0)</f>
        <v>3.6</v>
      </c>
      <c r="CS88" s="12">
        <f t="array" ref="CS88">INDEX(CR:CR,MIN(IF(ISNUMBER(CR88:CR284),ROW(CR88:CR284),"")))</f>
        <v>3.6</v>
      </c>
      <c r="CT88" s="12">
        <f>IF('Données projet'!$A$140&gt;35,CT87+CS88-DB87,IF(A88&lt;'Données projet'!$A$140,$CQ$205^A88,IF(A88='Données projet'!$A$140,'Données projet'!$B$140,CT87+CS88-DB87)))</f>
        <v>248</v>
      </c>
      <c r="CU88" s="17">
        <f>CT88*VLOOKUP('Données projet'!$B$13,Paramètres!$A$1:$I$89,3,0)*VLOOKUP('Données projet'!$B$13,Paramètres!$A$1:$I$89,5,0)</f>
        <v>216.65280000000004</v>
      </c>
      <c r="CV88" s="13">
        <f t="shared" si="95"/>
        <v>53.38674047237982</v>
      </c>
      <c r="CW88" s="20">
        <f t="shared" si="67"/>
        <v>470.3188663227283</v>
      </c>
      <c r="CX88" s="59">
        <f t="shared" si="68"/>
        <v>763.65219965606161</v>
      </c>
      <c r="CY88" s="59">
        <f ca="1">AVERAGE(OFFSET($CX$3,0,0,'Données projet'!$E$13+1,1))-AVERAGE(OFFSET($H$3,0,0,'Données projet'!$E$13+1,1))</f>
        <v>354.24684313982857</v>
      </c>
      <c r="CZ88" s="59">
        <f t="shared" si="96"/>
        <v>322.65043486962185</v>
      </c>
      <c r="DA88" s="15">
        <f>IF(ISNA(VLOOKUP(A88,'Données projet'!$A$139:$I$159,3,0)),0,VLOOKUP(A88,'Données projet'!$A$139:$I$159,3,0))</f>
        <v>14</v>
      </c>
      <c r="DB88" s="15" t="str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0.129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24.430867132116624</v>
      </c>
      <c r="DG88" s="21">
        <f>EXP(-LN(2)/25)*DG87+(1-EXP(-LN(2)/25))/(LN(2)/25)*Calculateur!DB88*Calculateur!DD88*VLOOKUP('Données projet'!$B$13,Paramètres!$A$1:$I$89,3,0)*0.475*44/12</f>
        <v>18.044745513787031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42.475612645903652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1.7053025658242404E-13</v>
      </c>
      <c r="DP88" s="17">
        <f>DO88*VLOOKUP('Données projet'!$B$14,Paramètres!$A$1:$I$89,3,0)*VLOOKUP('Données projet'!$B$14,Paramètres!$A$1:$I$89,5,0)</f>
        <v>1.3301360013429075E-13</v>
      </c>
      <c r="DQ88" s="13">
        <f t="shared" si="97"/>
        <v>1.9329766731057041E-12</v>
      </c>
      <c r="DR88" s="20">
        <f t="shared" si="70"/>
        <v>3.5982663925596575E-12</v>
      </c>
      <c r="DS88" s="59">
        <f t="shared" si="71"/>
        <v>293.3333333333369</v>
      </c>
      <c r="DT88" s="59">
        <f ca="1">AVERAGE(OFFSET($DS$3,0,0,'Données projet'!$E$14+1,1))-AVERAGE(OFFSET($H$3,0,0,'Données projet'!$E$14+1,1))</f>
        <v>288.80569134263209</v>
      </c>
      <c r="DU88" s="59">
        <f t="shared" si="98"/>
        <v>283.48738729114024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59.099971909238988</v>
      </c>
      <c r="EB88" s="21">
        <f>EXP(-LN(2)/25)*EB87+(1-EXP(-LN(2)/25))/(LN(2)/25)*Calculateur!DW88*Calculateur!DY88*VLOOKUP('Données projet'!$B$14,Paramètres!$A$1:$I$89,3,0)*0.475*44/12</f>
        <v>43.77094540037001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102.870917309609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-1.1368683772161603E-13</v>
      </c>
      <c r="EK88" s="17">
        <f>EJ88*VLOOKUP('Données projet'!$B$15,Paramètres!$A$1:$I$89,3,0)*VLOOKUP('Données projet'!$B$15,Paramètres!$A$1:$I$89,5,0)</f>
        <v>-6.3550942286383367E-14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335.04906256888819</v>
      </c>
      <c r="EP88" s="59">
        <f t="shared" si="100"/>
        <v>440.84111898279554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125.12485369738698</v>
      </c>
      <c r="EW88" s="21">
        <f>EXP(-LN(2)/25)*EW87+(1-EXP(-LN(2)/25))/(LN(2)/25)*Calculateur!ER88*Calculateur!ET88*VLOOKUP('Données projet'!$B$15,Paramètres!$A$1:$I$89,3,0)*0.475*44/12</f>
        <v>25.075199306082663</v>
      </c>
      <c r="EX88" s="21">
        <f>EXP(-LN(2)/2)*EX87+(1-EXP(-LN(2)/2))/(LN(2)/2)*ER88*EU88*VLOOKUP('Données projet'!$B$15,Paramètres!$A$1:$I$89,3,0)*0.475*44/12</f>
        <v>1.0425202637973777E-3</v>
      </c>
      <c r="EY88" s="22">
        <f t="shared" si="75"/>
        <v>150.20109552373344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1.7053025658242404E-13</v>
      </c>
      <c r="O89" s="13">
        <f>N89*VLOOKUP('Données projet'!$B$9,Paramètres!$A$1:$I$89,3,0)*VLOOKUP('Données projet'!$B$9,Paramètres!$A$1:$I$89,5,0)</f>
        <v>1.383341441396624E-13</v>
      </c>
      <c r="P89" s="13">
        <f t="shared" si="87"/>
        <v>2.0011390722884082E-12</v>
      </c>
      <c r="Q89" s="20">
        <f t="shared" si="54"/>
        <v>3.7262491852788889E-12</v>
      </c>
      <c r="R89" s="59">
        <f t="shared" si="55"/>
        <v>293.33333333333707</v>
      </c>
      <c r="S89" s="59">
        <f ca="1">AVERAGE(OFFSET($R$3,0,0,'Données projet'!$E$9+1,1))-AVERAGE(OFFSET($H$3,0,0,'Données projet'!$E$9+1,1))</f>
        <v>298.96480270023716</v>
      </c>
      <c r="T89" s="59">
        <f t="shared" si="88"/>
        <v>293.11447542333889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74.272350925921586</v>
      </c>
      <c r="AA89" s="21">
        <f>EXP(-LN(2)/25)*AA88+(1-EXP(-LN(2)/25))/(LN(2)/25)*Calculateur!V89*Calculateur!X89*VLOOKUP('Données projet'!$B$9,Paramètres!$A$1:$I$89,3,0)*0.475*44/12</f>
        <v>54.573961534968603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128.8463124608902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7.172364672364675</v>
      </c>
      <c r="AI89" s="13">
        <f>IF('Données projet'!$A$62&gt;35,AI88+AH89-AQ88,IF(A89&lt;'Données projet'!$A$62,$AF$205^A89,IF(A89='Données projet'!$A$62,'Données projet'!$B$62,AI88+AH89-AQ88)))</f>
        <v>248.52849002849027</v>
      </c>
      <c r="AJ89" s="13">
        <f>AI89*VLOOKUP('Données projet'!$B$10,Paramètres!$A$1:$I$89,3,0)*VLOOKUP('Données projet'!$B$10,Paramètres!$A$1:$I$89,5,0)</f>
        <v>213.23744444444469</v>
      </c>
      <c r="AK89" s="13">
        <f t="shared" si="89"/>
        <v>52.642417614157523</v>
      </c>
      <c r="AL89" s="20">
        <f t="shared" si="58"/>
        <v>463.07409308539883</v>
      </c>
      <c r="AM89" s="59">
        <f t="shared" si="59"/>
        <v>756.40742641873214</v>
      </c>
      <c r="AN89" s="59">
        <f ca="1">AVERAGE(OFFSET($AM$3,0,0,'Données projet'!$E$10+1,1))-AVERAGE(OFFSET($H$3,0,0,'Données projet'!$E$10+1,1))</f>
        <v>335.02113791949211</v>
      </c>
      <c r="AO89" s="59">
        <f t="shared" si="90"/>
        <v>222.06886429435099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14.987486901397217</v>
      </c>
      <c r="AV89" s="21">
        <f>EXP(-LN(2)/25)*AV88+(1-EXP(-LN(2)/25))/(LN(2)/25)*Calculateur!AQ89*Calculateur!AS89*VLOOKUP('Données projet'!$B$10,Paramètres!$A$1:$I$89,3,0)*0.475*44/12</f>
        <v>24.597520287097584</v>
      </c>
      <c r="AW89" s="21">
        <f>EXP(-LN(2)/2)*AW88+(1-EXP(-LN(2)/2))/(LN(2)/2)*AQ89*AT89*VLOOKUP('Données projet'!$B$10,Paramètres!$A$1:$I$89,3,0)*0.475*44/12</f>
        <v>1.727206483913817</v>
      </c>
      <c r="AX89" s="21">
        <f t="shared" si="60"/>
        <v>41.312213672408618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-3.1036506698001178E-14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207.02306964567629</v>
      </c>
      <c r="BJ89" s="59">
        <f t="shared" si="92"/>
        <v>342.06887933351783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27.119185397520084</v>
      </c>
      <c r="BQ89" s="21">
        <f>EXP(-LN(2)/25)*BQ88+(1-EXP(-LN(2)/25))/(LN(2)/25)*Calculateur!BL89*Calculateur!BN89*VLOOKUP('Données projet'!$B$11,Paramètres!$A$1:$I$89,3,0)*0.475*44/12</f>
        <v>41.87706653286007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68.996251930380154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233.89079999999998</v>
      </c>
      <c r="CA89" s="13">
        <f t="shared" si="93"/>
        <v>57.123140349023068</v>
      </c>
      <c r="CB89" s="20">
        <f t="shared" si="64"/>
        <v>506.84927944121517</v>
      </c>
      <c r="CC89" s="59">
        <f t="shared" si="65"/>
        <v>800.18261277454849</v>
      </c>
      <c r="CD89" s="59">
        <f ca="1">AVERAGE(OFFSET($CC$3,0,0,'Données projet'!$E$12+1,1))-AVERAGE(OFFSET($H$3,0,0,'Données projet'!$E$12+1,1))</f>
        <v>328.55201074501201</v>
      </c>
      <c r="CE89" s="59">
        <f t="shared" si="94"/>
        <v>321.81422611044985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29.729512945990304</v>
      </c>
      <c r="CL89" s="21">
        <f>EXP(-LN(2)/25)*CL88+(1-EXP(-LN(2)/25))/(LN(2)/25)*Calculateur!CG89*Calculateur!CI89*VLOOKUP('Données projet'!$B$12,Paramètres!$A$1:$I$89,3,0)*0.475*44/12</f>
        <v>4.7770042390388543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34.506517185029161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</v>
      </c>
      <c r="CT89" s="12">
        <f>IF('Données projet'!$A$140&gt;35,CT88+CS89-DB88,IF(A89&lt;'Données projet'!$A$140,$CQ$205^A89,IF(A89='Données projet'!$A$140,'Données projet'!$B$140,CT88+CS89-DB88)))</f>
        <v>237</v>
      </c>
      <c r="CU89" s="17">
        <f>CT89*VLOOKUP('Données projet'!$B$13,Paramètres!$A$1:$I$89,3,0)*VLOOKUP('Données projet'!$B$13,Paramètres!$A$1:$I$89,5,0)</f>
        <v>207.04320000000001</v>
      </c>
      <c r="CV89" s="13">
        <f t="shared" si="95"/>
        <v>51.288918231806321</v>
      </c>
      <c r="CW89" s="20">
        <f t="shared" si="67"/>
        <v>449.92843925372944</v>
      </c>
      <c r="CX89" s="59">
        <f t="shared" si="68"/>
        <v>743.26177258706275</v>
      </c>
      <c r="CY89" s="59">
        <f ca="1">AVERAGE(OFFSET($CX$3,0,0,'Données projet'!$E$13+1,1))-AVERAGE(OFFSET($H$3,0,0,'Données projet'!$E$13+1,1))</f>
        <v>354.24684313982857</v>
      </c>
      <c r="CZ89" s="59">
        <f t="shared" si="96"/>
        <v>322.65043486962185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23.951792729013381</v>
      </c>
      <c r="DG89" s="21">
        <f>EXP(-LN(2)/25)*DG88+(1-EXP(-LN(2)/25))/(LN(2)/25)*Calculateur!DB89*Calculateur!DD89*VLOOKUP('Données projet'!$B$13,Paramètres!$A$1:$I$89,3,0)*0.475*44/12</f>
        <v>17.5513109987806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41.503103727793984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1.7053025658242404E-13</v>
      </c>
      <c r="DP89" s="17">
        <f>DO89*VLOOKUP('Données projet'!$B$14,Paramètres!$A$1:$I$89,3,0)*VLOOKUP('Données projet'!$B$14,Paramètres!$A$1:$I$89,5,0)</f>
        <v>1.3301360013429075E-13</v>
      </c>
      <c r="DQ89" s="13">
        <f t="shared" si="97"/>
        <v>1.9329766731057041E-12</v>
      </c>
      <c r="DR89" s="20">
        <f t="shared" si="70"/>
        <v>3.5982663925596575E-12</v>
      </c>
      <c r="DS89" s="59">
        <f t="shared" si="71"/>
        <v>293.3333333333369</v>
      </c>
      <c r="DT89" s="59">
        <f ca="1">AVERAGE(OFFSET($DS$3,0,0,'Données projet'!$E$14+1,1))-AVERAGE(OFFSET($H$3,0,0,'Données projet'!$E$14+1,1))</f>
        <v>288.80569134263209</v>
      </c>
      <c r="DU89" s="59">
        <f t="shared" si="98"/>
        <v>283.48738729114024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57.941057507522288</v>
      </c>
      <c r="EB89" s="21">
        <f>EXP(-LN(2)/25)*EB88+(1-EXP(-LN(2)/25))/(LN(2)/25)*Calculateur!DW89*Calculateur!DY89*VLOOKUP('Données projet'!$B$14,Paramètres!$A$1:$I$89,3,0)*0.475*44/12</f>
        <v>42.574026596582911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100.5150841041052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-1.1368683772161603E-13</v>
      </c>
      <c r="EK89" s="17">
        <f>EJ89*VLOOKUP('Données projet'!$B$15,Paramètres!$A$1:$I$89,3,0)*VLOOKUP('Données projet'!$B$15,Paramètres!$A$1:$I$89,5,0)</f>
        <v>-6.3550942286383367E-14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335.04906256888819</v>
      </c>
      <c r="EP89" s="59">
        <f t="shared" si="100"/>
        <v>440.84111898279554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122.67123163500614</v>
      </c>
      <c r="EW89" s="21">
        <f>EXP(-LN(2)/25)*EW88+(1-EXP(-LN(2)/25))/(LN(2)/25)*Calculateur!ER89*Calculateur!ET89*VLOOKUP('Données projet'!$B$15,Paramètres!$A$1:$I$89,3,0)*0.475*44/12</f>
        <v>24.389516662410411</v>
      </c>
      <c r="EX89" s="21">
        <f>EXP(-LN(2)/2)*EX88+(1-EXP(-LN(2)/2))/(LN(2)/2)*ER89*EU89*VLOOKUP('Données projet'!$B$15,Paramètres!$A$1:$I$89,3,0)*0.475*44/12</f>
        <v>7.3717314805551418E-4</v>
      </c>
      <c r="EY89" s="22">
        <f t="shared" si="75"/>
        <v>147.06148547056461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1.7053025658242404E-13</v>
      </c>
      <c r="O90" s="13">
        <f>N90*VLOOKUP('Données projet'!$B$9,Paramètres!$A$1:$I$89,3,0)*VLOOKUP('Données projet'!$B$9,Paramètres!$A$1:$I$89,5,0)</f>
        <v>1.383341441396624E-13</v>
      </c>
      <c r="P90" s="13">
        <f t="shared" si="87"/>
        <v>2.0011390722884082E-12</v>
      </c>
      <c r="Q90" s="20">
        <f t="shared" si="54"/>
        <v>3.7262491852788889E-12</v>
      </c>
      <c r="R90" s="59">
        <f t="shared" si="55"/>
        <v>293.33333333333707</v>
      </c>
      <c r="S90" s="59">
        <f ca="1">AVERAGE(OFFSET($R$3,0,0,'Données projet'!$E$9+1,1))-AVERAGE(OFFSET($H$3,0,0,'Données projet'!$E$9+1,1))</f>
        <v>298.96480270023716</v>
      </c>
      <c r="T90" s="59">
        <f t="shared" si="88"/>
        <v>293.11447542333889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72.815915425925155</v>
      </c>
      <c r="AA90" s="21">
        <f>EXP(-LN(2)/25)*AA89+(1-EXP(-LN(2)/25))/(LN(2)/25)*Calculateur!V90*Calculateur!X90*VLOOKUP('Données projet'!$B$9,Paramètres!$A$1:$I$89,3,0)*0.475*44/12</f>
        <v>53.08163368687498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125.89754911280014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7.172364672364675</v>
      </c>
      <c r="AI90" s="13">
        <f>IF('Données projet'!$A$62&gt;35,AI89+AH90-AQ89,IF(A90&lt;'Données projet'!$A$62,$AF$205^A90,IF(A90='Données projet'!$A$62,'Données projet'!$B$62,AI89+AH90-AQ89)))</f>
        <v>255.70085470085493</v>
      </c>
      <c r="AJ90" s="13">
        <f>AI90*VLOOKUP('Données projet'!$B$10,Paramètres!$A$1:$I$89,3,0)*VLOOKUP('Données projet'!$B$10,Paramètres!$A$1:$I$89,5,0)</f>
        <v>219.39133333333353</v>
      </c>
      <c r="AK90" s="13">
        <f t="shared" si="89"/>
        <v>53.982573704489013</v>
      </c>
      <c r="AL90" s="20">
        <f t="shared" si="58"/>
        <v>476.12622142420764</v>
      </c>
      <c r="AM90" s="59">
        <f t="shared" si="59"/>
        <v>769.4595547575409</v>
      </c>
      <c r="AN90" s="59">
        <f ca="1">AVERAGE(OFFSET($AM$3,0,0,'Données projet'!$E$10+1,1))-AVERAGE(OFFSET($H$3,0,0,'Données projet'!$E$10+1,1))</f>
        <v>335.02113791949211</v>
      </c>
      <c r="AO90" s="59">
        <f t="shared" si="90"/>
        <v>222.06886429435099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14.693591424725183</v>
      </c>
      <c r="AV90" s="21">
        <f>EXP(-LN(2)/25)*AV89+(1-EXP(-LN(2)/25))/(LN(2)/25)*Calculateur!AQ90*Calculateur!AS90*VLOOKUP('Données projet'!$B$10,Paramètres!$A$1:$I$89,3,0)*0.475*44/12</f>
        <v>23.924899801319526</v>
      </c>
      <c r="AW90" s="21">
        <f>EXP(-LN(2)/2)*AW89+(1-EXP(-LN(2)/2))/(LN(2)/2)*AQ90*AT90*VLOOKUP('Données projet'!$B$10,Paramètres!$A$1:$I$89,3,0)*0.475*44/12</f>
        <v>1.2213194172848336</v>
      </c>
      <c r="AX90" s="21">
        <f t="shared" si="60"/>
        <v>39.839810643329542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-3.1036506698001178E-14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207.02306964567629</v>
      </c>
      <c r="BJ90" s="59">
        <f t="shared" si="92"/>
        <v>342.06887933351783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26.587394712944512</v>
      </c>
      <c r="BQ90" s="21">
        <f>EXP(-LN(2)/25)*BQ89+(1-EXP(-LN(2)/25))/(LN(2)/25)*Calculateur!BL90*Calculateur!BN90*VLOOKUP('Données projet'!$B$11,Paramètres!$A$1:$I$89,3,0)*0.475*44/12</f>
        <v>40.731935946299792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67.319330659244301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233.89079999999998</v>
      </c>
      <c r="CA90" s="13">
        <f t="shared" si="93"/>
        <v>57.123140349023068</v>
      </c>
      <c r="CB90" s="20">
        <f t="shared" si="64"/>
        <v>506.84927944121517</v>
      </c>
      <c r="CC90" s="59">
        <f t="shared" si="65"/>
        <v>800.18261277454849</v>
      </c>
      <c r="CD90" s="59">
        <f ca="1">AVERAGE(OFFSET($CC$3,0,0,'Données projet'!$E$12+1,1))-AVERAGE(OFFSET($H$3,0,0,'Données projet'!$E$12+1,1))</f>
        <v>328.55201074501201</v>
      </c>
      <c r="CE90" s="59">
        <f t="shared" si="94"/>
        <v>321.81422611044985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29.146535330331826</v>
      </c>
      <c r="CL90" s="21">
        <f>EXP(-LN(2)/25)*CL89+(1-EXP(-LN(2)/25))/(LN(2)/25)*Calculateur!CG90*Calculateur!CI90*VLOOKUP('Données projet'!$B$12,Paramètres!$A$1:$I$89,3,0)*0.475*44/12</f>
        <v>4.6463768069106015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33.792912137242425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</v>
      </c>
      <c r="CT90" s="12">
        <f>IF('Données projet'!$A$140&gt;35,CT89+CS90-DB89,IF(A90&lt;'Données projet'!$A$140,$CQ$205^A90,IF(A90='Données projet'!$A$140,'Données projet'!$B$140,CT89+CS90-DB89)))</f>
        <v>240</v>
      </c>
      <c r="CU90" s="17">
        <f>CT90*VLOOKUP('Données projet'!$B$13,Paramètres!$A$1:$I$89,3,0)*VLOOKUP('Données projet'!$B$13,Paramètres!$A$1:$I$89,5,0)</f>
        <v>209.66400000000002</v>
      </c>
      <c r="CV90" s="13">
        <f t="shared" si="95"/>
        <v>51.862154403304537</v>
      </c>
      <c r="CW90" s="20">
        <f t="shared" si="67"/>
        <v>455.49138558575538</v>
      </c>
      <c r="CX90" s="59">
        <f t="shared" si="68"/>
        <v>748.8247189190887</v>
      </c>
      <c r="CY90" s="59">
        <f ca="1">AVERAGE(OFFSET($CX$3,0,0,'Données projet'!$E$13+1,1))-AVERAGE(OFFSET($H$3,0,0,'Données projet'!$E$13+1,1))</f>
        <v>354.24684313982857</v>
      </c>
      <c r="CZ90" s="59">
        <f t="shared" si="96"/>
        <v>322.65043486962185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23.482112682748458</v>
      </c>
      <c r="DG90" s="21">
        <f>EXP(-LN(2)/25)*DG89+(1-EXP(-LN(2)/25))/(LN(2)/25)*Calculateur!DB90*Calculateur!DD90*VLOOKUP('Données projet'!$B$13,Paramètres!$A$1:$I$89,3,0)*0.475*44/12</f>
        <v>17.071369476535615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40.553482159284073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1.7053025658242404E-13</v>
      </c>
      <c r="DP90" s="17">
        <f>DO90*VLOOKUP('Données projet'!$B$14,Paramètres!$A$1:$I$89,3,0)*VLOOKUP('Données projet'!$B$14,Paramètres!$A$1:$I$89,5,0)</f>
        <v>1.3301360013429075E-13</v>
      </c>
      <c r="DQ90" s="13">
        <f t="shared" si="97"/>
        <v>1.9329766731057041E-12</v>
      </c>
      <c r="DR90" s="20">
        <f t="shared" si="70"/>
        <v>3.5982663925596575E-12</v>
      </c>
      <c r="DS90" s="59">
        <f t="shared" si="71"/>
        <v>293.3333333333369</v>
      </c>
      <c r="DT90" s="59">
        <f ca="1">AVERAGE(OFFSET($DS$3,0,0,'Données projet'!$E$14+1,1))-AVERAGE(OFFSET($H$3,0,0,'Données projet'!$E$14+1,1))</f>
        <v>288.80569134263209</v>
      </c>
      <c r="DU90" s="59">
        <f t="shared" si="98"/>
        <v>283.48738729114024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56.804868710355265</v>
      </c>
      <c r="EB90" s="21">
        <f>EXP(-LN(2)/25)*EB89+(1-EXP(-LN(2)/25))/(LN(2)/25)*Calculateur!DW90*Calculateur!DY90*VLOOKUP('Données projet'!$B$14,Paramètres!$A$1:$I$89,3,0)*0.475*44/12</f>
        <v>41.409837600428595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98.214706310783868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-1.1368683772161603E-13</v>
      </c>
      <c r="EK90" s="17">
        <f>EJ90*VLOOKUP('Données projet'!$B$15,Paramètres!$A$1:$I$89,3,0)*VLOOKUP('Données projet'!$B$15,Paramètres!$A$1:$I$89,5,0)</f>
        <v>-6.3550942286383367E-14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335.04906256888819</v>
      </c>
      <c r="EP90" s="59">
        <f t="shared" si="100"/>
        <v>440.84111898279554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120.26572360470689</v>
      </c>
      <c r="EW90" s="21">
        <f>EXP(-LN(2)/25)*EW89+(1-EXP(-LN(2)/25))/(LN(2)/25)*Calculateur!ER90*Calculateur!ET90*VLOOKUP('Données projet'!$B$15,Paramètres!$A$1:$I$89,3,0)*0.475*44/12</f>
        <v>23.72258404668786</v>
      </c>
      <c r="EX90" s="21">
        <f>EXP(-LN(2)/2)*EX89+(1-EXP(-LN(2)/2))/(LN(2)/2)*ER90*EU90*VLOOKUP('Données projet'!$B$15,Paramètres!$A$1:$I$89,3,0)*0.475*44/12</f>
        <v>5.2126013189868886E-4</v>
      </c>
      <c r="EY90" s="22">
        <f t="shared" si="75"/>
        <v>143.98882891152667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1.7053025658242404E-13</v>
      </c>
      <c r="O91" s="13">
        <f>N91*VLOOKUP('Données projet'!$B$9,Paramètres!$A$1:$I$89,3,0)*VLOOKUP('Données projet'!$B$9,Paramètres!$A$1:$I$89,5,0)</f>
        <v>1.383341441396624E-13</v>
      </c>
      <c r="P91" s="13">
        <f t="shared" si="87"/>
        <v>2.0011390722884082E-12</v>
      </c>
      <c r="Q91" s="20">
        <f t="shared" si="54"/>
        <v>3.7262491852788889E-12</v>
      </c>
      <c r="R91" s="59">
        <f t="shared" si="55"/>
        <v>293.33333333333707</v>
      </c>
      <c r="S91" s="59">
        <f ca="1">AVERAGE(OFFSET($R$3,0,0,'Données projet'!$E$9+1,1))-AVERAGE(OFFSET($H$3,0,0,'Données projet'!$E$9+1,1))</f>
        <v>298.96480270023716</v>
      </c>
      <c r="T91" s="59">
        <f t="shared" si="88"/>
        <v>293.11447542333889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71.388039737745714</v>
      </c>
      <c r="AA91" s="21">
        <f>EXP(-LN(2)/25)*AA90+(1-EXP(-LN(2)/25))/(LN(2)/25)*Calculateur!V91*Calculateur!X91*VLOOKUP('Données projet'!$B$9,Paramètres!$A$1:$I$89,3,0)*0.475*44/12</f>
        <v>51.63011362226559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123.0181533600113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7.172364672364675</v>
      </c>
      <c r="AI91" s="13">
        <f>IF('Données projet'!$A$62&gt;35,AI90+AH91-AQ90,IF(A91&lt;'Données projet'!$A$62,$AF$205^A91,IF(A91='Données projet'!$A$62,'Données projet'!$B$62,AI90+AH91-AQ90)))</f>
        <v>262.87321937321963</v>
      </c>
      <c r="AJ91" s="13">
        <f>AI91*VLOOKUP('Données projet'!$B$10,Paramètres!$A$1:$I$89,3,0)*VLOOKUP('Données projet'!$B$10,Paramètres!$A$1:$I$89,5,0)</f>
        <v>225.54522222222243</v>
      </c>
      <c r="AK91" s="13">
        <f t="shared" si="89"/>
        <v>55.318360715426529</v>
      </c>
      <c r="AL91" s="20">
        <f t="shared" si="58"/>
        <v>489.17074028307201</v>
      </c>
      <c r="AM91" s="59">
        <f t="shared" si="59"/>
        <v>782.50407361640532</v>
      </c>
      <c r="AN91" s="59">
        <f ca="1">AVERAGE(OFFSET($AM$3,0,0,'Données projet'!$E$10+1,1))-AVERAGE(OFFSET($H$3,0,0,'Données projet'!$E$10+1,1))</f>
        <v>335.02113791949211</v>
      </c>
      <c r="AO91" s="59">
        <f t="shared" si="90"/>
        <v>222.06886429435099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14.405459059092147</v>
      </c>
      <c r="AV91" s="21">
        <f>EXP(-LN(2)/25)*AV90+(1-EXP(-LN(2)/25))/(LN(2)/25)*Calculateur!AQ91*Calculateur!AS91*VLOOKUP('Données projet'!$B$10,Paramètres!$A$1:$I$89,3,0)*0.475*44/12</f>
        <v>23.270672158096644</v>
      </c>
      <c r="AW91" s="21">
        <f>EXP(-LN(2)/2)*AW90+(1-EXP(-LN(2)/2))/(LN(2)/2)*AQ91*AT91*VLOOKUP('Données projet'!$B$10,Paramètres!$A$1:$I$89,3,0)*0.475*44/12</f>
        <v>0.86360324195690863</v>
      </c>
      <c r="AX91" s="21">
        <f t="shared" si="60"/>
        <v>38.539734459145699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-3.1036506698001178E-14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207.02306964567629</v>
      </c>
      <c r="BJ91" s="59">
        <f t="shared" si="92"/>
        <v>342.06887933351783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26.06603211933318</v>
      </c>
      <c r="BQ91" s="21">
        <f>EXP(-LN(2)/25)*BQ90+(1-EXP(-LN(2)/25))/(LN(2)/25)*Calculateur!BL91*Calculateur!BN91*VLOOKUP('Données projet'!$B$11,Paramètres!$A$1:$I$89,3,0)*0.475*44/12</f>
        <v>39.618119015848805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65.684151135181992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233.89079999999998</v>
      </c>
      <c r="CA91" s="13">
        <f t="shared" si="93"/>
        <v>57.123140349023068</v>
      </c>
      <c r="CB91" s="20">
        <f t="shared" si="64"/>
        <v>506.84927944121517</v>
      </c>
      <c r="CC91" s="59">
        <f t="shared" si="65"/>
        <v>800.18261277454849</v>
      </c>
      <c r="CD91" s="59">
        <f ca="1">AVERAGE(OFFSET($CC$3,0,0,'Données projet'!$E$12+1,1))-AVERAGE(OFFSET($H$3,0,0,'Données projet'!$E$12+1,1))</f>
        <v>328.55201074501201</v>
      </c>
      <c r="CE91" s="59">
        <f t="shared" si="94"/>
        <v>321.81422611044985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28.574989550135175</v>
      </c>
      <c r="CL91" s="21">
        <f>EXP(-LN(2)/25)*CL90+(1-EXP(-LN(2)/25))/(LN(2)/25)*Calculateur!CG91*Calculateur!CI91*VLOOKUP('Données projet'!$B$12,Paramètres!$A$1:$I$89,3,0)*0.475*44/12</f>
        <v>4.5193213887832941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33.094310938918468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</v>
      </c>
      <c r="CT91" s="12">
        <f>IF('Données projet'!$A$140&gt;35,CT90+CS91-DB90,IF(A91&lt;'Données projet'!$A$140,$CQ$205^A91,IF(A91='Données projet'!$A$140,'Données projet'!$B$140,CT90+CS91-DB90)))</f>
        <v>243</v>
      </c>
      <c r="CU91" s="17">
        <f>CT91*VLOOKUP('Données projet'!$B$13,Paramètres!$A$1:$I$89,3,0)*VLOOKUP('Données projet'!$B$13,Paramètres!$A$1:$I$89,5,0)</f>
        <v>212.28480000000002</v>
      </c>
      <c r="CV91" s="13">
        <f t="shared" si="95"/>
        <v>52.434557099704193</v>
      </c>
      <c r="CW91" s="20">
        <f t="shared" si="67"/>
        <v>461.05288028198476</v>
      </c>
      <c r="CX91" s="59">
        <f t="shared" si="68"/>
        <v>754.38621361531807</v>
      </c>
      <c r="CY91" s="59">
        <f ca="1">AVERAGE(OFFSET($CX$3,0,0,'Données projet'!$E$13+1,1))-AVERAGE(OFFSET($H$3,0,0,'Données projet'!$E$13+1,1))</f>
        <v>354.24684313982857</v>
      </c>
      <c r="CZ91" s="59">
        <f t="shared" si="96"/>
        <v>322.65043486962185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23.021642775714252</v>
      </c>
      <c r="DG91" s="21">
        <f>EXP(-LN(2)/25)*DG90+(1-EXP(-LN(2)/25))/(LN(2)/25)*Calculateur!DB91*Calculateur!DD91*VLOOKUP('Données projet'!$B$13,Paramètres!$A$1:$I$89,3,0)*0.475*44/12</f>
        <v>16.604551980455444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39.626194756169696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1.7053025658242404E-13</v>
      </c>
      <c r="DP91" s="17">
        <f>DO91*VLOOKUP('Données projet'!$B$14,Paramètres!$A$1:$I$89,3,0)*VLOOKUP('Données projet'!$B$14,Paramètres!$A$1:$I$89,5,0)</f>
        <v>1.3301360013429075E-13</v>
      </c>
      <c r="DQ91" s="13">
        <f t="shared" si="97"/>
        <v>1.9329766731057041E-12</v>
      </c>
      <c r="DR91" s="20">
        <f t="shared" si="70"/>
        <v>3.5982663925596575E-12</v>
      </c>
      <c r="DS91" s="59">
        <f t="shared" si="71"/>
        <v>293.3333333333369</v>
      </c>
      <c r="DT91" s="59">
        <f ca="1">AVERAGE(OFFSET($DS$3,0,0,'Données projet'!$E$14+1,1))-AVERAGE(OFFSET($H$3,0,0,'Données projet'!$E$14+1,1))</f>
        <v>288.80569134263209</v>
      </c>
      <c r="DU91" s="59">
        <f t="shared" si="98"/>
        <v>283.48738729114024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55.690959882493949</v>
      </c>
      <c r="EB91" s="21">
        <f>EXP(-LN(2)/25)*EB90+(1-EXP(-LN(2)/25))/(LN(2)/25)*Calculateur!DW91*Calculateur!DY91*VLOOKUP('Données projet'!$B$14,Paramètres!$A$1:$I$89,3,0)*0.475*44/12</f>
        <v>40.277483413596158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95.968443296090101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-1.1368683772161603E-13</v>
      </c>
      <c r="EK91" s="17">
        <f>EJ91*VLOOKUP('Données projet'!$B$15,Paramètres!$A$1:$I$89,3,0)*VLOOKUP('Données projet'!$B$15,Paramètres!$A$1:$I$89,5,0)</f>
        <v>-6.3550942286383367E-14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335.04906256888819</v>
      </c>
      <c r="EP91" s="59">
        <f t="shared" si="100"/>
        <v>440.84111898279554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117.9073861196668</v>
      </c>
      <c r="EW91" s="21">
        <f>EXP(-LN(2)/25)*EW90+(1-EXP(-LN(2)/25))/(LN(2)/25)*Calculateur!ER91*Calculateur!ET91*VLOOKUP('Données projet'!$B$15,Paramètres!$A$1:$I$89,3,0)*0.475*44/12</f>
        <v>23.073888738414706</v>
      </c>
      <c r="EX91" s="21">
        <f>EXP(-LN(2)/2)*EX90+(1-EXP(-LN(2)/2))/(LN(2)/2)*ER91*EU91*VLOOKUP('Données projet'!$B$15,Paramètres!$A$1:$I$89,3,0)*0.475*44/12</f>
        <v>3.6858657402775709E-4</v>
      </c>
      <c r="EY91" s="22">
        <f t="shared" si="75"/>
        <v>140.98164344465553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1.7053025658242404E-13</v>
      </c>
      <c r="O92" s="13">
        <f>N92*VLOOKUP('Données projet'!$B$9,Paramètres!$A$1:$I$89,3,0)*VLOOKUP('Données projet'!$B$9,Paramètres!$A$1:$I$89,5,0)</f>
        <v>1.383341441396624E-13</v>
      </c>
      <c r="P92" s="13">
        <f t="shared" si="87"/>
        <v>2.0011390722884082E-12</v>
      </c>
      <c r="Q92" s="20">
        <f t="shared" si="54"/>
        <v>3.7262491852788889E-12</v>
      </c>
      <c r="R92" s="59">
        <f t="shared" si="55"/>
        <v>293.33333333333707</v>
      </c>
      <c r="S92" s="59">
        <f ca="1">AVERAGE(OFFSET($R$3,0,0,'Données projet'!$E$9+1,1))-AVERAGE(OFFSET($H$3,0,0,'Données projet'!$E$9+1,1))</f>
        <v>298.96480270023716</v>
      </c>
      <c r="T92" s="59">
        <f t="shared" si="88"/>
        <v>293.11447542333889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69.988163820893305</v>
      </c>
      <c r="AA92" s="21">
        <f>EXP(-LN(2)/25)*AA91+(1-EXP(-LN(2)/25))/(LN(2)/25)*Calculateur!V92*Calculateur!X92*VLOOKUP('Données projet'!$B$9,Paramètres!$A$1:$I$89,3,0)*0.475*44/12</f>
        <v>50.218285450155065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120.20644927104837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7.172364672364675</v>
      </c>
      <c r="AI92" s="13">
        <f>IF('Données projet'!$A$62&gt;35,AI91+AH92-AQ91,IF(A92&lt;'Données projet'!$A$62,$AF$205^A92,IF(A92='Données projet'!$A$62,'Données projet'!$B$62,AI91+AH92-AQ91)))</f>
        <v>270.04558404558429</v>
      </c>
      <c r="AJ92" s="13">
        <f>AI92*VLOOKUP('Données projet'!$B$10,Paramètres!$A$1:$I$89,3,0)*VLOOKUP('Données projet'!$B$10,Paramètres!$A$1:$I$89,5,0)</f>
        <v>231.69911111111134</v>
      </c>
      <c r="AK92" s="13">
        <f t="shared" si="89"/>
        <v>56.649911553238972</v>
      </c>
      <c r="AL92" s="20">
        <f t="shared" si="58"/>
        <v>502.20788114041005</v>
      </c>
      <c r="AM92" s="59">
        <f t="shared" si="59"/>
        <v>795.54121447374337</v>
      </c>
      <c r="AN92" s="59">
        <f ca="1">AVERAGE(OFFSET($AM$3,0,0,'Données projet'!$E$10+1,1))-AVERAGE(OFFSET($H$3,0,0,'Données projet'!$E$10+1,1))</f>
        <v>335.02113791949211</v>
      </c>
      <c r="AO92" s="59">
        <f t="shared" si="90"/>
        <v>222.06886429435099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14.122976793405785</v>
      </c>
      <c r="AV92" s="21">
        <f>EXP(-LN(2)/25)*AV91+(1-EXP(-LN(2)/25))/(LN(2)/25)*Calculateur!AQ92*Calculateur!AS92*VLOOKUP('Données projet'!$B$10,Paramètres!$A$1:$I$89,3,0)*0.475*44/12</f>
        <v>22.634334404182027</v>
      </c>
      <c r="AW92" s="21">
        <f>EXP(-LN(2)/2)*AW91+(1-EXP(-LN(2)/2))/(LN(2)/2)*AQ92*AT92*VLOOKUP('Données projet'!$B$10,Paramètres!$A$1:$I$89,3,0)*0.475*44/12</f>
        <v>0.61065970864241692</v>
      </c>
      <c r="AX92" s="21">
        <f t="shared" si="60"/>
        <v>37.367970906230227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-3.1036506698001178E-14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207.02306964567629</v>
      </c>
      <c r="BJ92" s="59">
        <f t="shared" si="92"/>
        <v>342.06887933351783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25.554893128182783</v>
      </c>
      <c r="BQ92" s="21">
        <f>EXP(-LN(2)/25)*BQ91+(1-EXP(-LN(2)/25))/(LN(2)/25)*Calculateur!BL92*Calculateur!BN92*VLOOKUP('Données projet'!$B$11,Paramètres!$A$1:$I$89,3,0)*0.475*44/12</f>
        <v>38.534759467934087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64.089652596116878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233.89079999999998</v>
      </c>
      <c r="CA92" s="13">
        <f t="shared" si="93"/>
        <v>57.123140349023068</v>
      </c>
      <c r="CB92" s="20">
        <f t="shared" si="64"/>
        <v>506.84927944121517</v>
      </c>
      <c r="CC92" s="59">
        <f t="shared" si="65"/>
        <v>800.18261277454849</v>
      </c>
      <c r="CD92" s="59">
        <f ca="1">AVERAGE(OFFSET($CC$3,0,0,'Données projet'!$E$12+1,1))-AVERAGE(OFFSET($H$3,0,0,'Données projet'!$E$12+1,1))</f>
        <v>328.55201074501201</v>
      </c>
      <c r="CE92" s="59">
        <f t="shared" si="94"/>
        <v>321.81422611044985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28.014651434079678</v>
      </c>
      <c r="CL92" s="21">
        <f>EXP(-LN(2)/25)*CL91+(1-EXP(-LN(2)/25))/(LN(2)/25)*Calculateur!CG92*Calculateur!CI92*VLOOKUP('Données projet'!$B$12,Paramètres!$A$1:$I$89,3,0)*0.475*44/12</f>
        <v>4.395740307746232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32.410391741825912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</v>
      </c>
      <c r="CT92" s="12">
        <f>IF('Données projet'!$A$140&gt;35,CT91+CS92-DB91,IF(A92&lt;'Données projet'!$A$140,$CQ$205^A92,IF(A92='Données projet'!$A$140,'Données projet'!$B$140,CT91+CS92-DB91)))</f>
        <v>246</v>
      </c>
      <c r="CU92" s="17">
        <f>CT92*VLOOKUP('Données projet'!$B$13,Paramètres!$A$1:$I$89,3,0)*VLOOKUP('Données projet'!$B$13,Paramètres!$A$1:$I$89,5,0)</f>
        <v>214.90560000000005</v>
      </c>
      <c r="CV92" s="13">
        <f t="shared" si="95"/>
        <v>53.006137800892326</v>
      </c>
      <c r="CW92" s="20">
        <f t="shared" si="67"/>
        <v>466.61294333655422</v>
      </c>
      <c r="CX92" s="59">
        <f t="shared" si="68"/>
        <v>759.94627666988754</v>
      </c>
      <c r="CY92" s="59">
        <f ca="1">AVERAGE(OFFSET($CX$3,0,0,'Données projet'!$E$13+1,1))-AVERAGE(OFFSET($H$3,0,0,'Données projet'!$E$13+1,1))</f>
        <v>354.24684313982857</v>
      </c>
      <c r="CZ92" s="59">
        <f t="shared" si="96"/>
        <v>322.65043486962185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22.570202402698076</v>
      </c>
      <c r="DG92" s="21">
        <f>EXP(-LN(2)/25)*DG91+(1-EXP(-LN(2)/25))/(LN(2)/25)*Calculateur!DB92*Calculateur!DD92*VLOOKUP('Données projet'!$B$13,Paramètres!$A$1:$I$89,3,0)*0.475*44/12</f>
        <v>16.15049963335445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38.720702036052529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1.7053025658242404E-13</v>
      </c>
      <c r="DP92" s="17">
        <f>DO92*VLOOKUP('Données projet'!$B$14,Paramètres!$A$1:$I$89,3,0)*VLOOKUP('Données projet'!$B$14,Paramètres!$A$1:$I$89,5,0)</f>
        <v>1.3301360013429075E-13</v>
      </c>
      <c r="DQ92" s="13">
        <f t="shared" si="97"/>
        <v>1.9329766731057041E-12</v>
      </c>
      <c r="DR92" s="20">
        <f t="shared" si="70"/>
        <v>3.5982663925596575E-12</v>
      </c>
      <c r="DS92" s="59">
        <f t="shared" si="71"/>
        <v>293.3333333333369</v>
      </c>
      <c r="DT92" s="59">
        <f ca="1">AVERAGE(OFFSET($DS$3,0,0,'Données projet'!$E$14+1,1))-AVERAGE(OFFSET($H$3,0,0,'Données projet'!$E$14+1,1))</f>
        <v>288.80569134263209</v>
      </c>
      <c r="DU92" s="59">
        <f t="shared" si="98"/>
        <v>283.48738729114024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54.5988941273297</v>
      </c>
      <c r="EB92" s="21">
        <f>EXP(-LN(2)/25)*EB91+(1-EXP(-LN(2)/25))/(LN(2)/25)*Calculateur!DW92*Calculateur!DY92*VLOOKUP('Données projet'!$B$14,Paramètres!$A$1:$I$89,3,0)*0.475*44/12</f>
        <v>39.176093511550576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93.774987638880276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-1.1368683772161603E-13</v>
      </c>
      <c r="EK92" s="17">
        <f>EJ92*VLOOKUP('Données projet'!$B$15,Paramètres!$A$1:$I$89,3,0)*VLOOKUP('Données projet'!$B$15,Paramètres!$A$1:$I$89,5,0)</f>
        <v>-6.3550942286383367E-14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335.04906256888819</v>
      </c>
      <c r="EP92" s="59">
        <f t="shared" si="100"/>
        <v>440.84111898279554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115.59529419426451</v>
      </c>
      <c r="EW92" s="21">
        <f>EXP(-LN(2)/25)*EW91+(1-EXP(-LN(2)/25))/(LN(2)/25)*Calculateur!ER92*Calculateur!ET92*VLOOKUP('Données projet'!$B$15,Paramètres!$A$1:$I$89,3,0)*0.475*44/12</f>
        <v>22.442932037459684</v>
      </c>
      <c r="EX92" s="21">
        <f>EXP(-LN(2)/2)*EX91+(1-EXP(-LN(2)/2))/(LN(2)/2)*ER92*EU92*VLOOKUP('Données projet'!$B$15,Paramètres!$A$1:$I$89,3,0)*0.475*44/12</f>
        <v>2.6063006594934443E-4</v>
      </c>
      <c r="EY92" s="22">
        <f t="shared" si="75"/>
        <v>138.03848686179015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1.7053025658242404E-13</v>
      </c>
      <c r="O93" s="13">
        <f>N93*VLOOKUP('Données projet'!$B$9,Paramètres!$A$1:$I$89,3,0)*VLOOKUP('Données projet'!$B$9,Paramètres!$A$1:$I$89,5,0)</f>
        <v>1.383341441396624E-13</v>
      </c>
      <c r="P93" s="13">
        <f t="shared" si="87"/>
        <v>2.0011390722884082E-12</v>
      </c>
      <c r="Q93" s="20">
        <f t="shared" si="54"/>
        <v>3.7262491852788889E-12</v>
      </c>
      <c r="R93" s="59">
        <f t="shared" si="55"/>
        <v>293.33333333333707</v>
      </c>
      <c r="S93" s="59">
        <f ca="1">AVERAGE(OFFSET($R$3,0,0,'Données projet'!$E$9+1,1))-AVERAGE(OFFSET($H$3,0,0,'Données projet'!$E$9+1,1))</f>
        <v>298.96480270023716</v>
      </c>
      <c r="T93" s="59">
        <f t="shared" si="88"/>
        <v>293.11447542333889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68.615738616930372</v>
      </c>
      <c r="AA93" s="21">
        <f>EXP(-LN(2)/25)*AA92+(1-EXP(-LN(2)/25))/(LN(2)/25)*Calculateur!V93*Calculateur!X93*VLOOKUP('Données projet'!$B$9,Paramètres!$A$1:$I$89,3,0)*0.475*44/12</f>
        <v>48.845063793655719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117.4608024105861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277.21794871794873</v>
      </c>
      <c r="AG93" s="12">
        <f>VLOOKUP(A93,'Données projet'!$A$61:$I$81,9,0)</f>
        <v>7.172364672364675</v>
      </c>
      <c r="AH93" s="12">
        <f t="array" ref="AH93">INDEX(AG:AG,MIN(IF(ISNUMBER(AG93:AG289),ROW(AG93:AG289),"")))</f>
        <v>7.172364672364675</v>
      </c>
      <c r="AI93" s="13">
        <f>IF('Données projet'!$A$62&gt;35,AI92+AH93-AQ92,IF(A93&lt;'Données projet'!$A$62,$AF$205^A93,IF(A93='Données projet'!$A$62,'Données projet'!$B$62,AI92+AH93-AQ92)))</f>
        <v>277.21794871794896</v>
      </c>
      <c r="AJ93" s="13">
        <f>AI93*VLOOKUP('Données projet'!$B$10,Paramètres!$A$1:$I$89,3,0)*VLOOKUP('Données projet'!$B$10,Paramètres!$A$1:$I$89,5,0)</f>
        <v>237.85300000000024</v>
      </c>
      <c r="AK93" s="13">
        <f t="shared" si="89"/>
        <v>57.977351662259011</v>
      </c>
      <c r="AL93" s="20">
        <f t="shared" si="58"/>
        <v>515.23786247843486</v>
      </c>
      <c r="AM93" s="59">
        <f t="shared" si="59"/>
        <v>808.57119581176812</v>
      </c>
      <c r="AN93" s="59">
        <f ca="1">AVERAGE(OFFSET($AM$3,0,0,'Données projet'!$E$10+1,1))-AVERAGE(OFFSET($H$3,0,0,'Données projet'!$E$10+1,1))</f>
        <v>335.02113791949211</v>
      </c>
      <c r="AO93" s="59">
        <f t="shared" si="90"/>
        <v>222.06886429435099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52.782051282051285</v>
      </c>
      <c r="AR93" s="16">
        <f>IF(ISNA(VLOOKUP(A93,'Données projet'!$A$61:$I$81,5,0)),0%,VLOOKUP(A93,'Données projet'!$A$61:$I$81,5,0)*VLOOKUP('Données projet'!$B$10,Paramètres!$A$1:$I$89,7,0))</f>
        <v>0.1855</v>
      </c>
      <c r="AS93" s="16">
        <f>IF(ISNA(VLOOKUP(A93,'Données projet'!$A$61:$I$81,6,0)),0%,VLOOKUP(A93,'Données projet'!$A$61:$I$81,6,0)*VLOOKUP('Données projet'!$B$10,Paramètres!$A$1:$I$89,7,0))</f>
        <v>0.1855</v>
      </c>
      <c r="AT93" s="16">
        <f>IF(ISNA(VLOOKUP(A93,'Données projet'!$A$61:$I$81,7,0)),0%,VLOOKUP(A93,'Données projet'!$A$61:$I$81,7,0))</f>
        <v>0.2</v>
      </c>
      <c r="AU93" s="21">
        <f>EXP(-LN(2)/35)*AU92+(1-EXP(-LN(2)/35))/(LN(2)/35)*AQ93*AR93*VLOOKUP('Données projet'!$B$10,Paramètres!$A$1:$I$89,3,0)*0.475*44/12</f>
        <v>23.132801410604429</v>
      </c>
      <c r="AV93" s="21">
        <f>EXP(-LN(2)/25)*AV92+(1-EXP(-LN(2)/25))/(LN(2)/25)*Calculateur!AQ93*Calculateur!AS93*VLOOKUP('Données projet'!$B$10,Paramètres!$A$1:$I$89,3,0)*0.475*44/12</f>
        <v>31.265599375073563</v>
      </c>
      <c r="AW93" s="21">
        <f>EXP(-LN(2)/2)*AW92+(1-EXP(-LN(2)/2))/(LN(2)/2)*AQ93*AT93*VLOOKUP('Données projet'!$B$10,Paramètres!$A$1:$I$89,3,0)*0.475*44/12</f>
        <v>8.9777022973252993</v>
      </c>
      <c r="AX93" s="21">
        <f t="shared" si="60"/>
        <v>63.376103083003294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-3.1036506698001178E-14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207.02306964567629</v>
      </c>
      <c r="BJ93" s="59">
        <f t="shared" si="92"/>
        <v>342.06887933351783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25.053777260884843</v>
      </c>
      <c r="BQ93" s="21">
        <f>EXP(-LN(2)/25)*BQ92+(1-EXP(-LN(2)/25))/(LN(2)/25)*Calculateur!BL93*Calculateur!BN93*VLOOKUP('Données projet'!$B$11,Paramètres!$A$1:$I$89,3,0)*0.475*44/12</f>
        <v>37.481024443828503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62.534801704713345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233.89079999999998</v>
      </c>
      <c r="CA93" s="13">
        <f t="shared" si="93"/>
        <v>57.123140349023068</v>
      </c>
      <c r="CB93" s="20">
        <f t="shared" si="64"/>
        <v>506.84927944121517</v>
      </c>
      <c r="CC93" s="59">
        <f t="shared" si="65"/>
        <v>800.18261277454849</v>
      </c>
      <c r="CD93" s="59">
        <f ca="1">AVERAGE(OFFSET($CC$3,0,0,'Données projet'!$E$12+1,1))-AVERAGE(OFFSET($H$3,0,0,'Données projet'!$E$12+1,1))</f>
        <v>328.55201074501201</v>
      </c>
      <c r="CE93" s="59">
        <f t="shared" si="94"/>
        <v>321.81422611044985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27.465301206707526</v>
      </c>
      <c r="CL93" s="21">
        <f>EXP(-LN(2)/25)*CL92+(1-EXP(-LN(2)/25))/(LN(2)/25)*Calculateur!CG93*Calculateur!CI93*VLOOKUP('Données projet'!$B$12,Paramètres!$A$1:$I$89,3,0)*0.475*44/12</f>
        <v>4.2755385578689751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31.740839764576499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249</v>
      </c>
      <c r="CR93" s="12">
        <f>VLOOKUP(A93,'Données projet'!$A$139:$I$159,9,0)</f>
        <v>3</v>
      </c>
      <c r="CS93" s="12">
        <f t="array" ref="CS93">INDEX(CR:CR,MIN(IF(ISNUMBER(CR93:CR289),ROW(CR93:CR289),"")))</f>
        <v>3</v>
      </c>
      <c r="CT93" s="12">
        <f>IF('Données projet'!$A$140&gt;35,CT92+CS93-DB92,IF(A93&lt;'Données projet'!$A$140,$CQ$205^A93,IF(A93='Données projet'!$A$140,'Données projet'!$B$140,CT92+CS93-DB92)))</f>
        <v>249</v>
      </c>
      <c r="CU93" s="17">
        <f>CT93*VLOOKUP('Données projet'!$B$13,Paramètres!$A$1:$I$89,3,0)*VLOOKUP('Données projet'!$B$13,Paramètres!$A$1:$I$89,5,0)</f>
        <v>217.52640000000005</v>
      </c>
      <c r="CV93" s="13">
        <f t="shared" si="95"/>
        <v>53.576907690651254</v>
      </c>
      <c r="CW93" s="20">
        <f t="shared" si="67"/>
        <v>472.17159422788433</v>
      </c>
      <c r="CX93" s="59">
        <f t="shared" si="68"/>
        <v>765.50492756121764</v>
      </c>
      <c r="CY93" s="59">
        <f ca="1">AVERAGE(OFFSET($CX$3,0,0,'Données projet'!$E$13+1,1))-AVERAGE(OFFSET($H$3,0,0,'Données projet'!$E$13+1,1))</f>
        <v>354.24684313982857</v>
      </c>
      <c r="CZ93" s="59">
        <f t="shared" si="96"/>
        <v>322.65043486962185</v>
      </c>
      <c r="DA93" s="15">
        <f>IF(ISNA(VLOOKUP(A93,'Données projet'!$A$139:$I$159,3,0)),0,VLOOKUP(A93,'Données projet'!$A$139:$I$159,3,0))</f>
        <v>15</v>
      </c>
      <c r="DB93" s="15" t="str">
        <f>IF(ISNA(VLOOKUP(A93,'Données projet'!$A$139:$I$159,4,0)),0,VLOOKUP(A93,'Données projet'!$A$139:$I$159,4,0))</f>
        <v>12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0.129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25.117542207387022</v>
      </c>
      <c r="DG93" s="21">
        <f>EXP(-LN(2)/25)*DG92+(1-EXP(-LN(2)/25))/(LN(2)/25)*Calculateur!DB93*Calculateur!DD93*VLOOKUP('Données projet'!$B$13,Paramètres!$A$1:$I$89,3,0)*0.475*44/12</f>
        <v>17.197940982915579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42.315483190302601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1.7053025658242404E-13</v>
      </c>
      <c r="DP93" s="17">
        <f>DO93*VLOOKUP('Données projet'!$B$14,Paramètres!$A$1:$I$89,3,0)*VLOOKUP('Données projet'!$B$14,Paramètres!$A$1:$I$89,5,0)</f>
        <v>1.3301360013429075E-13</v>
      </c>
      <c r="DQ93" s="13">
        <f t="shared" si="97"/>
        <v>1.9329766731057041E-12</v>
      </c>
      <c r="DR93" s="20">
        <f t="shared" si="70"/>
        <v>3.5982663925596575E-12</v>
      </c>
      <c r="DS93" s="59">
        <f t="shared" si="71"/>
        <v>293.3333333333369</v>
      </c>
      <c r="DT93" s="59">
        <f ca="1">AVERAGE(OFFSET($DS$3,0,0,'Données projet'!$E$14+1,1))-AVERAGE(OFFSET($H$3,0,0,'Données projet'!$E$14+1,1))</f>
        <v>288.80569134263209</v>
      </c>
      <c r="DU93" s="59">
        <f t="shared" si="98"/>
        <v>283.48738729114024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53.528243115529882</v>
      </c>
      <c r="EB93" s="21">
        <f>EXP(-LN(2)/25)*EB92+(1-EXP(-LN(2)/25))/(LN(2)/25)*Calculateur!DW93*Calculateur!DY93*VLOOKUP('Données projet'!$B$14,Paramètres!$A$1:$I$89,3,0)*0.475*44/12</f>
        <v>38.104821174296006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91.633064289825882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-1.1368683772161603E-13</v>
      </c>
      <c r="EK93" s="17">
        <f>EJ93*VLOOKUP('Données projet'!$B$15,Paramètres!$A$1:$I$89,3,0)*VLOOKUP('Données projet'!$B$15,Paramètres!$A$1:$I$89,5,0)</f>
        <v>-6.3550942286383367E-14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335.04906256888819</v>
      </c>
      <c r="EP93" s="59">
        <f t="shared" si="100"/>
        <v>440.84111898279554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113.32854098128254</v>
      </c>
      <c r="EW93" s="21">
        <f>EXP(-LN(2)/25)*EW92+(1-EXP(-LN(2)/25))/(LN(2)/25)*Calculateur!ER93*Calculateur!ET93*VLOOKUP('Données projet'!$B$15,Paramètres!$A$1:$I$89,3,0)*0.475*44/12</f>
        <v>21.829228880672847</v>
      </c>
      <c r="EX93" s="21">
        <f>EXP(-LN(2)/2)*EX92+(1-EXP(-LN(2)/2))/(LN(2)/2)*ER93*EU93*VLOOKUP('Données projet'!$B$15,Paramètres!$A$1:$I$89,3,0)*0.475*44/12</f>
        <v>1.8429328701387854E-4</v>
      </c>
      <c r="EY93" s="22">
        <f t="shared" si="75"/>
        <v>135.15795415524241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1.7053025658242404E-13</v>
      </c>
      <c r="O94" s="13">
        <f>N94*VLOOKUP('Données projet'!$B$9,Paramètres!$A$1:$I$89,3,0)*VLOOKUP('Données projet'!$B$9,Paramètres!$A$1:$I$89,5,0)</f>
        <v>1.383341441396624E-13</v>
      </c>
      <c r="P94" s="13">
        <f t="shared" si="87"/>
        <v>2.0011390722884082E-12</v>
      </c>
      <c r="Q94" s="20">
        <f t="shared" si="54"/>
        <v>3.7262491852788889E-12</v>
      </c>
      <c r="R94" s="59">
        <f t="shared" si="55"/>
        <v>293.33333333333707</v>
      </c>
      <c r="S94" s="59">
        <f ca="1">AVERAGE(OFFSET($R$3,0,0,'Données projet'!$E$9+1,1))-AVERAGE(OFFSET($H$3,0,0,'Données projet'!$E$9+1,1))</f>
        <v>298.96480270023716</v>
      </c>
      <c r="T94" s="59">
        <f t="shared" si="88"/>
        <v>293.11447542333889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67.270225834120438</v>
      </c>
      <c r="AA94" s="21">
        <f>EXP(-LN(2)/25)*AA93+(1-EXP(-LN(2)/25))/(LN(2)/25)*Calculateur!V94*Calculateur!X94*VLOOKUP('Données projet'!$B$9,Paramètres!$A$1:$I$89,3,0)*0.475*44/12</f>
        <v>47.509392955567932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114.77961878968837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6.4031339031338979</v>
      </c>
      <c r="AI94" s="13">
        <f>IF('Données projet'!$A$62&gt;35,AI93+AH94-AQ93,IF(A94&lt;'Données projet'!$A$62,$AF$205^A94,IF(A94='Données projet'!$A$62,'Données projet'!$B$62,AI93+AH94-AQ93)))</f>
        <v>230.83903133903158</v>
      </c>
      <c r="AJ94" s="13">
        <f>AI94*VLOOKUP('Données projet'!$B$10,Paramètres!$A$1:$I$89,3,0)*VLOOKUP('Données projet'!$B$10,Paramètres!$A$1:$I$89,5,0)</f>
        <v>198.05988888888913</v>
      </c>
      <c r="AK94" s="13">
        <f t="shared" si="89"/>
        <v>49.317548429963487</v>
      </c>
      <c r="AL94" s="20">
        <f t="shared" si="58"/>
        <v>430.8490366636683</v>
      </c>
      <c r="AM94" s="59">
        <f t="shared" si="59"/>
        <v>724.18236999700162</v>
      </c>
      <c r="AN94" s="59">
        <f ca="1">AVERAGE(OFFSET($AM$3,0,0,'Données projet'!$E$10+1,1))-AVERAGE(OFFSET($H$3,0,0,'Données projet'!$E$10+1,1))</f>
        <v>335.02113791949211</v>
      </c>
      <c r="AO94" s="59">
        <f t="shared" si="90"/>
        <v>222.06886429435099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22.67918128455813</v>
      </c>
      <c r="AV94" s="21">
        <f>EXP(-LN(2)/25)*AV93+(1-EXP(-LN(2)/25))/(LN(2)/25)*Calculateur!AQ94*Calculateur!AS94*VLOOKUP('Données projet'!$B$10,Paramètres!$A$1:$I$89,3,0)*0.475*44/12</f>
        <v>30.410639915975764</v>
      </c>
      <c r="AW94" s="21">
        <f>EXP(-LN(2)/2)*AW93+(1-EXP(-LN(2)/2))/(LN(2)/2)*AQ94*AT94*VLOOKUP('Données projet'!$B$10,Paramètres!$A$1:$I$89,3,0)*0.475*44/12</f>
        <v>6.3481941739127663</v>
      </c>
      <c r="AX94" s="21">
        <f t="shared" si="60"/>
        <v>59.438015374446657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-3.1036506698001178E-14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207.02306964567629</v>
      </c>
      <c r="BJ94" s="59">
        <f t="shared" si="92"/>
        <v>342.06887933351783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24.562487970094118</v>
      </c>
      <c r="BQ94" s="21">
        <f>EXP(-LN(2)/25)*BQ93+(1-EXP(-LN(2)/25))/(LN(2)/25)*Calculateur!BL94*Calculateur!BN94*VLOOKUP('Données projet'!$B$11,Paramètres!$A$1:$I$89,3,0)*0.475*44/12</f>
        <v>36.4561038593706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61.018591829464718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233.89079999999998</v>
      </c>
      <c r="CA94" s="13">
        <f t="shared" si="93"/>
        <v>57.123140349023068</v>
      </c>
      <c r="CB94" s="20">
        <f t="shared" si="64"/>
        <v>506.84927944121517</v>
      </c>
      <c r="CC94" s="59">
        <f t="shared" si="65"/>
        <v>800.18261277454849</v>
      </c>
      <c r="CD94" s="59">
        <f ca="1">AVERAGE(OFFSET($CC$3,0,0,'Données projet'!$E$12+1,1))-AVERAGE(OFFSET($H$3,0,0,'Données projet'!$E$12+1,1))</f>
        <v>328.55201074501201</v>
      </c>
      <c r="CE94" s="59">
        <f t="shared" si="94"/>
        <v>321.81422611044985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26.926723402223587</v>
      </c>
      <c r="CL94" s="21">
        <f>EXP(-LN(2)/25)*CL93+(1-EXP(-LN(2)/25))/(LN(2)/25)*Calculateur!CG94*Calculateur!CI94*VLOOKUP('Données projet'!$B$12,Paramètres!$A$1:$I$89,3,0)*0.475*44/12</f>
        <v>4.1586237311632468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31.085347133386833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</v>
      </c>
      <c r="CT94" s="12">
        <f>IF('Données projet'!$A$140&gt;35,CT93+CS94-DB93,IF(A94&lt;'Données projet'!$A$140,$CQ$205^A94,IF(A94='Données projet'!$A$140,'Données projet'!$B$140,CT93+CS94-DB93)))</f>
        <v>240</v>
      </c>
      <c r="CU94" s="17">
        <f>CT94*VLOOKUP('Données projet'!$B$13,Paramètres!$A$1:$I$89,3,0)*VLOOKUP('Données projet'!$B$13,Paramètres!$A$1:$I$89,5,0)</f>
        <v>209.66400000000002</v>
      </c>
      <c r="CV94" s="13">
        <f t="shared" si="95"/>
        <v>51.862154403304537</v>
      </c>
      <c r="CW94" s="20">
        <f t="shared" si="67"/>
        <v>455.49138558575538</v>
      </c>
      <c r="CX94" s="59">
        <f t="shared" si="68"/>
        <v>748.8247189190887</v>
      </c>
      <c r="CY94" s="59">
        <f ca="1">AVERAGE(OFFSET($CX$3,0,0,'Données projet'!$E$13+1,1))-AVERAGE(OFFSET($H$3,0,0,'Données projet'!$E$13+1,1))</f>
        <v>354.24684313982857</v>
      </c>
      <c r="CZ94" s="59">
        <f t="shared" si="96"/>
        <v>322.65043486962185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24.625002524888167</v>
      </c>
      <c r="DG94" s="21">
        <f>EXP(-LN(2)/25)*DG93+(1-EXP(-LN(2)/25))/(LN(2)/25)*Calculateur!DB94*Calculateur!DD94*VLOOKUP('Données projet'!$B$13,Paramètres!$A$1:$I$89,3,0)*0.475*44/12</f>
        <v>16.727662382337343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41.35266490722551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1.7053025658242404E-13</v>
      </c>
      <c r="DP94" s="17">
        <f>DO94*VLOOKUP('Données projet'!$B$14,Paramètres!$A$1:$I$89,3,0)*VLOOKUP('Données projet'!$B$14,Paramètres!$A$1:$I$89,5,0)</f>
        <v>1.3301360013429075E-13</v>
      </c>
      <c r="DQ94" s="13">
        <f t="shared" si="97"/>
        <v>1.9329766731057041E-12</v>
      </c>
      <c r="DR94" s="20">
        <f t="shared" si="70"/>
        <v>3.5982663925596575E-12</v>
      </c>
      <c r="DS94" s="59">
        <f t="shared" si="71"/>
        <v>293.3333333333369</v>
      </c>
      <c r="DT94" s="59">
        <f ca="1">AVERAGE(OFFSET($DS$3,0,0,'Données projet'!$E$14+1,1))-AVERAGE(OFFSET($H$3,0,0,'Données projet'!$E$14+1,1))</f>
        <v>288.80569134263209</v>
      </c>
      <c r="DU94" s="59">
        <f t="shared" si="98"/>
        <v>283.48738729114024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52.478586917038818</v>
      </c>
      <c r="EB94" s="21">
        <f>EXP(-LN(2)/25)*EB93+(1-EXP(-LN(2)/25))/(LN(2)/25)*Calculateur!DW94*Calculateur!DY94*VLOOKUP('Données projet'!$B$14,Paramètres!$A$1:$I$89,3,0)*0.475*44/12</f>
        <v>37.062842835439426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89.541429752478251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-1.1368683772161603E-13</v>
      </c>
      <c r="EK94" s="17">
        <f>EJ94*VLOOKUP('Données projet'!$B$15,Paramètres!$A$1:$I$89,3,0)*VLOOKUP('Données projet'!$B$15,Paramètres!$A$1:$I$89,5,0)</f>
        <v>-6.3550942286383367E-14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335.04906256888819</v>
      </c>
      <c r="EP94" s="59">
        <f t="shared" si="100"/>
        <v>440.84111898279554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111.1062374162242</v>
      </c>
      <c r="EW94" s="21">
        <f>EXP(-LN(2)/25)*EW93+(1-EXP(-LN(2)/25))/(LN(2)/25)*Calculateur!ER94*Calculateur!ET94*VLOOKUP('Données projet'!$B$15,Paramètres!$A$1:$I$89,3,0)*0.475*44/12</f>
        <v>21.232307468981592</v>
      </c>
      <c r="EX94" s="21">
        <f>EXP(-LN(2)/2)*EX93+(1-EXP(-LN(2)/2))/(LN(2)/2)*ER94*EU94*VLOOKUP('Données projet'!$B$15,Paramètres!$A$1:$I$89,3,0)*0.475*44/12</f>
        <v>1.3031503297467222E-4</v>
      </c>
      <c r="EY94" s="22">
        <f t="shared" si="75"/>
        <v>132.33867520023878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1.7053025658242404E-13</v>
      </c>
      <c r="O95" s="13">
        <f>N95*VLOOKUP('Données projet'!$B$9,Paramètres!$A$1:$I$89,3,0)*VLOOKUP('Données projet'!$B$9,Paramètres!$A$1:$I$89,5,0)</f>
        <v>1.383341441396624E-13</v>
      </c>
      <c r="P95" s="13">
        <f t="shared" si="87"/>
        <v>2.0011390722884082E-12</v>
      </c>
      <c r="Q95" s="20">
        <f t="shared" si="54"/>
        <v>3.7262491852788889E-12</v>
      </c>
      <c r="R95" s="59">
        <f t="shared" si="55"/>
        <v>293.33333333333707</v>
      </c>
      <c r="S95" s="59">
        <f ca="1">AVERAGE(OFFSET($R$3,0,0,'Données projet'!$E$9+1,1))-AVERAGE(OFFSET($H$3,0,0,'Données projet'!$E$9+1,1))</f>
        <v>298.96480270023716</v>
      </c>
      <c r="T95" s="59">
        <f t="shared" si="88"/>
        <v>293.11447542333889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65.951097736299644</v>
      </c>
      <c r="AA95" s="21">
        <f>EXP(-LN(2)/25)*AA94+(1-EXP(-LN(2)/25))/(LN(2)/25)*Calculateur!V95*Calculateur!X95*VLOOKUP('Données projet'!$B$9,Paramètres!$A$1:$I$89,3,0)*0.475*44/12</f>
        <v>46.210246106787537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112.16134384308718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6.4031339031338979</v>
      </c>
      <c r="AI95" s="13">
        <f>IF('Données projet'!$A$62&gt;35,AI94+AH95-AQ94,IF(A95&lt;'Données projet'!$A$62,$AF$205^A95,IF(A95='Données projet'!$A$62,'Données projet'!$B$62,AI94+AH95-AQ94)))</f>
        <v>237.24216524216547</v>
      </c>
      <c r="AJ95" s="13">
        <f>AI95*VLOOKUP('Données projet'!$B$10,Paramètres!$A$1:$I$89,3,0)*VLOOKUP('Données projet'!$B$10,Paramètres!$A$1:$I$89,5,0)</f>
        <v>203.55377777777798</v>
      </c>
      <c r="AK95" s="13">
        <f t="shared" si="89"/>
        <v>50.524378125989195</v>
      </c>
      <c r="AL95" s="20">
        <f t="shared" si="58"/>
        <v>442.51945486572777</v>
      </c>
      <c r="AM95" s="59">
        <f t="shared" si="59"/>
        <v>735.85278819906102</v>
      </c>
      <c r="AN95" s="59">
        <f ca="1">AVERAGE(OFFSET($AM$3,0,0,'Données projet'!$E$10+1,1))-AVERAGE(OFFSET($H$3,0,0,'Données projet'!$E$10+1,1))</f>
        <v>335.02113791949211</v>
      </c>
      <c r="AO95" s="59">
        <f t="shared" si="90"/>
        <v>222.06886429435099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22.234456372502638</v>
      </c>
      <c r="AV95" s="21">
        <f>EXP(-LN(2)/25)*AV94+(1-EXP(-LN(2)/25))/(LN(2)/25)*Calculateur!AQ95*Calculateur!AS95*VLOOKUP('Données projet'!$B$10,Paramètres!$A$1:$I$89,3,0)*0.475*44/12</f>
        <v>29.579059368247357</v>
      </c>
      <c r="AW95" s="21">
        <f>EXP(-LN(2)/2)*AW94+(1-EXP(-LN(2)/2))/(LN(2)/2)*AQ95*AT95*VLOOKUP('Données projet'!$B$10,Paramètres!$A$1:$I$89,3,0)*0.475*44/12</f>
        <v>4.4888511486626506</v>
      </c>
      <c r="AX95" s="21">
        <f t="shared" si="60"/>
        <v>56.302366889412639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-3.1036506698001178E-14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207.02306964567629</v>
      </c>
      <c r="BJ95" s="59">
        <f t="shared" si="92"/>
        <v>342.06887933351783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24.080832562638921</v>
      </c>
      <c r="BQ95" s="21">
        <f>EXP(-LN(2)/25)*BQ94+(1-EXP(-LN(2)/25))/(LN(2)/25)*Calculateur!BL95*Calculateur!BN95*VLOOKUP('Données projet'!$B$11,Paramètres!$A$1:$I$89,3,0)*0.475*44/12</f>
        <v>35.459209782192929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59.540042344831846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233.89079999999998</v>
      </c>
      <c r="CA95" s="13">
        <f t="shared" si="93"/>
        <v>57.123140349023068</v>
      </c>
      <c r="CB95" s="20">
        <f t="shared" si="64"/>
        <v>506.84927944121517</v>
      </c>
      <c r="CC95" s="59">
        <f t="shared" si="65"/>
        <v>800.18261277454849</v>
      </c>
      <c r="CD95" s="59">
        <f ca="1">AVERAGE(OFFSET($CC$3,0,0,'Données projet'!$E$12+1,1))-AVERAGE(OFFSET($H$3,0,0,'Données projet'!$E$12+1,1))</f>
        <v>328.55201074501201</v>
      </c>
      <c r="CE95" s="59">
        <f t="shared" si="94"/>
        <v>321.81422611044985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26.398706779985552</v>
      </c>
      <c r="CL95" s="21">
        <f>EXP(-LN(2)/25)*CL94+(1-EXP(-LN(2)/25))/(LN(2)/25)*Calculateur!CG95*Calculateur!CI95*VLOOKUP('Données projet'!$B$12,Paramètres!$A$1:$I$89,3,0)*0.475*44/12</f>
        <v>4.0449059465420705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30.443612726527622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</v>
      </c>
      <c r="CT95" s="12">
        <f>IF('Données projet'!$A$140&gt;35,CT94+CS95-DB94,IF(A95&lt;'Données projet'!$A$140,$CQ$205^A95,IF(A95='Données projet'!$A$140,'Données projet'!$B$140,CT94+CS95-DB94)))</f>
        <v>243</v>
      </c>
      <c r="CU95" s="17">
        <f>CT95*VLOOKUP('Données projet'!$B$13,Paramètres!$A$1:$I$89,3,0)*VLOOKUP('Données projet'!$B$13,Paramètres!$A$1:$I$89,5,0)</f>
        <v>212.28480000000002</v>
      </c>
      <c r="CV95" s="13">
        <f t="shared" si="95"/>
        <v>52.434557099704193</v>
      </c>
      <c r="CW95" s="20">
        <f t="shared" si="67"/>
        <v>461.05288028198476</v>
      </c>
      <c r="CX95" s="59">
        <f t="shared" si="68"/>
        <v>754.38621361531807</v>
      </c>
      <c r="CY95" s="59">
        <f ca="1">AVERAGE(OFFSET($CX$3,0,0,'Données projet'!$E$13+1,1))-AVERAGE(OFFSET($H$3,0,0,'Données projet'!$E$13+1,1))</f>
        <v>354.24684313982857</v>
      </c>
      <c r="CZ95" s="59">
        <f t="shared" si="96"/>
        <v>322.65043486962185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24.142121245143571</v>
      </c>
      <c r="DG95" s="21">
        <f>EXP(-LN(2)/25)*DG94+(1-EXP(-LN(2)/25))/(LN(2)/25)*Calculateur!DB95*Calculateur!DD95*VLOOKUP('Données projet'!$B$13,Paramètres!$A$1:$I$89,3,0)*0.475*44/12</f>
        <v>16.270243574822796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40.412364819966371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1.7053025658242404E-13</v>
      </c>
      <c r="DP95" s="17">
        <f>DO95*VLOOKUP('Données projet'!$B$14,Paramètres!$A$1:$I$89,3,0)*VLOOKUP('Données projet'!$B$14,Paramètres!$A$1:$I$89,5,0)</f>
        <v>1.3301360013429075E-13</v>
      </c>
      <c r="DQ95" s="13">
        <f t="shared" si="97"/>
        <v>1.9329766731057041E-12</v>
      </c>
      <c r="DR95" s="20">
        <f t="shared" si="70"/>
        <v>3.5982663925596575E-12</v>
      </c>
      <c r="DS95" s="59">
        <f t="shared" si="71"/>
        <v>293.3333333333369</v>
      </c>
      <c r="DT95" s="59">
        <f ca="1">AVERAGE(OFFSET($DS$3,0,0,'Données projet'!$E$14+1,1))-AVERAGE(OFFSET($H$3,0,0,'Données projet'!$E$14+1,1))</f>
        <v>288.80569134263209</v>
      </c>
      <c r="DU95" s="59">
        <f t="shared" si="98"/>
        <v>283.48738729114024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51.4495138363731</v>
      </c>
      <c r="EB95" s="21">
        <f>EXP(-LN(2)/25)*EB94+(1-EXP(-LN(2)/25))/(LN(2)/25)*Calculateur!DW95*Calculateur!DY95*VLOOKUP('Données projet'!$B$14,Paramètres!$A$1:$I$89,3,0)*0.475*44/12</f>
        <v>36.049357449054135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87.498871285427242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-1.1368683772161603E-13</v>
      </c>
      <c r="EK95" s="17">
        <f>EJ95*VLOOKUP('Données projet'!$B$15,Paramètres!$A$1:$I$89,3,0)*VLOOKUP('Données projet'!$B$15,Paramètres!$A$1:$I$89,5,0)</f>
        <v>-6.3550942286383367E-14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335.04906256888819</v>
      </c>
      <c r="EP95" s="59">
        <f t="shared" si="100"/>
        <v>440.84111898279554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108.92751186860532</v>
      </c>
      <c r="EW95" s="21">
        <f>EXP(-LN(2)/25)*EW94+(1-EXP(-LN(2)/25))/(LN(2)/25)*Calculateur!ER95*Calculateur!ET95*VLOOKUP('Données projet'!$B$15,Paramètres!$A$1:$I$89,3,0)*0.475*44/12</f>
        <v>20.651708904683769</v>
      </c>
      <c r="EX95" s="21">
        <f>EXP(-LN(2)/2)*EX94+(1-EXP(-LN(2)/2))/(LN(2)/2)*ER95*EU95*VLOOKUP('Données projet'!$B$15,Paramètres!$A$1:$I$89,3,0)*0.475*44/12</f>
        <v>9.2146643506939272E-5</v>
      </c>
      <c r="EY95" s="22">
        <f t="shared" si="75"/>
        <v>129.57931291993259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1.7053025658242404E-13</v>
      </c>
      <c r="O96" s="13">
        <f>N96*VLOOKUP('Données projet'!$B$9,Paramètres!$A$1:$I$89,3,0)*VLOOKUP('Données projet'!$B$9,Paramètres!$A$1:$I$89,5,0)</f>
        <v>1.383341441396624E-13</v>
      </c>
      <c r="P96" s="13">
        <f t="shared" si="87"/>
        <v>2.0011390722884082E-12</v>
      </c>
      <c r="Q96" s="20">
        <f t="shared" si="54"/>
        <v>3.7262491852788889E-12</v>
      </c>
      <c r="R96" s="59">
        <f t="shared" si="55"/>
        <v>293.33333333333707</v>
      </c>
      <c r="S96" s="59">
        <f ca="1">AVERAGE(OFFSET($R$3,0,0,'Données projet'!$E$9+1,1))-AVERAGE(OFFSET($H$3,0,0,'Données projet'!$E$9+1,1))</f>
        <v>298.96480270023716</v>
      </c>
      <c r="T96" s="59">
        <f t="shared" si="88"/>
        <v>293.11447542333889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64.657836935888426</v>
      </c>
      <c r="AA96" s="21">
        <f>EXP(-LN(2)/25)*AA95+(1-EXP(-LN(2)/25))/(LN(2)/25)*Calculateur!V96*Calculateur!X96*VLOOKUP('Données projet'!$B$9,Paramètres!$A$1:$I$89,3,0)*0.475*44/12</f>
        <v>44.946624496906203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109.60446143279464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6.4031339031338979</v>
      </c>
      <c r="AI96" s="13">
        <f>IF('Données projet'!$A$62&gt;35,AI95+AH96-AQ95,IF(A96&lt;'Données projet'!$A$62,$AF$205^A96,IF(A96='Données projet'!$A$62,'Données projet'!$B$62,AI95+AH96-AQ95)))</f>
        <v>243.64529914529936</v>
      </c>
      <c r="AJ96" s="13">
        <f>AI96*VLOOKUP('Données projet'!$B$10,Paramètres!$A$1:$I$89,3,0)*VLOOKUP('Données projet'!$B$10,Paramètres!$A$1:$I$89,5,0)</f>
        <v>209.04766666666688</v>
      </c>
      <c r="AK96" s="13">
        <f t="shared" si="89"/>
        <v>51.72742188504369</v>
      </c>
      <c r="AL96" s="20">
        <f t="shared" si="58"/>
        <v>454.18327922756254</v>
      </c>
      <c r="AM96" s="59">
        <f t="shared" si="59"/>
        <v>747.51661256089585</v>
      </c>
      <c r="AN96" s="59">
        <f ca="1">AVERAGE(OFFSET($AM$3,0,0,'Données projet'!$E$10+1,1))-AVERAGE(OFFSET($H$3,0,0,'Données projet'!$E$10+1,1))</f>
        <v>335.02113791949211</v>
      </c>
      <c r="AO96" s="59">
        <f t="shared" si="90"/>
        <v>222.06886429435099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21.798452244717144</v>
      </c>
      <c r="AV96" s="21">
        <f>EXP(-LN(2)/25)*AV95+(1-EXP(-LN(2)/25))/(LN(2)/25)*Calculateur!AQ96*Calculateur!AS96*VLOOKUP('Données projet'!$B$10,Paramètres!$A$1:$I$89,3,0)*0.475*44/12</f>
        <v>28.770218434327504</v>
      </c>
      <c r="AW96" s="21">
        <f>EXP(-LN(2)/2)*AW95+(1-EXP(-LN(2)/2))/(LN(2)/2)*AQ96*AT96*VLOOKUP('Données projet'!$B$10,Paramètres!$A$1:$I$89,3,0)*0.475*44/12</f>
        <v>3.1740970869563836</v>
      </c>
      <c r="AX96" s="21">
        <f t="shared" si="60"/>
        <v>53.74276776600103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-3.1036506698001178E-14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207.02306964567629</v>
      </c>
      <c r="BJ96" s="59">
        <f t="shared" si="92"/>
        <v>342.06887933351783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23.608622123943128</v>
      </c>
      <c r="BQ96" s="21">
        <f>EXP(-LN(2)/25)*BQ95+(1-EXP(-LN(2)/25))/(LN(2)/25)*Calculateur!BL96*Calculateur!BN96*VLOOKUP('Données projet'!$B$11,Paramètres!$A$1:$I$89,3,0)*0.475*44/12</f>
        <v>34.489575825980062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58.09819794992319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233.89079999999998</v>
      </c>
      <c r="CA96" s="13">
        <f t="shared" si="93"/>
        <v>57.123140349023068</v>
      </c>
      <c r="CB96" s="20">
        <f t="shared" si="64"/>
        <v>506.84927944121517</v>
      </c>
      <c r="CC96" s="59">
        <f t="shared" si="65"/>
        <v>800.18261277454849</v>
      </c>
      <c r="CD96" s="59">
        <f ca="1">AVERAGE(OFFSET($CC$3,0,0,'Données projet'!$E$12+1,1))-AVERAGE(OFFSET($H$3,0,0,'Données projet'!$E$12+1,1))</f>
        <v>328.55201074501201</v>
      </c>
      <c r="CE96" s="59">
        <f t="shared" si="94"/>
        <v>321.81422611044985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25.881044241651267</v>
      </c>
      <c r="CL96" s="21">
        <f>EXP(-LN(2)/25)*CL95+(1-EXP(-LN(2)/25))/(LN(2)/25)*Calculateur!CG96*Calculateur!CI96*VLOOKUP('Données projet'!$B$12,Paramètres!$A$1:$I$89,3,0)*0.475*44/12</f>
        <v>3.9342977807215185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29.815342022372786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</v>
      </c>
      <c r="CT96" s="12">
        <f>IF('Données projet'!$A$140&gt;35,CT95+CS96-DB95,IF(A96&lt;'Données projet'!$A$140,$CQ$205^A96,IF(A96='Données projet'!$A$140,'Données projet'!$B$140,CT95+CS96-DB95)))</f>
        <v>246</v>
      </c>
      <c r="CU96" s="17">
        <f>CT96*VLOOKUP('Données projet'!$B$13,Paramètres!$A$1:$I$89,3,0)*VLOOKUP('Données projet'!$B$13,Paramètres!$A$1:$I$89,5,0)</f>
        <v>214.90560000000005</v>
      </c>
      <c r="CV96" s="13">
        <f t="shared" si="95"/>
        <v>53.006137800892326</v>
      </c>
      <c r="CW96" s="20">
        <f t="shared" si="67"/>
        <v>466.61294333655422</v>
      </c>
      <c r="CX96" s="59">
        <f t="shared" si="68"/>
        <v>759.94627666988754</v>
      </c>
      <c r="CY96" s="59">
        <f ca="1">AVERAGE(OFFSET($CX$3,0,0,'Données projet'!$E$13+1,1))-AVERAGE(OFFSET($H$3,0,0,'Données projet'!$E$13+1,1))</f>
        <v>354.24684313982857</v>
      </c>
      <c r="CZ96" s="59">
        <f t="shared" si="96"/>
        <v>322.65043486962185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23.668708972766268</v>
      </c>
      <c r="DG96" s="21">
        <f>EXP(-LN(2)/25)*DG95+(1-EXP(-LN(2)/25))/(LN(2)/25)*Calculateur!DB96*Calculateur!DD96*VLOOKUP('Données projet'!$B$13,Paramètres!$A$1:$I$89,3,0)*0.475*44/12</f>
        <v>15.825332908654344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39.494041881420614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1.7053025658242404E-13</v>
      </c>
      <c r="DP96" s="17">
        <f>DO96*VLOOKUP('Données projet'!$B$14,Paramètres!$A$1:$I$89,3,0)*VLOOKUP('Données projet'!$B$14,Paramètres!$A$1:$I$89,5,0)</f>
        <v>1.3301360013429075E-13</v>
      </c>
      <c r="DQ96" s="13">
        <f t="shared" si="97"/>
        <v>1.9329766731057041E-12</v>
      </c>
      <c r="DR96" s="20">
        <f t="shared" si="70"/>
        <v>3.5982663925596575E-12</v>
      </c>
      <c r="DS96" s="59">
        <f t="shared" si="71"/>
        <v>293.3333333333369</v>
      </c>
      <c r="DT96" s="59">
        <f ca="1">AVERAGE(OFFSET($DS$3,0,0,'Données projet'!$E$14+1,1))-AVERAGE(OFFSET($H$3,0,0,'Données projet'!$E$14+1,1))</f>
        <v>288.80569134263209</v>
      </c>
      <c r="DU96" s="59">
        <f t="shared" si="98"/>
        <v>283.48738729114024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50.44062025114664</v>
      </c>
      <c r="EB96" s="21">
        <f>EXP(-LN(2)/25)*EB95+(1-EXP(-LN(2)/25))/(LN(2)/25)*Calculateur!DW96*Calculateur!DY96*VLOOKUP('Données projet'!$B$14,Paramètres!$A$1:$I$89,3,0)*0.475*44/12</f>
        <v>35.063585873856432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85.504206125003066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-1.1368683772161603E-13</v>
      </c>
      <c r="EK96" s="17">
        <f>EJ96*VLOOKUP('Données projet'!$B$15,Paramètres!$A$1:$I$89,3,0)*VLOOKUP('Données projet'!$B$15,Paramètres!$A$1:$I$89,5,0)</f>
        <v>-6.3550942286383367E-14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335.04906256888819</v>
      </c>
      <c r="EP96" s="59">
        <f t="shared" si="100"/>
        <v>440.84111898279554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106.79150980008389</v>
      </c>
      <c r="EW96" s="21">
        <f>EXP(-LN(2)/25)*EW95+(1-EXP(-LN(2)/25))/(LN(2)/25)*Calculateur!ER96*Calculateur!ET96*VLOOKUP('Données projet'!$B$15,Paramètres!$A$1:$I$89,3,0)*0.475*44/12</f>
        <v>20.086986838659019</v>
      </c>
      <c r="EX96" s="21">
        <f>EXP(-LN(2)/2)*EX95+(1-EXP(-LN(2)/2))/(LN(2)/2)*ER96*EU96*VLOOKUP('Données projet'!$B$15,Paramètres!$A$1:$I$89,3,0)*0.475*44/12</f>
        <v>6.5157516487336108E-5</v>
      </c>
      <c r="EY96" s="22">
        <f t="shared" si="75"/>
        <v>126.87856179625939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1.7053025658242404E-13</v>
      </c>
      <c r="O97" s="13">
        <f>N97*VLOOKUP('Données projet'!$B$9,Paramètres!$A$1:$I$89,3,0)*VLOOKUP('Données projet'!$B$9,Paramètres!$A$1:$I$89,5,0)</f>
        <v>1.383341441396624E-13</v>
      </c>
      <c r="P97" s="13">
        <f t="shared" si="87"/>
        <v>2.0011390722884082E-12</v>
      </c>
      <c r="Q97" s="20">
        <f t="shared" si="54"/>
        <v>3.7262491852788889E-12</v>
      </c>
      <c r="R97" s="59">
        <f t="shared" si="55"/>
        <v>293.33333333333707</v>
      </c>
      <c r="S97" s="59">
        <f ca="1">AVERAGE(OFFSET($R$3,0,0,'Données projet'!$E$9+1,1))-AVERAGE(OFFSET($H$3,0,0,'Données projet'!$E$9+1,1))</f>
        <v>298.96480270023716</v>
      </c>
      <c r="T97" s="59">
        <f t="shared" si="88"/>
        <v>293.11447542333889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63.389936190962068</v>
      </c>
      <c r="AA97" s="21">
        <f>EXP(-LN(2)/25)*AA96+(1-EXP(-LN(2)/25))/(LN(2)/25)*Calculateur!V97*Calculateur!X97*VLOOKUP('Données projet'!$B$9,Paramètres!$A$1:$I$89,3,0)*0.475*44/12</f>
        <v>43.717556686398048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107.10749287736012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6.4031339031338979</v>
      </c>
      <c r="AI97" s="13">
        <f>IF('Données projet'!$A$62&gt;35,AI96+AH97-AQ96,IF(A97&lt;'Données projet'!$A$62,$AF$205^A97,IF(A97='Données projet'!$A$62,'Données projet'!$B$62,AI96+AH97-AQ96)))</f>
        <v>250.04843304843325</v>
      </c>
      <c r="AJ97" s="13">
        <f>AI97*VLOOKUP('Données projet'!$B$10,Paramètres!$A$1:$I$89,3,0)*VLOOKUP('Données projet'!$B$10,Paramètres!$A$1:$I$89,5,0)</f>
        <v>214.54155555555576</v>
      </c>
      <c r="AK97" s="13">
        <f t="shared" si="89"/>
        <v>52.926790641176524</v>
      </c>
      <c r="AL97" s="20">
        <f t="shared" si="58"/>
        <v>465.84070295930866</v>
      </c>
      <c r="AM97" s="59">
        <f t="shared" si="59"/>
        <v>759.17403629264197</v>
      </c>
      <c r="AN97" s="59">
        <f ca="1">AVERAGE(OFFSET($AM$3,0,0,'Données projet'!$E$10+1,1))-AVERAGE(OFFSET($H$3,0,0,'Données projet'!$E$10+1,1))</f>
        <v>335.02113791949211</v>
      </c>
      <c r="AO97" s="59">
        <f t="shared" si="90"/>
        <v>222.06886429435099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21.370997891941265</v>
      </c>
      <c r="AV97" s="21">
        <f>EXP(-LN(2)/25)*AV96+(1-EXP(-LN(2)/25))/(LN(2)/25)*Calculateur!AQ97*Calculateur!AS97*VLOOKUP('Données projet'!$B$10,Paramètres!$A$1:$I$89,3,0)*0.475*44/12</f>
        <v>27.983495298280786</v>
      </c>
      <c r="AW97" s="21">
        <f>EXP(-LN(2)/2)*AW96+(1-EXP(-LN(2)/2))/(LN(2)/2)*AQ97*AT97*VLOOKUP('Données projet'!$B$10,Paramètres!$A$1:$I$89,3,0)*0.475*44/12</f>
        <v>2.2444255743313257</v>
      </c>
      <c r="AX97" s="21">
        <f t="shared" si="60"/>
        <v>51.598918764553375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-3.1036506698001178E-14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207.02306964567629</v>
      </c>
      <c r="BJ97" s="59">
        <f t="shared" si="92"/>
        <v>342.06887933351783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23.145671443930233</v>
      </c>
      <c r="BQ97" s="21">
        <f>EXP(-LN(2)/25)*BQ96+(1-EXP(-LN(2)/25))/(LN(2)/25)*Calculateur!BL97*Calculateur!BN97*VLOOKUP('Données projet'!$B$11,Paramètres!$A$1:$I$89,3,0)*0.475*44/12</f>
        <v>33.546456561290668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56.692128005220901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233.89079999999998</v>
      </c>
      <c r="CA97" s="13">
        <f t="shared" si="93"/>
        <v>57.123140349023068</v>
      </c>
      <c r="CB97" s="20">
        <f t="shared" si="64"/>
        <v>506.84927944121517</v>
      </c>
      <c r="CC97" s="59">
        <f t="shared" si="65"/>
        <v>800.18261277454849</v>
      </c>
      <c r="CD97" s="59">
        <f ca="1">AVERAGE(OFFSET($CC$3,0,0,'Données projet'!$E$12+1,1))-AVERAGE(OFFSET($H$3,0,0,'Données projet'!$E$12+1,1))</f>
        <v>328.55201074501201</v>
      </c>
      <c r="CE97" s="59">
        <f t="shared" si="94"/>
        <v>321.81422611044985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25.373532749950748</v>
      </c>
      <c r="CL97" s="21">
        <f>EXP(-LN(2)/25)*CL96+(1-EXP(-LN(2)/25))/(LN(2)/25)*Calculateur!CG97*Calculateur!CI97*VLOOKUP('Données projet'!$B$12,Paramètres!$A$1:$I$89,3,0)*0.475*44/12</f>
        <v>3.8267142010119604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29.200246950962708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</v>
      </c>
      <c r="CT97" s="12">
        <f>IF('Données projet'!$A$140&gt;35,CT96+CS97-DB96,IF(A97&lt;'Données projet'!$A$140,$CQ$205^A97,IF(A97='Données projet'!$A$140,'Données projet'!$B$140,CT96+CS97-DB96)))</f>
        <v>249</v>
      </c>
      <c r="CU97" s="17">
        <f>CT97*VLOOKUP('Données projet'!$B$13,Paramètres!$A$1:$I$89,3,0)*VLOOKUP('Données projet'!$B$13,Paramètres!$A$1:$I$89,5,0)</f>
        <v>217.52640000000005</v>
      </c>
      <c r="CV97" s="13">
        <f t="shared" si="95"/>
        <v>53.576907690651254</v>
      </c>
      <c r="CW97" s="20">
        <f t="shared" si="67"/>
        <v>472.17159422788433</v>
      </c>
      <c r="CX97" s="59">
        <f t="shared" si="68"/>
        <v>765.50492756121764</v>
      </c>
      <c r="CY97" s="59">
        <f ca="1">AVERAGE(OFFSET($CX$3,0,0,'Données projet'!$E$13+1,1))-AVERAGE(OFFSET($H$3,0,0,'Données projet'!$E$13+1,1))</f>
        <v>354.24684313982857</v>
      </c>
      <c r="CZ97" s="59">
        <f t="shared" si="96"/>
        <v>322.65043486962185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23.204580026297311</v>
      </c>
      <c r="DG97" s="21">
        <f>EXP(-LN(2)/25)*DG96+(1-EXP(-LN(2)/25))/(LN(2)/25)*Calculateur!DB97*Calculateur!DD97*VLOOKUP('Données projet'!$B$13,Paramètres!$A$1:$I$89,3,0)*0.475*44/12</f>
        <v>15.392588348049102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38.59716837434641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1.7053025658242404E-13</v>
      </c>
      <c r="DP97" s="17">
        <f>DO97*VLOOKUP('Données projet'!$B$14,Paramètres!$A$1:$I$89,3,0)*VLOOKUP('Données projet'!$B$14,Paramètres!$A$1:$I$89,5,0)</f>
        <v>1.3301360013429075E-13</v>
      </c>
      <c r="DQ97" s="13">
        <f t="shared" si="97"/>
        <v>1.9329766731057041E-12</v>
      </c>
      <c r="DR97" s="20">
        <f t="shared" si="70"/>
        <v>3.5982663925596575E-12</v>
      </c>
      <c r="DS97" s="59">
        <f t="shared" si="71"/>
        <v>293.3333333333369</v>
      </c>
      <c r="DT97" s="59">
        <f ca="1">AVERAGE(OFFSET($DS$3,0,0,'Données projet'!$E$14+1,1))-AVERAGE(OFFSET($H$3,0,0,'Données projet'!$E$14+1,1))</f>
        <v>288.80569134263209</v>
      </c>
      <c r="DU97" s="59">
        <f t="shared" si="98"/>
        <v>283.48738729114024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49.451510453762147</v>
      </c>
      <c r="EB97" s="21">
        <f>EXP(-LN(2)/25)*EB96+(1-EXP(-LN(2)/25))/(LN(2)/25)*Calculateur!DW97*Calculateur!DY97*VLOOKUP('Données projet'!$B$14,Paramètres!$A$1:$I$89,3,0)*0.475*44/12</f>
        <v>34.104770274221984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83.556280727984131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-1.1368683772161603E-13</v>
      </c>
      <c r="EK97" s="17">
        <f>EJ97*VLOOKUP('Données projet'!$B$15,Paramètres!$A$1:$I$89,3,0)*VLOOKUP('Données projet'!$B$15,Paramètres!$A$1:$I$89,5,0)</f>
        <v>-6.3550942286383367E-14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335.04906256888819</v>
      </c>
      <c r="EP97" s="59">
        <f t="shared" si="100"/>
        <v>440.84111898279554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104.69739342929354</v>
      </c>
      <c r="EW97" s="21">
        <f>EXP(-LN(2)/25)*EW96+(1-EXP(-LN(2)/25))/(LN(2)/25)*Calculateur!ER97*Calculateur!ET97*VLOOKUP('Données projet'!$B$15,Paramètres!$A$1:$I$89,3,0)*0.475*44/12</f>
        <v>19.537707127227161</v>
      </c>
      <c r="EX97" s="21">
        <f>EXP(-LN(2)/2)*EX96+(1-EXP(-LN(2)/2))/(LN(2)/2)*ER97*EU97*VLOOKUP('Données projet'!$B$15,Paramètres!$A$1:$I$89,3,0)*0.475*44/12</f>
        <v>4.6073321753469636E-5</v>
      </c>
      <c r="EY97" s="22">
        <f t="shared" si="75"/>
        <v>124.23514662984246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1.7053025658242404E-13</v>
      </c>
      <c r="O98" s="13">
        <f>N98*VLOOKUP('Données projet'!$B$9,Paramètres!$A$1:$I$89,3,0)*VLOOKUP('Données projet'!$B$9,Paramètres!$A$1:$I$89,5,0)</f>
        <v>1.383341441396624E-13</v>
      </c>
      <c r="P98" s="13">
        <f t="shared" si="87"/>
        <v>2.0011390722884082E-12</v>
      </c>
      <c r="Q98" s="20">
        <f t="shared" si="54"/>
        <v>3.7262491852788889E-12</v>
      </c>
      <c r="R98" s="59">
        <f t="shared" si="55"/>
        <v>293.33333333333707</v>
      </c>
      <c r="S98" s="59">
        <f ca="1">AVERAGE(OFFSET($R$3,0,0,'Données projet'!$E$9+1,1))-AVERAGE(OFFSET($H$3,0,0,'Données projet'!$E$9+1,1))</f>
        <v>298.96480270023716</v>
      </c>
      <c r="T98" s="59">
        <f t="shared" si="88"/>
        <v>293.11447542333889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62.146898206300619</v>
      </c>
      <c r="AA98" s="21">
        <f>EXP(-LN(2)/25)*AA97+(1-EXP(-LN(2)/25))/(LN(2)/25)*Calculateur!V98*Calculateur!X98*VLOOKUP('Données projet'!$B$9,Paramètres!$A$1:$I$89,3,0)*0.475*44/12</f>
        <v>42.522097799802104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104.66899600610273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6.4031339031338979</v>
      </c>
      <c r="AI98" s="13">
        <f>IF('Données projet'!$A$62&gt;35,AI97+AH98-AQ97,IF(A98&lt;'Données projet'!$A$62,$AF$205^A98,IF(A98='Données projet'!$A$62,'Données projet'!$B$62,AI97+AH98-AQ97)))</f>
        <v>256.45156695156714</v>
      </c>
      <c r="AJ98" s="13">
        <f>AI98*VLOOKUP('Données projet'!$B$10,Paramètres!$A$1:$I$89,3,0)*VLOOKUP('Données projet'!$B$10,Paramètres!$A$1:$I$89,5,0)</f>
        <v>220.03544444444464</v>
      </c>
      <c r="AK98" s="13">
        <f t="shared" si="89"/>
        <v>54.122589323241463</v>
      </c>
      <c r="AL98" s="20">
        <f t="shared" si="58"/>
        <v>477.49190881205328</v>
      </c>
      <c r="AM98" s="59">
        <f t="shared" si="59"/>
        <v>770.8252421453866</v>
      </c>
      <c r="AN98" s="59">
        <f ca="1">AVERAGE(OFFSET($AM$3,0,0,'Données projet'!$E$10+1,1))-AVERAGE(OFFSET($H$3,0,0,'Données projet'!$E$10+1,1))</f>
        <v>335.02113791949211</v>
      </c>
      <c r="AO98" s="59">
        <f t="shared" si="90"/>
        <v>222.06886429435099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20.95192565830191</v>
      </c>
      <c r="AV98" s="21">
        <f>EXP(-LN(2)/25)*AV97+(1-EXP(-LN(2)/25))/(LN(2)/25)*Calculateur!AQ98*Calculateur!AS98*VLOOKUP('Données projet'!$B$10,Paramètres!$A$1:$I$89,3,0)*0.475*44/12</f>
        <v>27.218285147761236</v>
      </c>
      <c r="AW98" s="21">
        <f>EXP(-LN(2)/2)*AW97+(1-EXP(-LN(2)/2))/(LN(2)/2)*AQ98*AT98*VLOOKUP('Données projet'!$B$10,Paramètres!$A$1:$I$89,3,0)*0.475*44/12</f>
        <v>1.587048543478192</v>
      </c>
      <c r="AX98" s="21">
        <f t="shared" si="60"/>
        <v>49.757259349541336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-3.1036506698001178E-14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207.02306964567629</v>
      </c>
      <c r="BJ98" s="59">
        <f t="shared" si="92"/>
        <v>342.06887933351783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22.691798944380359</v>
      </c>
      <c r="BQ98" s="21">
        <f>EXP(-LN(2)/25)*BQ97+(1-EXP(-LN(2)/25))/(LN(2)/25)*Calculateur!BL98*Calculateur!BN98*VLOOKUP('Données projet'!$B$11,Paramètres!$A$1:$I$89,3,0)*0.475*44/12</f>
        <v>32.629126942490693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55.320925886871052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233.89079999999998</v>
      </c>
      <c r="CA98" s="13">
        <f t="shared" si="93"/>
        <v>57.123140349023068</v>
      </c>
      <c r="CB98" s="20">
        <f t="shared" si="64"/>
        <v>506.84927944121517</v>
      </c>
      <c r="CC98" s="59">
        <f t="shared" si="65"/>
        <v>800.18261277454849</v>
      </c>
      <c r="CD98" s="59">
        <f ca="1">AVERAGE(OFFSET($CC$3,0,0,'Données projet'!$E$12+1,1))-AVERAGE(OFFSET($H$3,0,0,'Données projet'!$E$12+1,1))</f>
        <v>328.55201074501201</v>
      </c>
      <c r="CE98" s="59">
        <f t="shared" si="94"/>
        <v>321.81422611044985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24.875973249051032</v>
      </c>
      <c r="CL98" s="21">
        <f>EXP(-LN(2)/25)*CL97+(1-EXP(-LN(2)/25))/(LN(2)/25)*Calculateur!CG98*Calculateur!CI98*VLOOKUP('Données projet'!$B$12,Paramètres!$A$1:$I$89,3,0)*0.475*44/12</f>
        <v>3.7220724999471346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28.598045748998167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252</v>
      </c>
      <c r="CR98" s="12">
        <f>VLOOKUP(A98,'Données projet'!$A$139:$I$159,9,0)</f>
        <v>3</v>
      </c>
      <c r="CS98" s="12">
        <f t="array" ref="CS98">INDEX(CR:CR,MIN(IF(ISNUMBER(CR98:CR294),ROW(CR98:CR294),"")))</f>
        <v>3</v>
      </c>
      <c r="CT98" s="12">
        <f>IF('Données projet'!$A$140&gt;35,CT97+CS98-DB97,IF(A98&lt;'Données projet'!$A$140,$CQ$205^A98,IF(A98='Données projet'!$A$140,'Données projet'!$B$140,CT97+CS98-DB97)))</f>
        <v>252</v>
      </c>
      <c r="CU98" s="17">
        <f>CT98*VLOOKUP('Données projet'!$B$13,Paramètres!$A$1:$I$89,3,0)*VLOOKUP('Données projet'!$B$13,Paramètres!$A$1:$I$89,5,0)</f>
        <v>220.14720000000003</v>
      </c>
      <c r="CV98" s="13">
        <f t="shared" si="95"/>
        <v>54.146877667769687</v>
      </c>
      <c r="CW98" s="20">
        <f t="shared" si="67"/>
        <v>477.72885193803222</v>
      </c>
      <c r="CX98" s="59">
        <f t="shared" si="68"/>
        <v>771.06218527136548</v>
      </c>
      <c r="CY98" s="59">
        <f ca="1">AVERAGE(OFFSET($CX$3,0,0,'Données projet'!$E$13+1,1))-AVERAGE(OFFSET($H$3,0,0,'Données projet'!$E$13+1,1))</f>
        <v>354.24684313982857</v>
      </c>
      <c r="CZ98" s="59">
        <f t="shared" si="96"/>
        <v>322.65043486962185</v>
      </c>
      <c r="DA98" s="15">
        <f>IF(ISNA(VLOOKUP(A98,'Données projet'!$A$139:$I$159,3,0)),0,VLOOKUP(A98,'Données projet'!$A$139:$I$159,3,0))</f>
        <v>16</v>
      </c>
      <c r="DB98" s="15" t="str">
        <f>IF(ISNA(VLOOKUP(A98,'Données projet'!$A$139:$I$159,4,0)),0,VLOOKUP(A98,'Données projet'!$A$139:$I$159,4,0))</f>
        <v>12</v>
      </c>
      <c r="DC98" s="16">
        <f>IF(ISNA(VLOOKUP(A98,'Données projet'!$A$139:$I$159,5,0)),0%,VLOOKUP(A98,'Données projet'!$A$139:$I$159,5,0)*VLOOKUP('Données projet'!$B$13,Paramètres!$A$1:$I$89,7,0))</f>
        <v>0.30099999999999999</v>
      </c>
      <c r="DD98" s="16">
        <f>IF(ISNA(VLOOKUP(A98,'Données projet'!$A$139:$I$159,6,0)),0%,VLOOKUP(A98,'Données projet'!$A$139:$I$159,6,0)*VLOOKUP('Données projet'!$B$13,Paramètres!$A$1:$I$89,7,0))</f>
        <v>8.6000000000000007E-2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26.237801357276574</v>
      </c>
      <c r="DG98" s="21">
        <f>EXP(-LN(2)/25)*DG97+(1-EXP(-LN(2)/25))/(LN(2)/25)*Calculateur!DB98*Calculateur!DD98*VLOOKUP('Données projet'!$B$13,Paramètres!$A$1:$I$89,3,0)*0.475*44/12</f>
        <v>15.964395617779372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42.202196975055948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1.7053025658242404E-13</v>
      </c>
      <c r="DP98" s="17">
        <f>DO98*VLOOKUP('Données projet'!$B$14,Paramètres!$A$1:$I$89,3,0)*VLOOKUP('Données projet'!$B$14,Paramètres!$A$1:$I$89,5,0)</f>
        <v>1.3301360013429075E-13</v>
      </c>
      <c r="DQ98" s="13">
        <f t="shared" si="97"/>
        <v>1.9329766731057041E-12</v>
      </c>
      <c r="DR98" s="20">
        <f t="shared" si="70"/>
        <v>3.5982663925596575E-12</v>
      </c>
      <c r="DS98" s="59">
        <f t="shared" si="71"/>
        <v>293.3333333333369</v>
      </c>
      <c r="DT98" s="59">
        <f ca="1">AVERAGE(OFFSET($DS$3,0,0,'Données projet'!$E$14+1,1))-AVERAGE(OFFSET($H$3,0,0,'Données projet'!$E$14+1,1))</f>
        <v>288.80569134263209</v>
      </c>
      <c r="DU98" s="59">
        <f t="shared" si="98"/>
        <v>283.48738729114024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48.481796496206954</v>
      </c>
      <c r="EB98" s="21">
        <f>EXP(-LN(2)/25)*EB97+(1-EXP(-LN(2)/25))/(LN(2)/25)*Calculateur!DW98*Calculateur!DY98*VLOOKUP('Données projet'!$B$14,Paramètres!$A$1:$I$89,3,0)*0.475*44/12</f>
        <v>33.172173537581465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81.653970033788426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-1.1368683772161603E-13</v>
      </c>
      <c r="EK98" s="17">
        <f>EJ98*VLOOKUP('Données projet'!$B$15,Paramètres!$A$1:$I$89,3,0)*VLOOKUP('Données projet'!$B$15,Paramètres!$A$1:$I$89,5,0)</f>
        <v>-6.3550942286383367E-14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335.04906256888819</v>
      </c>
      <c r="EP98" s="59">
        <f t="shared" si="100"/>
        <v>440.84111898279554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102.64434140324953</v>
      </c>
      <c r="EW98" s="21">
        <f>EXP(-LN(2)/25)*EW97+(1-EXP(-LN(2)/25))/(LN(2)/25)*Calculateur!ER98*Calculateur!ET98*VLOOKUP('Données projet'!$B$15,Paramètres!$A$1:$I$89,3,0)*0.475*44/12</f>
        <v>19.003447498389772</v>
      </c>
      <c r="EX98" s="21">
        <f>EXP(-LN(2)/2)*EX97+(1-EXP(-LN(2)/2))/(LN(2)/2)*ER98*EU98*VLOOKUP('Données projet'!$B$15,Paramètres!$A$1:$I$89,3,0)*0.475*44/12</f>
        <v>3.2578758243668054E-5</v>
      </c>
      <c r="EY98" s="22">
        <f t="shared" si="75"/>
        <v>121.64782148039754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1.7053025658242404E-13</v>
      </c>
      <c r="O99" s="13">
        <f>N99*VLOOKUP('Données projet'!$B$9,Paramètres!$A$1:$I$89,3,0)*VLOOKUP('Données projet'!$B$9,Paramètres!$A$1:$I$89,5,0)</f>
        <v>1.383341441396624E-13</v>
      </c>
      <c r="P99" s="13">
        <f t="shared" si="87"/>
        <v>2.0011390722884082E-12</v>
      </c>
      <c r="Q99" s="20">
        <f t="shared" ref="Q99:Q130" si="107">(O99+P99)*0.475*44/12</f>
        <v>3.7262491852788889E-12</v>
      </c>
      <c r="R99" s="59">
        <f t="shared" si="55"/>
        <v>293.33333333333707</v>
      </c>
      <c r="S99" s="59">
        <f ca="1">AVERAGE(OFFSET($R$3,0,0,'Données projet'!$E$9+1,1))-AVERAGE(OFFSET($H$3,0,0,'Données projet'!$E$9+1,1))</f>
        <v>298.96480270023716</v>
      </c>
      <c r="T99" s="59">
        <f t="shared" si="88"/>
        <v>293.11447542333889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60.928235438340074</v>
      </c>
      <c r="AA99" s="21">
        <f>EXP(-LN(2)/25)*AA98+(1-EXP(-LN(2)/25))/(LN(2)/25)*Calculateur!V99*Calculateur!X99*VLOOKUP('Données projet'!$B$9,Paramètres!$A$1:$I$89,3,0)*0.475*44/12</f>
        <v>41.359328799326576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102.28756423766666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6.4031339031338979</v>
      </c>
      <c r="AI99" s="13">
        <f>IF('Données projet'!$A$62&gt;35,AI98+AH99-AQ98,IF(A99&lt;'Données projet'!$A$62,$AF$205^A99,IF(A99='Données projet'!$A$62,'Données projet'!$B$62,AI98+AH99-AQ98)))</f>
        <v>262.85470085470104</v>
      </c>
      <c r="AJ99" s="13">
        <f>AI99*VLOOKUP('Données projet'!$B$10,Paramètres!$A$1:$I$89,3,0)*VLOOKUP('Données projet'!$B$10,Paramètres!$A$1:$I$89,5,0)</f>
        <v>225.52933333333351</v>
      </c>
      <c r="AK99" s="13">
        <f t="shared" si="89"/>
        <v>55.314917321683275</v>
      </c>
      <c r="AL99" s="20">
        <f t="shared" si="58"/>
        <v>489.13706989082084</v>
      </c>
      <c r="AM99" s="59">
        <f t="shared" si="59"/>
        <v>782.4704032241541</v>
      </c>
      <c r="AN99" s="59">
        <f ca="1">AVERAGE(OFFSET($AM$3,0,0,'Données projet'!$E$10+1,1))-AVERAGE(OFFSET($H$3,0,0,'Données projet'!$E$10+1,1))</f>
        <v>335.02113791949211</v>
      </c>
      <c r="AO99" s="59">
        <f t="shared" si="90"/>
        <v>222.06886429435099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20.541071175555398</v>
      </c>
      <c r="AV99" s="21">
        <f>EXP(-LN(2)/25)*AV98+(1-EXP(-LN(2)/25))/(LN(2)/25)*Calculateur!AQ99*Calculateur!AS99*VLOOKUP('Données projet'!$B$10,Paramètres!$A$1:$I$89,3,0)*0.475*44/12</f>
        <v>26.473999709048297</v>
      </c>
      <c r="AW99" s="21">
        <f>EXP(-LN(2)/2)*AW98+(1-EXP(-LN(2)/2))/(LN(2)/2)*AQ99*AT99*VLOOKUP('Données projet'!$B$10,Paramètres!$A$1:$I$89,3,0)*0.475*44/12</f>
        <v>1.1222127871656629</v>
      </c>
      <c r="AX99" s="21">
        <f t="shared" si="60"/>
        <v>48.13728367176936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-3.1036506698001178E-14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207.02306964567629</v>
      </c>
      <c r="BJ99" s="59">
        <f t="shared" si="92"/>
        <v>342.06887933351783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22.246826607711768</v>
      </c>
      <c r="BQ99" s="21">
        <f>EXP(-LN(2)/25)*BQ98+(1-EXP(-LN(2)/25))/(LN(2)/25)*Calculateur!BL99*Calculateur!BN99*VLOOKUP('Données projet'!$B$11,Paramètres!$A$1:$I$89,3,0)*0.475*44/12</f>
        <v>31.736881750357075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53.983708358068839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233.89079999999998</v>
      </c>
      <c r="CA99" s="13">
        <f t="shared" si="93"/>
        <v>57.123140349023068</v>
      </c>
      <c r="CB99" s="20">
        <f t="shared" si="64"/>
        <v>506.84927944121517</v>
      </c>
      <c r="CC99" s="59">
        <f t="shared" si="65"/>
        <v>800.18261277454849</v>
      </c>
      <c r="CD99" s="59">
        <f ca="1">AVERAGE(OFFSET($CC$3,0,0,'Données projet'!$E$12+1,1))-AVERAGE(OFFSET($H$3,0,0,'Données projet'!$E$12+1,1))</f>
        <v>328.55201074501201</v>
      </c>
      <c r="CE99" s="59">
        <f t="shared" si="94"/>
        <v>321.81422611044985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24.38817058648263</v>
      </c>
      <c r="CL99" s="21">
        <f>EXP(-LN(2)/25)*CL98+(1-EXP(-LN(2)/25))/(LN(2)/25)*Calculateur!CG99*Calculateur!CI99*VLOOKUP('Données projet'!$B$12,Paramètres!$A$1:$I$89,3,0)*0.475*44/12</f>
        <v>3.6202922317007942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28.008462818183425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</v>
      </c>
      <c r="CT99" s="12">
        <f>IF('Données projet'!$A$140&gt;35,CT98+CS99-DB98,IF(A99&lt;'Données projet'!$A$140,$CQ$205^A99,IF(A99='Données projet'!$A$140,'Données projet'!$B$140,CT98+CS99-DB98)))</f>
        <v>243</v>
      </c>
      <c r="CU99" s="17">
        <f>CT99*VLOOKUP('Données projet'!$B$13,Paramètres!$A$1:$I$89,3,0)*VLOOKUP('Données projet'!$B$13,Paramètres!$A$1:$I$89,5,0)</f>
        <v>212.28480000000002</v>
      </c>
      <c r="CV99" s="13">
        <f t="shared" si="95"/>
        <v>52.434557099704193</v>
      </c>
      <c r="CW99" s="20">
        <f t="shared" si="67"/>
        <v>461.05288028198476</v>
      </c>
      <c r="CX99" s="59">
        <f t="shared" si="68"/>
        <v>754.38621361531807</v>
      </c>
      <c r="CY99" s="59">
        <f ca="1">AVERAGE(OFFSET($CX$3,0,0,'Données projet'!$E$13+1,1))-AVERAGE(OFFSET($H$3,0,0,'Données projet'!$E$13+1,1))</f>
        <v>354.24684313982857</v>
      </c>
      <c r="CZ99" s="59">
        <f t="shared" si="96"/>
        <v>322.65043486962185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25.723294076138995</v>
      </c>
      <c r="DG99" s="21">
        <f>EXP(-LN(2)/25)*DG98+(1-EXP(-LN(2)/25))/(LN(2)/25)*Calculateur!DB99*Calculateur!DD99*VLOOKUP('Données projet'!$B$13,Paramètres!$A$1:$I$89,3,0)*0.475*44/12</f>
        <v>15.527848380080117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41.251142456219114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1.7053025658242404E-13</v>
      </c>
      <c r="DP99" s="17">
        <f>DO99*VLOOKUP('Données projet'!$B$14,Paramètres!$A$1:$I$89,3,0)*VLOOKUP('Données projet'!$B$14,Paramètres!$A$1:$I$89,5,0)</f>
        <v>1.3301360013429075E-13</v>
      </c>
      <c r="DQ99" s="13">
        <f t="shared" si="97"/>
        <v>1.9329766731057041E-12</v>
      </c>
      <c r="DR99" s="20">
        <f t="shared" si="70"/>
        <v>3.5982663925596575E-12</v>
      </c>
      <c r="DS99" s="59">
        <f t="shared" si="71"/>
        <v>293.3333333333369</v>
      </c>
      <c r="DT99" s="59">
        <f ca="1">AVERAGE(OFFSET($DS$3,0,0,'Données projet'!$E$14+1,1))-AVERAGE(OFFSET($H$3,0,0,'Données projet'!$E$14+1,1))</f>
        <v>288.80569134263209</v>
      </c>
      <c r="DU99" s="59">
        <f t="shared" si="98"/>
        <v>283.48738729114024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47.531098037892306</v>
      </c>
      <c r="EB99" s="21">
        <f>EXP(-LN(2)/25)*EB98+(1-EXP(-LN(2)/25))/(LN(2)/25)*Calculateur!DW99*Calculateur!DY99*VLOOKUP('Données projet'!$B$14,Paramètres!$A$1:$I$89,3,0)*0.475*44/12</f>
        <v>32.265078707747506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79.796176745639812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-1.1368683772161603E-13</v>
      </c>
      <c r="EK99" s="17">
        <f>EJ99*VLOOKUP('Données projet'!$B$15,Paramètres!$A$1:$I$89,3,0)*VLOOKUP('Données projet'!$B$15,Paramètres!$A$1:$I$89,5,0)</f>
        <v>-6.3550942286383367E-14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335.04906256888819</v>
      </c>
      <c r="EP99" s="59">
        <f t="shared" si="100"/>
        <v>440.84111898279554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100.63154847519814</v>
      </c>
      <c r="EW99" s="21">
        <f>EXP(-LN(2)/25)*EW98+(1-EXP(-LN(2)/25))/(LN(2)/25)*Calculateur!ER99*Calculateur!ET99*VLOOKUP('Données projet'!$B$15,Paramètres!$A$1:$I$89,3,0)*0.475*44/12</f>
        <v>18.483797227198433</v>
      </c>
      <c r="EX99" s="21">
        <f>EXP(-LN(2)/2)*EX98+(1-EXP(-LN(2)/2))/(LN(2)/2)*ER99*EU99*VLOOKUP('Données projet'!$B$15,Paramètres!$A$1:$I$89,3,0)*0.475*44/12</f>
        <v>2.3036660876734818E-5</v>
      </c>
      <c r="EY99" s="22">
        <f t="shared" si="75"/>
        <v>119.11536873905746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1.7053025658242404E-13</v>
      </c>
      <c r="O100" s="13">
        <f>N100*VLOOKUP('Données projet'!$B$9,Paramètres!$A$1:$I$89,3,0)*VLOOKUP('Données projet'!$B$9,Paramètres!$A$1:$I$89,5,0)</f>
        <v>1.383341441396624E-13</v>
      </c>
      <c r="P100" s="13">
        <f t="shared" si="87"/>
        <v>2.0011390722884082E-12</v>
      </c>
      <c r="Q100" s="20">
        <f t="shared" si="107"/>
        <v>3.7262491852788889E-12</v>
      </c>
      <c r="R100" s="59">
        <f t="shared" si="55"/>
        <v>293.33333333333707</v>
      </c>
      <c r="S100" s="59">
        <f ca="1">AVERAGE(OFFSET($R$3,0,0,'Données projet'!$E$9+1,1))-AVERAGE(OFFSET($H$3,0,0,'Données projet'!$E$9+1,1))</f>
        <v>298.96480270023716</v>
      </c>
      <c r="T100" s="59">
        <f t="shared" si="88"/>
        <v>293.11447542333889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59.733469903948347</v>
      </c>
      <c r="AA100" s="21">
        <f>EXP(-LN(2)/25)*AA99+(1-EXP(-LN(2)/25))/(LN(2)/25)*Calculateur!V100*Calculateur!X100*VLOOKUP('Données projet'!$B$9,Paramètres!$A$1:$I$89,3,0)*0.475*44/12</f>
        <v>40.22835577831642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99.96182568226476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6.4031339031338979</v>
      </c>
      <c r="AI100" s="13">
        <f>IF('Données projet'!$A$62&gt;35,AI99+AH100-AQ99,IF(A100&lt;'Données projet'!$A$62,$AF$205^A100,IF(A100='Données projet'!$A$62,'Données projet'!$B$62,AI99+AH100-AQ99)))</f>
        <v>269.25783475783493</v>
      </c>
      <c r="AJ100" s="13">
        <f>AI100*VLOOKUP('Données projet'!$B$10,Paramètres!$A$1:$I$89,3,0)*VLOOKUP('Données projet'!$B$10,Paramètres!$A$1:$I$89,5,0)</f>
        <v>231.02322222222242</v>
      </c>
      <c r="AK100" s="13">
        <f t="shared" si="89"/>
        <v>56.503868908560428</v>
      </c>
      <c r="AL100" s="20">
        <f t="shared" si="58"/>
        <v>500.77635038611339</v>
      </c>
      <c r="AM100" s="59">
        <f t="shared" si="59"/>
        <v>794.10968371944671</v>
      </c>
      <c r="AN100" s="59">
        <f ca="1">AVERAGE(OFFSET($AM$3,0,0,'Données projet'!$E$10+1,1))-AVERAGE(OFFSET($H$3,0,0,'Données projet'!$E$10+1,1))</f>
        <v>335.02113791949211</v>
      </c>
      <c r="AO100" s="59">
        <f t="shared" si="90"/>
        <v>222.06886429435099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20.138273298619055</v>
      </c>
      <c r="AV100" s="21">
        <f>EXP(-LN(2)/25)*AV99+(1-EXP(-LN(2)/25))/(LN(2)/25)*Calculateur!AQ100*Calculateur!AS100*VLOOKUP('Données projet'!$B$10,Paramètres!$A$1:$I$89,3,0)*0.475*44/12</f>
        <v>25.750066794797235</v>
      </c>
      <c r="AW100" s="21">
        <f>EXP(-LN(2)/2)*AW99+(1-EXP(-LN(2)/2))/(LN(2)/2)*AQ100*AT100*VLOOKUP('Données projet'!$B$10,Paramètres!$A$1:$I$89,3,0)*0.475*44/12</f>
        <v>0.79352427173909601</v>
      </c>
      <c r="AX100" s="21">
        <f t="shared" si="60"/>
        <v>46.681864365155384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-3.1036506698001178E-14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207.02306964567629</v>
      </c>
      <c r="BJ100" s="59">
        <f t="shared" si="92"/>
        <v>342.06887933351783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21.810579907158921</v>
      </c>
      <c r="BQ100" s="21">
        <f>EXP(-LN(2)/25)*BQ99+(1-EXP(-LN(2)/25))/(LN(2)/25)*Calculateur!BL100*Calculateur!BN100*VLOOKUP('Données projet'!$B$11,Paramètres!$A$1:$I$89,3,0)*0.475*44/12</f>
        <v>30.869035049923486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52.679614957082407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233.89079999999998</v>
      </c>
      <c r="CA100" s="13">
        <f t="shared" si="93"/>
        <v>57.123140349023068</v>
      </c>
      <c r="CB100" s="20">
        <f t="shared" si="64"/>
        <v>506.84927944121517</v>
      </c>
      <c r="CC100" s="59">
        <f t="shared" si="65"/>
        <v>800.18261277454849</v>
      </c>
      <c r="CD100" s="59">
        <f ca="1">AVERAGE(OFFSET($CC$3,0,0,'Données projet'!$E$12+1,1))-AVERAGE(OFFSET($H$3,0,0,'Données projet'!$E$12+1,1))</f>
        <v>328.55201074501201</v>
      </c>
      <c r="CE100" s="59">
        <f t="shared" si="94"/>
        <v>321.81422611044985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23.909933436596948</v>
      </c>
      <c r="CL100" s="21">
        <f>EXP(-LN(2)/25)*CL99+(1-EXP(-LN(2)/25))/(LN(2)/25)*Calculateur!CG100*Calculateur!CI100*VLOOKUP('Données projet'!$B$12,Paramètres!$A$1:$I$89,3,0)*0.475*44/12</f>
        <v>3.5212951502420418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27.431228586838991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</v>
      </c>
      <c r="CT100" s="12">
        <f>IF('Données projet'!$A$140&gt;35,CT99+CS100-DB99,IF(A100&lt;'Données projet'!$A$140,$CQ$205^A100,IF(A100='Données projet'!$A$140,'Données projet'!$B$140,CT99+CS100-DB99)))</f>
        <v>246</v>
      </c>
      <c r="CU100" s="17">
        <f>CT100*VLOOKUP('Données projet'!$B$13,Paramètres!$A$1:$I$89,3,0)*VLOOKUP('Données projet'!$B$13,Paramètres!$A$1:$I$89,5,0)</f>
        <v>214.90560000000005</v>
      </c>
      <c r="CV100" s="13">
        <f t="shared" si="95"/>
        <v>53.006137800892326</v>
      </c>
      <c r="CW100" s="20">
        <f t="shared" si="67"/>
        <v>466.61294333655422</v>
      </c>
      <c r="CX100" s="59">
        <f t="shared" si="68"/>
        <v>759.94627666988754</v>
      </c>
      <c r="CY100" s="59">
        <f ca="1">AVERAGE(OFFSET($CX$3,0,0,'Données projet'!$E$13+1,1))-AVERAGE(OFFSET($H$3,0,0,'Données projet'!$E$13+1,1))</f>
        <v>354.24684313982857</v>
      </c>
      <c r="CZ100" s="59">
        <f t="shared" si="96"/>
        <v>322.65043486962185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25.218875968966071</v>
      </c>
      <c r="DG100" s="21">
        <f>EXP(-LN(2)/25)*DG99+(1-EXP(-LN(2)/25))/(LN(2)/25)*Calculateur!DB100*Calculateur!DD100*VLOOKUP('Données projet'!$B$13,Paramètres!$A$1:$I$89,3,0)*0.475*44/12</f>
        <v>15.103238549552769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40.322114518518838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1.7053025658242404E-13</v>
      </c>
      <c r="DP100" s="17">
        <f>DO100*VLOOKUP('Données projet'!$B$14,Paramètres!$A$1:$I$89,3,0)*VLOOKUP('Données projet'!$B$14,Paramètres!$A$1:$I$89,5,0)</f>
        <v>1.3301360013429075E-13</v>
      </c>
      <c r="DQ100" s="13">
        <f t="shared" si="97"/>
        <v>1.9329766731057041E-12</v>
      </c>
      <c r="DR100" s="20">
        <f t="shared" si="70"/>
        <v>3.5982663925596575E-12</v>
      </c>
      <c r="DS100" s="59">
        <f t="shared" si="71"/>
        <v>293.3333333333369</v>
      </c>
      <c r="DT100" s="59">
        <f ca="1">AVERAGE(OFFSET($DS$3,0,0,'Données projet'!$E$14+1,1))-AVERAGE(OFFSET($H$3,0,0,'Données projet'!$E$14+1,1))</f>
        <v>288.80569134263209</v>
      </c>
      <c r="DU100" s="59">
        <f t="shared" si="98"/>
        <v>283.48738729114024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46.599042196476404</v>
      </c>
      <c r="EB100" s="21">
        <f>EXP(-LN(2)/25)*EB99+(1-EXP(-LN(2)/25))/(LN(2)/25)*Calculateur!DW100*Calculateur!DY100*VLOOKUP('Données projet'!$B$14,Paramètres!$A$1:$I$89,3,0)*0.475*44/12</f>
        <v>31.382788433737403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77.981830630213807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-1.1368683772161603E-13</v>
      </c>
      <c r="EK100" s="17">
        <f>EJ100*VLOOKUP('Données projet'!$B$15,Paramètres!$A$1:$I$89,3,0)*VLOOKUP('Données projet'!$B$15,Paramètres!$A$1:$I$89,5,0)</f>
        <v>-6.3550942286383367E-14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335.04906256888819</v>
      </c>
      <c r="EP100" s="59">
        <f t="shared" si="100"/>
        <v>440.84111898279554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98.658225188783391</v>
      </c>
      <c r="EW100" s="21">
        <f>EXP(-LN(2)/25)*EW99+(1-EXP(-LN(2)/25))/(LN(2)/25)*Calculateur!ER100*Calculateur!ET100*VLOOKUP('Données projet'!$B$15,Paramètres!$A$1:$I$89,3,0)*0.475*44/12</f>
        <v>17.978356820000041</v>
      </c>
      <c r="EX100" s="21">
        <f>EXP(-LN(2)/2)*EX99+(1-EXP(-LN(2)/2))/(LN(2)/2)*ER100*EU100*VLOOKUP('Données projet'!$B$15,Paramètres!$A$1:$I$89,3,0)*0.475*44/12</f>
        <v>1.6289379121834027E-5</v>
      </c>
      <c r="EY100" s="22">
        <f t="shared" si="75"/>
        <v>116.63659829816255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1.7053025658242404E-13</v>
      </c>
      <c r="O101" s="13">
        <f>N101*VLOOKUP('Données projet'!$B$9,Paramètres!$A$1:$I$89,3,0)*VLOOKUP('Données projet'!$B$9,Paramètres!$A$1:$I$89,5,0)</f>
        <v>1.383341441396624E-13</v>
      </c>
      <c r="P101" s="13">
        <f t="shared" si="87"/>
        <v>2.0011390722884082E-12</v>
      </c>
      <c r="Q101" s="20">
        <f t="shared" si="107"/>
        <v>3.7262491852788889E-12</v>
      </c>
      <c r="R101" s="59">
        <f t="shared" si="55"/>
        <v>293.33333333333707</v>
      </c>
      <c r="S101" s="59">
        <f ca="1">AVERAGE(OFFSET($R$3,0,0,'Données projet'!$E$9+1,1))-AVERAGE(OFFSET($H$3,0,0,'Données projet'!$E$9+1,1))</f>
        <v>298.96480270023716</v>
      </c>
      <c r="T101" s="59">
        <f t="shared" si="88"/>
        <v>293.11447542333889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58.562132992951021</v>
      </c>
      <c r="AA101" s="21">
        <f>EXP(-LN(2)/25)*AA100+(1-EXP(-LN(2)/25))/(LN(2)/25)*Calculateur!V101*Calculateur!X101*VLOOKUP('Données projet'!$B$9,Paramètres!$A$1:$I$89,3,0)*0.475*44/12</f>
        <v>39.128309274041072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97.690442266992093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6.4031339031338979</v>
      </c>
      <c r="AI101" s="13">
        <f>IF('Données projet'!$A$62&gt;35,AI100+AH101-AQ100,IF(A101&lt;'Données projet'!$A$62,$AF$205^A101,IF(A101='Données projet'!$A$62,'Données projet'!$B$62,AI100+AH101-AQ100)))</f>
        <v>275.66096866096882</v>
      </c>
      <c r="AJ101" s="13">
        <f>AI101*VLOOKUP('Données projet'!$B$10,Paramètres!$A$1:$I$89,3,0)*VLOOKUP('Données projet'!$B$10,Paramètres!$A$1:$I$89,5,0)</f>
        <v>236.51711111111129</v>
      </c>
      <c r="AK101" s="13">
        <f t="shared" si="89"/>
        <v>57.689533616488191</v>
      </c>
      <c r="AL101" s="20">
        <f t="shared" si="58"/>
        <v>512.40990623390246</v>
      </c>
      <c r="AM101" s="59">
        <f t="shared" si="59"/>
        <v>805.74323956723583</v>
      </c>
      <c r="AN101" s="59">
        <f ca="1">AVERAGE(OFFSET($AM$3,0,0,'Données projet'!$E$10+1,1))-AVERAGE(OFFSET($H$3,0,0,'Données projet'!$E$10+1,1))</f>
        <v>335.02113791949211</v>
      </c>
      <c r="AO101" s="59">
        <f t="shared" si="90"/>
        <v>222.06886429435099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19.743374042366987</v>
      </c>
      <c r="AV101" s="21">
        <f>EXP(-LN(2)/25)*AV100+(1-EXP(-LN(2)/25))/(LN(2)/25)*Calculateur!AQ101*Calculateur!AS101*VLOOKUP('Données projet'!$B$10,Paramètres!$A$1:$I$89,3,0)*0.475*44/12</f>
        <v>25.045929864156346</v>
      </c>
      <c r="AW101" s="21">
        <f>EXP(-LN(2)/2)*AW100+(1-EXP(-LN(2)/2))/(LN(2)/2)*AQ101*AT101*VLOOKUP('Données projet'!$B$10,Paramètres!$A$1:$I$89,3,0)*0.475*44/12</f>
        <v>0.56110639358283143</v>
      </c>
      <c r="AX101" s="21">
        <f t="shared" si="60"/>
        <v>45.350410300106162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-3.1036506698001178E-14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207.02306964567629</v>
      </c>
      <c r="BJ101" s="59">
        <f t="shared" si="92"/>
        <v>342.06887933351783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21.382887738319702</v>
      </c>
      <c r="BQ101" s="21">
        <f>EXP(-LN(2)/25)*BQ100+(1-EXP(-LN(2)/25))/(LN(2)/25)*Calculateur!BL101*Calculateur!BN101*VLOOKUP('Données projet'!$B$11,Paramètres!$A$1:$I$89,3,0)*0.475*44/12</f>
        <v>30.024919663151326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51.407807401471032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233.89079999999998</v>
      </c>
      <c r="CA101" s="13">
        <f t="shared" si="93"/>
        <v>57.123140349023068</v>
      </c>
      <c r="CB101" s="20">
        <f t="shared" si="64"/>
        <v>506.84927944121517</v>
      </c>
      <c r="CC101" s="59">
        <f t="shared" si="65"/>
        <v>800.18261277454849</v>
      </c>
      <c r="CD101" s="59">
        <f ca="1">AVERAGE(OFFSET($CC$3,0,0,'Données projet'!$E$12+1,1))-AVERAGE(OFFSET($H$3,0,0,'Données projet'!$E$12+1,1))</f>
        <v>328.55201074501201</v>
      </c>
      <c r="CE101" s="59">
        <f t="shared" si="94"/>
        <v>321.81422611044985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23.441074225524666</v>
      </c>
      <c r="CL101" s="21">
        <f>EXP(-LN(2)/25)*CL100+(1-EXP(-LN(2)/25))/(LN(2)/25)*Calculateur!CG101*Calculateur!CI101*VLOOKUP('Données projet'!$B$12,Paramètres!$A$1:$I$89,3,0)*0.475*44/12</f>
        <v>3.4250051491818092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26.866079374706477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</v>
      </c>
      <c r="CT101" s="12">
        <f>IF('Données projet'!$A$140&gt;35,CT100+CS101-DB100,IF(A101&lt;'Données projet'!$A$140,$CQ$205^A101,IF(A101='Données projet'!$A$140,'Données projet'!$B$140,CT100+CS101-DB100)))</f>
        <v>249</v>
      </c>
      <c r="CU101" s="17">
        <f>CT101*VLOOKUP('Données projet'!$B$13,Paramètres!$A$1:$I$89,3,0)*VLOOKUP('Données projet'!$B$13,Paramètres!$A$1:$I$89,5,0)</f>
        <v>217.52640000000005</v>
      </c>
      <c r="CV101" s="13">
        <f t="shared" si="95"/>
        <v>53.576907690651254</v>
      </c>
      <c r="CW101" s="20">
        <f t="shared" si="67"/>
        <v>472.17159422788433</v>
      </c>
      <c r="CX101" s="59">
        <f t="shared" si="68"/>
        <v>765.50492756121764</v>
      </c>
      <c r="CY101" s="59">
        <f ca="1">AVERAGE(OFFSET($CX$3,0,0,'Données projet'!$E$13+1,1))-AVERAGE(OFFSET($H$3,0,0,'Données projet'!$E$13+1,1))</f>
        <v>354.24684313982857</v>
      </c>
      <c r="CZ101" s="59">
        <f t="shared" si="96"/>
        <v>322.65043486962185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24.724349193210141</v>
      </c>
      <c r="DG101" s="21">
        <f>EXP(-LN(2)/25)*DG100+(1-EXP(-LN(2)/25))/(LN(2)/25)*Calculateur!DB101*Calculateur!DD101*VLOOKUP('Données projet'!$B$13,Paramètres!$A$1:$I$89,3,0)*0.475*44/12</f>
        <v>14.690239697170451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39.414588890380593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1.7053025658242404E-13</v>
      </c>
      <c r="DP101" s="17">
        <f>DO101*VLOOKUP('Données projet'!$B$14,Paramètres!$A$1:$I$89,3,0)*VLOOKUP('Données projet'!$B$14,Paramètres!$A$1:$I$89,5,0)</f>
        <v>1.3301360013429075E-13</v>
      </c>
      <c r="DQ101" s="13">
        <f t="shared" si="97"/>
        <v>1.9329766731057041E-12</v>
      </c>
      <c r="DR101" s="20">
        <f t="shared" si="70"/>
        <v>3.5982663925596575E-12</v>
      </c>
      <c r="DS101" s="59">
        <f t="shared" si="71"/>
        <v>293.3333333333369</v>
      </c>
      <c r="DT101" s="59">
        <f ca="1">AVERAGE(OFFSET($DS$3,0,0,'Données projet'!$E$14+1,1))-AVERAGE(OFFSET($H$3,0,0,'Données projet'!$E$14+1,1))</f>
        <v>288.80569134263209</v>
      </c>
      <c r="DU101" s="59">
        <f t="shared" si="98"/>
        <v>283.48738729114024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45.685263401612744</v>
      </c>
      <c r="EB101" s="21">
        <f>EXP(-LN(2)/25)*EB100+(1-EXP(-LN(2)/25))/(LN(2)/25)*Calculateur!DW101*Calculateur!DY101*VLOOKUP('Données projet'!$B$14,Paramètres!$A$1:$I$89,3,0)*0.475*44/12</f>
        <v>30.524624433667736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76.209887835280483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-1.1368683772161603E-13</v>
      </c>
      <c r="EK101" s="17">
        <f>EJ101*VLOOKUP('Données projet'!$B$15,Paramètres!$A$1:$I$89,3,0)*VLOOKUP('Données projet'!$B$15,Paramètres!$A$1:$I$89,5,0)</f>
        <v>-6.3550942286383367E-14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335.04906256888819</v>
      </c>
      <c r="EP101" s="59">
        <f t="shared" si="100"/>
        <v>440.84111898279554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96.723597568406873</v>
      </c>
      <c r="EW101" s="21">
        <f>EXP(-LN(2)/25)*EW100+(1-EXP(-LN(2)/25))/(LN(2)/25)*Calculateur!ER101*Calculateur!ET101*VLOOKUP('Données projet'!$B$15,Paramètres!$A$1:$I$89,3,0)*0.475*44/12</f>
        <v>17.486737707316443</v>
      </c>
      <c r="EX101" s="21">
        <f>EXP(-LN(2)/2)*EX100+(1-EXP(-LN(2)/2))/(LN(2)/2)*ER101*EU101*VLOOKUP('Données projet'!$B$15,Paramètres!$A$1:$I$89,3,0)*0.475*44/12</f>
        <v>1.1518330438367409E-5</v>
      </c>
      <c r="EY101" s="22">
        <f t="shared" si="75"/>
        <v>114.21034679405375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1.7053025658242404E-13</v>
      </c>
      <c r="O102" s="13">
        <f>N102*VLOOKUP('Données projet'!$B$9,Paramètres!$A$1:$I$89,3,0)*VLOOKUP('Données projet'!$B$9,Paramètres!$A$1:$I$89,5,0)</f>
        <v>1.383341441396624E-13</v>
      </c>
      <c r="P102" s="13">
        <f t="shared" si="87"/>
        <v>2.0011390722884082E-12</v>
      </c>
      <c r="Q102" s="20">
        <f t="shared" si="107"/>
        <v>3.7262491852788889E-12</v>
      </c>
      <c r="R102" s="59">
        <f t="shared" si="55"/>
        <v>293.33333333333707</v>
      </c>
      <c r="S102" s="59">
        <f ca="1">AVERAGE(OFFSET($R$3,0,0,'Données projet'!$E$9+1,1))-AVERAGE(OFFSET($H$3,0,0,'Données projet'!$E$9+1,1))</f>
        <v>298.96480270023716</v>
      </c>
      <c r="T102" s="59">
        <f t="shared" si="88"/>
        <v>293.11447542333889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57.41376528433338</v>
      </c>
      <c r="AA102" s="21">
        <f>EXP(-LN(2)/25)*AA101+(1-EXP(-LN(2)/25))/(LN(2)/25)*Calculateur!V102*Calculateur!X102*VLOOKUP('Données projet'!$B$9,Paramètres!$A$1:$I$89,3,0)*0.475*44/12</f>
        <v>38.05834359927406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95.472108883607433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282.06410256410254</v>
      </c>
      <c r="AG102" s="12">
        <f>VLOOKUP(A102,'Données projet'!$A$61:$I$81,9,0)</f>
        <v>6.4031339031338979</v>
      </c>
      <c r="AH102" s="12">
        <f t="array" ref="AH102">INDEX(AG:AG,MIN(IF(ISNUMBER(AG102:AG298),ROW(AG102:AG298),"")))</f>
        <v>6.4031339031338979</v>
      </c>
      <c r="AI102" s="13">
        <f>IF('Données projet'!$A$62&gt;35,AI101+AH102-AQ101,IF(A102&lt;'Données projet'!$A$62,$AF$205^A102,IF(A102='Données projet'!$A$62,'Données projet'!$B$62,AI101+AH102-AQ101)))</f>
        <v>282.06410256410271</v>
      </c>
      <c r="AJ102" s="13">
        <f>AI102*VLOOKUP('Données projet'!$B$10,Paramètres!$A$1:$I$89,3,0)*VLOOKUP('Données projet'!$B$10,Paramètres!$A$1:$I$89,5,0)</f>
        <v>242.01100000000017</v>
      </c>
      <c r="AK102" s="13">
        <f t="shared" si="89"/>
        <v>58.871996581381531</v>
      </c>
      <c r="AL102" s="20">
        <f t="shared" si="58"/>
        <v>524.03788571257303</v>
      </c>
      <c r="AM102" s="59">
        <f t="shared" si="59"/>
        <v>817.3712190459064</v>
      </c>
      <c r="AN102" s="59">
        <f ca="1">AVERAGE(OFFSET($AM$3,0,0,'Données projet'!$E$10+1,1))-AVERAGE(OFFSET($H$3,0,0,'Données projet'!$E$10+1,1))</f>
        <v>335.02113791949211</v>
      </c>
      <c r="AO102" s="59">
        <f t="shared" si="90"/>
        <v>222.06886429435099</v>
      </c>
      <c r="AP102" s="15">
        <f>IF(ISNA(VLOOKUP(A102,'Données projet'!$A$61:$I$81,3,0)),0,VLOOKUP(A102,'Données projet'!$A$61:$I$81,3,0))</f>
        <v>8</v>
      </c>
      <c r="AQ102" s="15">
        <f>IF(ISNA(VLOOKUP(A102,'Données projet'!$A$61:$I$81,4,0)),0,VLOOKUP(A102,'Données projet'!$A$61:$I$81,4,0))</f>
        <v>53.749999999999993</v>
      </c>
      <c r="AR102" s="16">
        <f>IF(ISNA(VLOOKUP(A102,'Données projet'!$A$61:$I$81,5,0)),0%,VLOOKUP(A102,'Données projet'!$A$61:$I$81,5,0)*VLOOKUP('Données projet'!$B$10,Paramètres!$A$1:$I$89,7,0))</f>
        <v>0.21200000000000002</v>
      </c>
      <c r="AS102" s="16">
        <f>IF(ISNA(VLOOKUP(A102,'Données projet'!$A$61:$I$81,6,0)),0%,VLOOKUP(A102,'Données projet'!$A$61:$I$81,6,0)*VLOOKUP('Données projet'!$B$10,Paramètres!$A$1:$I$89,7,0))</f>
        <v>0.1855</v>
      </c>
      <c r="AT102" s="16">
        <f>IF(ISNA(VLOOKUP(A102,'Données projet'!$A$61:$I$81,7,0)),0%,VLOOKUP(A102,'Données projet'!$A$61:$I$81,7,0))</f>
        <v>0.2</v>
      </c>
      <c r="AU102" s="21">
        <f>EXP(-LN(2)/35)*AU101+(1-EXP(-LN(2)/35))/(LN(2)/35)*AQ102*AR102*VLOOKUP('Données projet'!$B$10,Paramètres!$A$1:$I$89,3,0)*0.475*44/12</f>
        <v>30.16430292802476</v>
      </c>
      <c r="AV102" s="21">
        <f>EXP(-LN(2)/25)*AV101+(1-EXP(-LN(2)/25))/(LN(2)/25)*Calculateur!AQ102*Calculateur!AS102*VLOOKUP('Données projet'!$B$10,Paramètres!$A$1:$I$89,3,0)*0.475*44/12</f>
        <v>33.78088534902345</v>
      </c>
      <c r="AW102" s="21">
        <f>EXP(-LN(2)/2)*AW101+(1-EXP(-LN(2)/2))/(LN(2)/2)*AQ102*AT102*VLOOKUP('Données projet'!$B$10,Paramètres!$A$1:$I$89,3,0)*0.475*44/12</f>
        <v>9.0993826327323468</v>
      </c>
      <c r="AX102" s="21">
        <f t="shared" si="60"/>
        <v>73.04457090978056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-3.1036506698001178E-14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207.02306964567629</v>
      </c>
      <c r="BJ102" s="59">
        <f t="shared" si="92"/>
        <v>342.06887933351783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20.963582352044956</v>
      </c>
      <c r="BQ102" s="21">
        <f>EXP(-LN(2)/25)*BQ101+(1-EXP(-LN(2)/25))/(LN(2)/25)*Calculateur!BL102*Calculateur!BN102*VLOOKUP('Données projet'!$B$11,Paramètres!$A$1:$I$89,3,0)*0.475*44/12</f>
        <v>29.203886656020551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50.16746900806551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233.89079999999998</v>
      </c>
      <c r="CA102" s="13">
        <f t="shared" si="93"/>
        <v>57.123140349023068</v>
      </c>
      <c r="CB102" s="20">
        <f t="shared" si="64"/>
        <v>506.84927944121517</v>
      </c>
      <c r="CC102" s="59">
        <f t="shared" si="65"/>
        <v>800.18261277454849</v>
      </c>
      <c r="CD102" s="59">
        <f ca="1">AVERAGE(OFFSET($CC$3,0,0,'Données projet'!$E$12+1,1))-AVERAGE(OFFSET($H$3,0,0,'Données projet'!$E$12+1,1))</f>
        <v>328.55201074501201</v>
      </c>
      <c r="CE102" s="59">
        <f t="shared" si="94"/>
        <v>321.81422611044985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22.981409057605632</v>
      </c>
      <c r="CL102" s="21">
        <f>EXP(-LN(2)/25)*CL101+(1-EXP(-LN(2)/25))/(LN(2)/25)*Calculateur!CG102*Calculateur!CI102*VLOOKUP('Données projet'!$B$12,Paramètres!$A$1:$I$89,3,0)*0.475*44/12</f>
        <v>3.3313482032642399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26.312757260869873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</v>
      </c>
      <c r="CT102" s="12">
        <f>IF('Données projet'!$A$140&gt;35,CT101+CS102-DB101,IF(A102&lt;'Données projet'!$A$140,$CQ$205^A102,IF(A102='Données projet'!$A$140,'Données projet'!$B$140,CT101+CS102-DB101)))</f>
        <v>252</v>
      </c>
      <c r="CU102" s="17">
        <f>CT102*VLOOKUP('Données projet'!$B$13,Paramètres!$A$1:$I$89,3,0)*VLOOKUP('Données projet'!$B$13,Paramètres!$A$1:$I$89,5,0)</f>
        <v>220.14720000000003</v>
      </c>
      <c r="CV102" s="13">
        <f t="shared" si="95"/>
        <v>54.146877667769687</v>
      </c>
      <c r="CW102" s="20">
        <f t="shared" si="67"/>
        <v>477.72885193803222</v>
      </c>
      <c r="CX102" s="59">
        <f t="shared" si="68"/>
        <v>771.06218527136548</v>
      </c>
      <c r="CY102" s="59">
        <f ca="1">AVERAGE(OFFSET($CX$3,0,0,'Données projet'!$E$13+1,1))-AVERAGE(OFFSET($H$3,0,0,'Données projet'!$E$13+1,1))</f>
        <v>354.24684313982857</v>
      </c>
      <c r="CZ102" s="59">
        <f t="shared" si="96"/>
        <v>322.65043486962185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24.239519785895236</v>
      </c>
      <c r="DG102" s="21">
        <f>EXP(-LN(2)/25)*DG101+(1-EXP(-LN(2)/25))/(LN(2)/25)*Calculateur!DB102*Calculateur!DD102*VLOOKUP('Données projet'!$B$13,Paramètres!$A$1:$I$89,3,0)*0.475*44/12</f>
        <v>14.288534320125194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38.528054106020434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1.7053025658242404E-13</v>
      </c>
      <c r="DP102" s="17">
        <f>DO102*VLOOKUP('Données projet'!$B$14,Paramètres!$A$1:$I$89,3,0)*VLOOKUP('Données projet'!$B$14,Paramètres!$A$1:$I$89,5,0)</f>
        <v>1.3301360013429075E-13</v>
      </c>
      <c r="DQ102" s="13">
        <f t="shared" si="97"/>
        <v>1.9329766731057041E-12</v>
      </c>
      <c r="DR102" s="20">
        <f t="shared" si="70"/>
        <v>3.5982663925596575E-12</v>
      </c>
      <c r="DS102" s="59">
        <f t="shared" si="71"/>
        <v>293.3333333333369</v>
      </c>
      <c r="DT102" s="59">
        <f ca="1">AVERAGE(OFFSET($DS$3,0,0,'Données projet'!$E$14+1,1))-AVERAGE(OFFSET($H$3,0,0,'Données projet'!$E$14+1,1))</f>
        <v>288.80569134263209</v>
      </c>
      <c r="DU102" s="59">
        <f t="shared" si="98"/>
        <v>283.48738729114024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44.789403251566327</v>
      </c>
      <c r="EB102" s="21">
        <f>EXP(-LN(2)/25)*EB101+(1-EXP(-LN(2)/25))/(LN(2)/25)*Calculateur!DW102*Calculateur!DY102*VLOOKUP('Données projet'!$B$14,Paramètres!$A$1:$I$89,3,0)*0.475*44/12</f>
        <v>29.689926973308857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74.479330224875184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-1.1368683772161603E-13</v>
      </c>
      <c r="EK102" s="17">
        <f>EJ102*VLOOKUP('Données projet'!$B$15,Paramètres!$A$1:$I$89,3,0)*VLOOKUP('Données projet'!$B$15,Paramètres!$A$1:$I$89,5,0)</f>
        <v>-6.3550942286383367E-14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335.04906256888819</v>
      </c>
      <c r="EP102" s="59">
        <f t="shared" si="100"/>
        <v>440.84111898279554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94.826906815659598</v>
      </c>
      <c r="EW102" s="21">
        <f>EXP(-LN(2)/25)*EW101+(1-EXP(-LN(2)/25))/(LN(2)/25)*Calculateur!ER102*Calculateur!ET102*VLOOKUP('Données projet'!$B$15,Paramètres!$A$1:$I$89,3,0)*0.475*44/12</f>
        <v>17.008561945122306</v>
      </c>
      <c r="EX102" s="21">
        <f>EXP(-LN(2)/2)*EX101+(1-EXP(-LN(2)/2))/(LN(2)/2)*ER102*EU102*VLOOKUP('Données projet'!$B$15,Paramètres!$A$1:$I$89,3,0)*0.475*44/12</f>
        <v>8.1446895609170135E-6</v>
      </c>
      <c r="EY102" s="22">
        <f t="shared" si="75"/>
        <v>111.83547690547147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1.7053025658242404E-13</v>
      </c>
      <c r="O103" s="13">
        <f>N103*VLOOKUP('Données projet'!$B$9,Paramètres!$A$1:$I$89,3,0)*VLOOKUP('Données projet'!$B$9,Paramètres!$A$1:$I$89,5,0)</f>
        <v>1.383341441396624E-13</v>
      </c>
      <c r="P103" s="13">
        <f t="shared" si="87"/>
        <v>2.0011390722884082E-12</v>
      </c>
      <c r="Q103" s="20">
        <f t="shared" si="107"/>
        <v>3.7262491852788889E-12</v>
      </c>
      <c r="R103" s="59">
        <f t="shared" si="55"/>
        <v>293.33333333333707</v>
      </c>
      <c r="S103" s="59">
        <f ca="1">AVERAGE(OFFSET($R$3,0,0,'Données projet'!$E$9+1,1))-AVERAGE(OFFSET($H$3,0,0,'Données projet'!$E$9+1,1))</f>
        <v>298.96480270023716</v>
      </c>
      <c r="T103" s="59">
        <f t="shared" si="88"/>
        <v>293.11447542333889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56.287916366046595</v>
      </c>
      <c r="AA103" s="21">
        <f>EXP(-LN(2)/25)*AA102+(1-EXP(-LN(2)/25))/(LN(2)/25)*Calculateur!V103*Calculateur!X103*VLOOKUP('Données projet'!$B$9,Paramètres!$A$1:$I$89,3,0)*0.475*44/12</f>
        <v>37.017636192150604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93.305552558197206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5.6367521367521407</v>
      </c>
      <c r="AI103" s="13">
        <f>IF('Données projet'!$A$62&gt;35,AI102+AH103-AQ102,IF(A103&lt;'Données projet'!$A$62,$AF$205^A103,IF(A103='Données projet'!$A$62,'Données projet'!$B$62,AI102+AH103-AQ102)))</f>
        <v>233.95085470085485</v>
      </c>
      <c r="AJ103" s="13">
        <f>AI103*VLOOKUP('Données projet'!$B$10,Paramètres!$A$1:$I$89,3,0)*VLOOKUP('Données projet'!$B$10,Paramètres!$A$1:$I$89,5,0)</f>
        <v>200.72983333333349</v>
      </c>
      <c r="AK103" s="13">
        <f t="shared" si="89"/>
        <v>49.904528983373083</v>
      </c>
      <c r="AL103" s="20">
        <f t="shared" si="58"/>
        <v>436.52151436826398</v>
      </c>
      <c r="AM103" s="59">
        <f t="shared" si="59"/>
        <v>729.85484770159724</v>
      </c>
      <c r="AN103" s="59">
        <f ca="1">AVERAGE(OFFSET($AM$3,0,0,'Données projet'!$E$10+1,1))-AVERAGE(OFFSET($H$3,0,0,'Données projet'!$E$10+1,1))</f>
        <v>335.02113791949211</v>
      </c>
      <c r="AO103" s="59">
        <f t="shared" si="90"/>
        <v>222.06886429435099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29.572799346014289</v>
      </c>
      <c r="AV103" s="21">
        <f>EXP(-LN(2)/25)*AV102+(1-EXP(-LN(2)/25))/(LN(2)/25)*Calculateur!AQ103*Calculateur!AS103*VLOOKUP('Données projet'!$B$10,Paramètres!$A$1:$I$89,3,0)*0.475*44/12</f>
        <v>32.85714526269485</v>
      </c>
      <c r="AW103" s="21">
        <f>EXP(-LN(2)/2)*AW102+(1-EXP(-LN(2)/2))/(LN(2)/2)*AQ103*AT103*VLOOKUP('Données projet'!$B$10,Paramètres!$A$1:$I$89,3,0)*0.475*44/12</f>
        <v>6.4342351642161431</v>
      </c>
      <c r="AX103" s="21">
        <f t="shared" si="60"/>
        <v>68.864179772925283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-3.1036506698001178E-14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207.02306964567629</v>
      </c>
      <c r="BJ103" s="59">
        <f t="shared" si="92"/>
        <v>342.06887933351783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20.552499288644025</v>
      </c>
      <c r="BQ103" s="21">
        <f>EXP(-LN(2)/25)*BQ102+(1-EXP(-LN(2)/25))/(LN(2)/25)*Calculateur!BL103*Calculateur!BN103*VLOOKUP('Données projet'!$B$11,Paramètres!$A$1:$I$89,3,0)*0.475*44/12</f>
        <v>28.405304839646014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48.957804128290036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233.89079999999998</v>
      </c>
      <c r="CA103" s="13">
        <f t="shared" si="93"/>
        <v>57.123140349023068</v>
      </c>
      <c r="CB103" s="20">
        <f t="shared" si="64"/>
        <v>506.84927944121517</v>
      </c>
      <c r="CC103" s="59">
        <f t="shared" si="65"/>
        <v>800.18261277454849</v>
      </c>
      <c r="CD103" s="59">
        <f ca="1">AVERAGE(OFFSET($CC$3,0,0,'Données projet'!$E$12+1,1))-AVERAGE(OFFSET($H$3,0,0,'Données projet'!$E$12+1,1))</f>
        <v>328.55201074501201</v>
      </c>
      <c r="CE103" s="59">
        <f t="shared" si="94"/>
        <v>321.81422611044985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22.53075764326142</v>
      </c>
      <c r="CL103" s="21">
        <f>EXP(-LN(2)/25)*CL102+(1-EXP(-LN(2)/25))/(LN(2)/25)*Calculateur!CG103*Calculateur!CI103*VLOOKUP('Données projet'!$B$12,Paramètres!$A$1:$I$89,3,0)*0.475*44/12</f>
        <v>3.2402523114579913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25.77100995471941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255</v>
      </c>
      <c r="CR103" s="12">
        <f>VLOOKUP(A103,'Données projet'!$A$139:$I$159,9,0)</f>
        <v>3</v>
      </c>
      <c r="CS103" s="12">
        <f t="array" ref="CS103">INDEX(CR:CR,MIN(IF(ISNUMBER(CR103:CR299),ROW(CR103:CR299),"")))</f>
        <v>3</v>
      </c>
      <c r="CT103" s="12">
        <f>IF('Données projet'!$A$140&gt;35,CT102+CS103-DB102,IF(A103&lt;'Données projet'!$A$140,$CQ$205^A103,IF(A103='Données projet'!$A$140,'Données projet'!$B$140,CT102+CS103-DB102)))</f>
        <v>255</v>
      </c>
      <c r="CU103" s="17">
        <f>CT103*VLOOKUP('Données projet'!$B$13,Paramètres!$A$1:$I$89,3,0)*VLOOKUP('Données projet'!$B$13,Paramètres!$A$1:$I$89,5,0)</f>
        <v>222.76800000000003</v>
      </c>
      <c r="CV103" s="13">
        <f t="shared" si="95"/>
        <v>54.716058356609508</v>
      </c>
      <c r="CW103" s="20">
        <f t="shared" si="67"/>
        <v>483.28473497109491</v>
      </c>
      <c r="CX103" s="59">
        <f t="shared" si="68"/>
        <v>776.61806830442822</v>
      </c>
      <c r="CY103" s="59">
        <f ca="1">AVERAGE(OFFSET($CX$3,0,0,'Données projet'!$E$13+1,1))-AVERAGE(OFFSET($H$3,0,0,'Données projet'!$E$13+1,1))</f>
        <v>354.24684313982857</v>
      </c>
      <c r="CZ103" s="59">
        <f t="shared" si="96"/>
        <v>322.65043486962185</v>
      </c>
      <c r="DA103" s="15">
        <f>IF(ISNA(VLOOKUP(A103,'Données projet'!$A$139:$I$159,3,0)),0,VLOOKUP(A103,'Données projet'!$A$139:$I$159,3,0))</f>
        <v>17</v>
      </c>
      <c r="DB103" s="15">
        <f>IF(ISNA(VLOOKUP(A103,'Données projet'!$A$139:$I$159,4,0)),0,VLOOKUP(A103,'Données projet'!$A$139:$I$159,4,0))</f>
        <v>255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8.6000000000000007E-2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97.889488665387702</v>
      </c>
      <c r="DG103" s="21">
        <f>EXP(-LN(2)/25)*DG102+(1-EXP(-LN(2)/25))/(LN(2)/25)*Calculateur!DB103*Calculateur!DD103*VLOOKUP('Données projet'!$B$13,Paramètres!$A$1:$I$89,3,0)*0.475*44/12</f>
        <v>34.993079758575156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132.88256842396285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1.7053025658242404E-13</v>
      </c>
      <c r="DP103" s="17">
        <f>DO103*VLOOKUP('Données projet'!$B$14,Paramètres!$A$1:$I$89,3,0)*VLOOKUP('Données projet'!$B$14,Paramètres!$A$1:$I$89,5,0)</f>
        <v>1.3301360013429075E-13</v>
      </c>
      <c r="DQ103" s="13">
        <f t="shared" si="97"/>
        <v>1.9329766731057041E-12</v>
      </c>
      <c r="DR103" s="20">
        <f t="shared" si="70"/>
        <v>3.5982663925596575E-12</v>
      </c>
      <c r="DS103" s="59">
        <f t="shared" si="71"/>
        <v>293.3333333333369</v>
      </c>
      <c r="DT103" s="59">
        <f ca="1">AVERAGE(OFFSET($DS$3,0,0,'Données projet'!$E$14+1,1))-AVERAGE(OFFSET($H$3,0,0,'Données projet'!$E$14+1,1))</f>
        <v>288.80569134263209</v>
      </c>
      <c r="DU103" s="59">
        <f t="shared" si="98"/>
        <v>283.48738729114024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43.911110372641581</v>
      </c>
      <c r="EB103" s="21">
        <f>EXP(-LN(2)/25)*EB102+(1-EXP(-LN(2)/25))/(LN(2)/25)*Calculateur!DW103*Calculateur!DY103*VLOOKUP('Données projet'!$B$14,Paramètres!$A$1:$I$89,3,0)*0.475*44/12</f>
        <v>28.878054358898325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72.789164731539898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-1.1368683772161603E-13</v>
      </c>
      <c r="EK103" s="17">
        <f>EJ103*VLOOKUP('Données projet'!$B$15,Paramètres!$A$1:$I$89,3,0)*VLOOKUP('Données projet'!$B$15,Paramètres!$A$1:$I$89,5,0)</f>
        <v>-6.3550942286383367E-14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335.04906256888819</v>
      </c>
      <c r="EP103" s="59">
        <f t="shared" si="100"/>
        <v>440.84111898279554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92.967409011706579</v>
      </c>
      <c r="EW103" s="21">
        <f>EXP(-LN(2)/25)*EW102+(1-EXP(-LN(2)/25))/(LN(2)/25)*Calculateur!ER103*Calculateur!ET103*VLOOKUP('Données projet'!$B$15,Paramètres!$A$1:$I$89,3,0)*0.475*44/12</f>
        <v>16.543461924291538</v>
      </c>
      <c r="EX103" s="21">
        <f>EXP(-LN(2)/2)*EX102+(1-EXP(-LN(2)/2))/(LN(2)/2)*ER103*EU103*VLOOKUP('Données projet'!$B$15,Paramètres!$A$1:$I$89,3,0)*0.475*44/12</f>
        <v>5.7591652191837045E-6</v>
      </c>
      <c r="EY103" s="22">
        <f t="shared" si="75"/>
        <v>109.51087669516333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1.7053025658242404E-13</v>
      </c>
      <c r="O104" s="13">
        <f>N104*VLOOKUP('Données projet'!$B$9,Paramètres!$A$1:$I$89,3,0)*VLOOKUP('Données projet'!$B$9,Paramètres!$A$1:$I$89,5,0)</f>
        <v>1.383341441396624E-13</v>
      </c>
      <c r="P104" s="13">
        <f t="shared" si="87"/>
        <v>2.0011390722884082E-12</v>
      </c>
      <c r="Q104" s="20">
        <f t="shared" si="107"/>
        <v>3.7262491852788889E-12</v>
      </c>
      <c r="R104" s="59">
        <f t="shared" si="55"/>
        <v>293.33333333333707</v>
      </c>
      <c r="S104" s="59">
        <f ca="1">AVERAGE(OFFSET($R$3,0,0,'Données projet'!$E$9+1,1))-AVERAGE(OFFSET($H$3,0,0,'Données projet'!$E$9+1,1))</f>
        <v>298.96480270023716</v>
      </c>
      <c r="T104" s="59">
        <f t="shared" si="88"/>
        <v>293.11447542333889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55.184144658347378</v>
      </c>
      <c r="AA104" s="21">
        <f>EXP(-LN(2)/25)*AA103+(1-EXP(-LN(2)/25))/(LN(2)/25)*Calculateur!V104*Calculateur!X104*VLOOKUP('Données projet'!$B$9,Paramètres!$A$1:$I$89,3,0)*0.475*44/12</f>
        <v>36.005386983803362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91.18953164215074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5.6367521367521407</v>
      </c>
      <c r="AI104" s="13">
        <f>IF('Données projet'!$A$62&gt;35,AI103+AH104-AQ103,IF(A104&lt;'Données projet'!$A$62,$AF$205^A104,IF(A104='Données projet'!$A$62,'Données projet'!$B$62,AI103+AH104-AQ103)))</f>
        <v>239.58760683760698</v>
      </c>
      <c r="AJ104" s="13">
        <f>AI104*VLOOKUP('Données projet'!$B$10,Paramètres!$A$1:$I$89,3,0)*VLOOKUP('Données projet'!$B$10,Paramètres!$A$1:$I$89,5,0)</f>
        <v>205.56616666666682</v>
      </c>
      <c r="AK104" s="13">
        <f t="shared" si="89"/>
        <v>50.965481506429725</v>
      </c>
      <c r="AL104" s="20">
        <f t="shared" si="58"/>
        <v>446.79262056814309</v>
      </c>
      <c r="AM104" s="59">
        <f t="shared" si="59"/>
        <v>740.12595390147635</v>
      </c>
      <c r="AN104" s="59">
        <f ca="1">AVERAGE(OFFSET($AM$3,0,0,'Données projet'!$E$10+1,1))-AVERAGE(OFFSET($H$3,0,0,'Données projet'!$E$10+1,1))</f>
        <v>335.02113791949211</v>
      </c>
      <c r="AO104" s="59">
        <f t="shared" si="90"/>
        <v>222.06886429435099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28.992894788465481</v>
      </c>
      <c r="AV104" s="21">
        <f>EXP(-LN(2)/25)*AV103+(1-EXP(-LN(2)/25))/(LN(2)/25)*Calculateur!AQ104*Calculateur!AS104*VLOOKUP('Données projet'!$B$10,Paramètres!$A$1:$I$89,3,0)*0.475*44/12</f>
        <v>31.958664897604287</v>
      </c>
      <c r="AW104" s="21">
        <f>EXP(-LN(2)/2)*AW103+(1-EXP(-LN(2)/2))/(LN(2)/2)*AQ104*AT104*VLOOKUP('Données projet'!$B$10,Paramètres!$A$1:$I$89,3,0)*0.475*44/12</f>
        <v>4.5496913163661743</v>
      </c>
      <c r="AX104" s="21">
        <f t="shared" si="60"/>
        <v>65.50125100243595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-3.1036506698001178E-14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207.02306964567629</v>
      </c>
      <c r="BJ104" s="59">
        <f t="shared" si="92"/>
        <v>342.06887933351783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20.149477313380476</v>
      </c>
      <c r="BQ104" s="21">
        <f>EXP(-LN(2)/25)*BQ103+(1-EXP(-LN(2)/25))/(LN(2)/25)*Calculateur!BL104*Calculateur!BN104*VLOOKUP('Données projet'!$B$11,Paramètres!$A$1:$I$89,3,0)*0.475*44/12</f>
        <v>27.628560285035835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47.778037598416311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233.89079999999998</v>
      </c>
      <c r="CA104" s="13">
        <f t="shared" si="93"/>
        <v>57.123140349023068</v>
      </c>
      <c r="CB104" s="20">
        <f t="shared" si="64"/>
        <v>506.84927944121517</v>
      </c>
      <c r="CC104" s="59">
        <f t="shared" si="65"/>
        <v>800.18261277454849</v>
      </c>
      <c r="CD104" s="59">
        <f ca="1">AVERAGE(OFFSET($CC$3,0,0,'Données projet'!$E$12+1,1))-AVERAGE(OFFSET($H$3,0,0,'Données projet'!$E$12+1,1))</f>
        <v>328.55201074501201</v>
      </c>
      <c r="CE104" s="59">
        <f t="shared" si="94"/>
        <v>321.81422611044985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22.088943228282275</v>
      </c>
      <c r="CL104" s="21">
        <f>EXP(-LN(2)/25)*CL103+(1-EXP(-LN(2)/25))/(LN(2)/25)*Calculateur!CG104*Calculateur!CI104*VLOOKUP('Données projet'!$B$12,Paramètres!$A$1:$I$89,3,0)*0.475*44/12</f>
        <v>3.1516474416037092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25.240590669885986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354.24684313982857</v>
      </c>
      <c r="CZ104" s="59">
        <f t="shared" si="96"/>
        <v>322.65043486962185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95.96993549935199</v>
      </c>
      <c r="DG104" s="21">
        <f>EXP(-LN(2)/25)*DG103+(1-EXP(-LN(2)/25))/(LN(2)/25)*Calculateur!DB104*Calculateur!DD104*VLOOKUP('Données projet'!$B$13,Paramètres!$A$1:$I$89,3,0)*0.475*44/12</f>
        <v>34.03619215237083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130.00612765172281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1.7053025658242404E-13</v>
      </c>
      <c r="DP104" s="17">
        <f>DO104*VLOOKUP('Données projet'!$B$14,Paramètres!$A$1:$I$89,3,0)*VLOOKUP('Données projet'!$B$14,Paramètres!$A$1:$I$89,5,0)</f>
        <v>1.3301360013429075E-13</v>
      </c>
      <c r="DQ104" s="13">
        <f t="shared" si="97"/>
        <v>1.9329766731057041E-12</v>
      </c>
      <c r="DR104" s="20">
        <f t="shared" si="70"/>
        <v>3.5982663925596575E-12</v>
      </c>
      <c r="DS104" s="59">
        <f t="shared" si="71"/>
        <v>293.3333333333369</v>
      </c>
      <c r="DT104" s="59">
        <f ca="1">AVERAGE(OFFSET($DS$3,0,0,'Données projet'!$E$14+1,1))-AVERAGE(OFFSET($H$3,0,0,'Données projet'!$E$14+1,1))</f>
        <v>288.80569134263209</v>
      </c>
      <c r="DU104" s="59">
        <f t="shared" si="98"/>
        <v>283.48738729114024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43.05004028136679</v>
      </c>
      <c r="EB104" s="21">
        <f>EXP(-LN(2)/25)*EB103+(1-EXP(-LN(2)/25))/(LN(2)/25)*Calculateur!DW104*Calculateur!DY104*VLOOKUP('Données projet'!$B$14,Paramètres!$A$1:$I$89,3,0)*0.475*44/12</f>
        <v>28.088382443823374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71.138422725190168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-1.1368683772161603E-13</v>
      </c>
      <c r="EK104" s="17">
        <f>EJ104*VLOOKUP('Données projet'!$B$15,Paramètres!$A$1:$I$89,3,0)*VLOOKUP('Données projet'!$B$15,Paramètres!$A$1:$I$89,5,0)</f>
        <v>-6.3550942286383367E-14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335.04906256888819</v>
      </c>
      <c r="EP104" s="59">
        <f t="shared" si="100"/>
        <v>440.84111898279554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91.144374825507398</v>
      </c>
      <c r="EW104" s="21">
        <f>EXP(-LN(2)/25)*EW103+(1-EXP(-LN(2)/25))/(LN(2)/25)*Calculateur!ER104*Calculateur!ET104*VLOOKUP('Données projet'!$B$15,Paramètres!$A$1:$I$89,3,0)*0.475*44/12</f>
        <v>16.091080087988935</v>
      </c>
      <c r="EX104" s="21">
        <f>EXP(-LN(2)/2)*EX103+(1-EXP(-LN(2)/2))/(LN(2)/2)*ER104*EU104*VLOOKUP('Données projet'!$B$15,Paramètres!$A$1:$I$89,3,0)*0.475*44/12</f>
        <v>4.0723447804585067E-6</v>
      </c>
      <c r="EY104" s="22">
        <f t="shared" si="75"/>
        <v>107.23545898584112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1.7053025658242404E-13</v>
      </c>
      <c r="O105" s="13">
        <f>N105*VLOOKUP('Données projet'!$B$9,Paramètres!$A$1:$I$89,3,0)*VLOOKUP('Données projet'!$B$9,Paramètres!$A$1:$I$89,5,0)</f>
        <v>1.383341441396624E-13</v>
      </c>
      <c r="P105" s="13">
        <f t="shared" si="87"/>
        <v>2.0011390722884082E-12</v>
      </c>
      <c r="Q105" s="20">
        <f t="shared" si="107"/>
        <v>3.7262491852788889E-12</v>
      </c>
      <c r="R105" s="59">
        <f t="shared" si="55"/>
        <v>293.33333333333707</v>
      </c>
      <c r="S105" s="59">
        <f ca="1">AVERAGE(OFFSET($R$3,0,0,'Données projet'!$E$9+1,1))-AVERAGE(OFFSET($H$3,0,0,'Données projet'!$E$9+1,1))</f>
        <v>298.96480270023716</v>
      </c>
      <c r="T105" s="59">
        <f t="shared" si="88"/>
        <v>293.11447542333889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54.102017240601874</v>
      </c>
      <c r="AA105" s="21">
        <f>EXP(-LN(2)/25)*AA104+(1-EXP(-LN(2)/25))/(LN(2)/25)*Calculateur!V105*Calculateur!X105*VLOOKUP('Données projet'!$B$9,Paramètres!$A$1:$I$89,3,0)*0.475*44/12</f>
        <v>35.020817783290248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89.122835023892122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5.6367521367521407</v>
      </c>
      <c r="AI105" s="13">
        <f>IF('Données projet'!$A$62&gt;35,AI104+AH105-AQ104,IF(A105&lt;'Données projet'!$A$62,$AF$205^A105,IF(A105='Données projet'!$A$62,'Données projet'!$B$62,AI104+AH105-AQ104)))</f>
        <v>245.22435897435912</v>
      </c>
      <c r="AJ105" s="13">
        <f>AI105*VLOOKUP('Données projet'!$B$10,Paramètres!$A$1:$I$89,3,0)*VLOOKUP('Données projet'!$B$10,Paramètres!$A$1:$I$89,5,0)</f>
        <v>210.40250000000015</v>
      </c>
      <c r="AK105" s="13">
        <f t="shared" si="89"/>
        <v>52.023532270510636</v>
      </c>
      <c r="AL105" s="20">
        <f t="shared" si="58"/>
        <v>457.05867287113961</v>
      </c>
      <c r="AM105" s="59">
        <f t="shared" si="59"/>
        <v>750.39200620447286</v>
      </c>
      <c r="AN105" s="59">
        <f ca="1">AVERAGE(OFFSET($AM$3,0,0,'Données projet'!$E$10+1,1))-AVERAGE(OFFSET($H$3,0,0,'Données projet'!$E$10+1,1))</f>
        <v>335.02113791949211</v>
      </c>
      <c r="AO105" s="59">
        <f t="shared" si="90"/>
        <v>222.06886429435099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28.424361805583352</v>
      </c>
      <c r="AV105" s="21">
        <f>EXP(-LN(2)/25)*AV104+(1-EXP(-LN(2)/25))/(LN(2)/25)*Calculateur!AQ105*Calculateur!AS105*VLOOKUP('Données projet'!$B$10,Paramètres!$A$1:$I$89,3,0)*0.475*44/12</f>
        <v>31.084753525346152</v>
      </c>
      <c r="AW105" s="21">
        <f>EXP(-LN(2)/2)*AW104+(1-EXP(-LN(2)/2))/(LN(2)/2)*AQ105*AT105*VLOOKUP('Données projet'!$B$10,Paramètres!$A$1:$I$89,3,0)*0.475*44/12</f>
        <v>3.217117582108072</v>
      </c>
      <c r="AX105" s="21">
        <f t="shared" si="60"/>
        <v>62.726232913037578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-3.1036506698001178E-14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207.02306964567629</v>
      </c>
      <c r="BJ105" s="59">
        <f t="shared" si="92"/>
        <v>342.06887933351783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19.754358353232714</v>
      </c>
      <c r="BQ105" s="21">
        <f>EXP(-LN(2)/25)*BQ104+(1-EXP(-LN(2)/25))/(LN(2)/25)*Calculateur!BL105*Calculateur!BN105*VLOOKUP('Données projet'!$B$11,Paramètres!$A$1:$I$89,3,0)*0.475*44/12</f>
        <v>26.873055851118689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46.627414204351403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233.89079999999998</v>
      </c>
      <c r="CA105" s="13">
        <f t="shared" si="93"/>
        <v>57.123140349023068</v>
      </c>
      <c r="CB105" s="20">
        <f t="shared" si="64"/>
        <v>506.84927944121517</v>
      </c>
      <c r="CC105" s="59">
        <f t="shared" si="65"/>
        <v>800.18261277454849</v>
      </c>
      <c r="CD105" s="59">
        <f ca="1">AVERAGE(OFFSET($CC$3,0,0,'Données projet'!$E$12+1,1))-AVERAGE(OFFSET($H$3,0,0,'Données projet'!$E$12+1,1))</f>
        <v>328.55201074501201</v>
      </c>
      <c r="CE105" s="59">
        <f t="shared" si="94"/>
        <v>321.81422611044985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21.65579252450069</v>
      </c>
      <c r="CL105" s="21">
        <f>EXP(-LN(2)/25)*CL104+(1-EXP(-LN(2)/25))/(LN(2)/25)*Calculateur!CG105*Calculateur!CI105*VLOOKUP('Données projet'!$B$12,Paramètres!$A$1:$I$89,3,0)*0.475*44/12</f>
        <v>3.0654654765751199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24.72125800107581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354.24684313982857</v>
      </c>
      <c r="CZ105" s="59">
        <f t="shared" si="96"/>
        <v>322.65043486962185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94.088023600090409</v>
      </c>
      <c r="DG105" s="21">
        <f>EXP(-LN(2)/25)*DG104+(1-EXP(-LN(2)/25))/(LN(2)/25)*Calculateur!DB105*Calculateur!DD105*VLOOKUP('Données projet'!$B$13,Paramètres!$A$1:$I$89,3,0)*0.475*44/12</f>
        <v>33.105470688078697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127.19349428816911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1.7053025658242404E-13</v>
      </c>
      <c r="DP105" s="17">
        <f>DO105*VLOOKUP('Données projet'!$B$14,Paramètres!$A$1:$I$89,3,0)*VLOOKUP('Données projet'!$B$14,Paramètres!$A$1:$I$89,5,0)</f>
        <v>1.3301360013429075E-13</v>
      </c>
      <c r="DQ105" s="13">
        <f t="shared" si="97"/>
        <v>1.9329766731057041E-12</v>
      </c>
      <c r="DR105" s="20">
        <f t="shared" si="70"/>
        <v>3.5982663925596575E-12</v>
      </c>
      <c r="DS105" s="59">
        <f t="shared" si="71"/>
        <v>293.3333333333369</v>
      </c>
      <c r="DT105" s="59">
        <f ca="1">AVERAGE(OFFSET($DS$3,0,0,'Données projet'!$E$14+1,1))-AVERAGE(OFFSET($H$3,0,0,'Données projet'!$E$14+1,1))</f>
        <v>288.80569134263209</v>
      </c>
      <c r="DU105" s="59">
        <f t="shared" si="98"/>
        <v>283.48738729114024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42.205855249381003</v>
      </c>
      <c r="EB105" s="21">
        <f>EXP(-LN(2)/25)*EB104+(1-EXP(-LN(2)/25))/(LN(2)/25)*Calculateur!DW105*Calculateur!DY105*VLOOKUP('Données projet'!$B$14,Paramètres!$A$1:$I$89,3,0)*0.475*44/12</f>
        <v>27.320304148793188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69.526159398174187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-1.1368683772161603E-13</v>
      </c>
      <c r="EK105" s="17">
        <f>EJ105*VLOOKUP('Données projet'!$B$15,Paramètres!$A$1:$I$89,3,0)*VLOOKUP('Données projet'!$B$15,Paramètres!$A$1:$I$89,5,0)</f>
        <v>-6.3550942286383367E-14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335.04906256888819</v>
      </c>
      <c r="EP105" s="59">
        <f t="shared" si="100"/>
        <v>440.84111898279554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89.357089227758536</v>
      </c>
      <c r="EW105" s="21">
        <f>EXP(-LN(2)/25)*EW104+(1-EXP(-LN(2)/25))/(LN(2)/25)*Calculateur!ER105*Calculateur!ET105*VLOOKUP('Données projet'!$B$15,Paramètres!$A$1:$I$89,3,0)*0.475*44/12</f>
        <v>15.651068656789752</v>
      </c>
      <c r="EX105" s="21">
        <f>EXP(-LN(2)/2)*EX104+(1-EXP(-LN(2)/2))/(LN(2)/2)*ER105*EU105*VLOOKUP('Données projet'!$B$15,Paramètres!$A$1:$I$89,3,0)*0.475*44/12</f>
        <v>2.8795826095918523E-6</v>
      </c>
      <c r="EY105" s="22">
        <f t="shared" si="75"/>
        <v>105.00816076413089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1.7053025658242404E-13</v>
      </c>
      <c r="O106" s="13">
        <f>N106*VLOOKUP('Données projet'!$B$9,Paramètres!$A$1:$I$89,3,0)*VLOOKUP('Données projet'!$B$9,Paramètres!$A$1:$I$89,5,0)</f>
        <v>1.383341441396624E-13</v>
      </c>
      <c r="P106" s="13">
        <f t="shared" si="87"/>
        <v>2.0011390722884082E-12</v>
      </c>
      <c r="Q106" s="20">
        <f t="shared" si="107"/>
        <v>3.7262491852788889E-12</v>
      </c>
      <c r="R106" s="59">
        <f t="shared" si="55"/>
        <v>293.33333333333707</v>
      </c>
      <c r="S106" s="59">
        <f ca="1">AVERAGE(OFFSET($R$3,0,0,'Données projet'!$E$9+1,1))-AVERAGE(OFFSET($H$3,0,0,'Données projet'!$E$9+1,1))</f>
        <v>298.96480270023716</v>
      </c>
      <c r="T106" s="59">
        <f t="shared" si="88"/>
        <v>293.11447542333889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53.041109681485814</v>
      </c>
      <c r="AA106" s="21">
        <f>EXP(-LN(2)/25)*AA105+(1-EXP(-LN(2)/25))/(LN(2)/25)*Calculateur!V106*Calculateur!X106*VLOOKUP('Données projet'!$B$9,Paramètres!$A$1:$I$89,3,0)*0.475*44/12</f>
        <v>34.063171679341409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87.10428136082723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5.6367521367521407</v>
      </c>
      <c r="AI106" s="13">
        <f>IF('Données projet'!$A$62&gt;35,AI105+AH106-AQ105,IF(A106&lt;'Données projet'!$A$62,$AF$205^A106,IF(A106='Données projet'!$A$62,'Données projet'!$B$62,AI105+AH106-AQ105)))</f>
        <v>250.86111111111126</v>
      </c>
      <c r="AJ106" s="13">
        <f>AI106*VLOOKUP('Données projet'!$B$10,Paramètres!$A$1:$I$89,3,0)*VLOOKUP('Données projet'!$B$10,Paramètres!$A$1:$I$89,5,0)</f>
        <v>215.2388333333335</v>
      </c>
      <c r="AK106" s="13">
        <f t="shared" si="89"/>
        <v>53.078755653347713</v>
      </c>
      <c r="AL106" s="20">
        <f t="shared" si="58"/>
        <v>467.31980081846979</v>
      </c>
      <c r="AM106" s="59">
        <f t="shared" si="59"/>
        <v>760.6531341518031</v>
      </c>
      <c r="AN106" s="59">
        <f ca="1">AVERAGE(OFFSET($AM$3,0,0,'Données projet'!$E$10+1,1))-AVERAGE(OFFSET($H$3,0,0,'Données projet'!$E$10+1,1))</f>
        <v>335.02113791949211</v>
      </c>
      <c r="AO106" s="59">
        <f t="shared" si="90"/>
        <v>222.06886429435099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27.866977407724661</v>
      </c>
      <c r="AV106" s="21">
        <f>EXP(-LN(2)/25)*AV105+(1-EXP(-LN(2)/25))/(LN(2)/25)*Calculateur!AQ106*Calculateur!AS106*VLOOKUP('Données projet'!$B$10,Paramètres!$A$1:$I$89,3,0)*0.475*44/12</f>
        <v>30.234739305519419</v>
      </c>
      <c r="AW106" s="21">
        <f>EXP(-LN(2)/2)*AW105+(1-EXP(-LN(2)/2))/(LN(2)/2)*AQ106*AT106*VLOOKUP('Données projet'!$B$10,Paramètres!$A$1:$I$89,3,0)*0.475*44/12</f>
        <v>2.2748456581830876</v>
      </c>
      <c r="AX106" s="21">
        <f t="shared" si="60"/>
        <v>60.37656237142717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-3.1036506698001178E-14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207.02306964567629</v>
      </c>
      <c r="BJ106" s="59">
        <f t="shared" si="92"/>
        <v>342.06887933351783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19.366987434894678</v>
      </c>
      <c r="BQ106" s="21">
        <f>EXP(-LN(2)/25)*BQ105+(1-EXP(-LN(2)/25))/(LN(2)/25)*Calculateur!BL106*Calculateur!BN106*VLOOKUP('Données projet'!$B$11,Paramètres!$A$1:$I$89,3,0)*0.475*44/12</f>
        <v>26.138210725677261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45.505198160571936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233.89079999999998</v>
      </c>
      <c r="CA106" s="13">
        <f t="shared" si="93"/>
        <v>57.123140349023068</v>
      </c>
      <c r="CB106" s="20">
        <f t="shared" si="64"/>
        <v>506.84927944121517</v>
      </c>
      <c r="CC106" s="59">
        <f t="shared" si="65"/>
        <v>800.18261277454849</v>
      </c>
      <c r="CD106" s="59">
        <f ca="1">AVERAGE(OFFSET($CC$3,0,0,'Données projet'!$E$12+1,1))-AVERAGE(OFFSET($H$3,0,0,'Données projet'!$E$12+1,1))</f>
        <v>328.55201074501201</v>
      </c>
      <c r="CE106" s="59">
        <f t="shared" si="94"/>
        <v>321.81422611044985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21.231135641824416</v>
      </c>
      <c r="CL106" s="21">
        <f>EXP(-LN(2)/25)*CL105+(1-EXP(-LN(2)/25))/(LN(2)/25)*Calculateur!CG106*Calculateur!CI106*VLOOKUP('Données projet'!$B$12,Paramètres!$A$1:$I$89,3,0)*0.475*44/12</f>
        <v>2.9816401619123503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24.212775803736765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354.24684313982857</v>
      </c>
      <c r="CZ106" s="59">
        <f t="shared" si="96"/>
        <v>322.65043486962185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92.243014845320431</v>
      </c>
      <c r="DG106" s="21">
        <f>EXP(-LN(2)/25)*DG105+(1-EXP(-LN(2)/25))/(LN(2)/25)*Calculateur!DB106*Calculateur!DD106*VLOOKUP('Données projet'!$B$13,Paramètres!$A$1:$I$89,3,0)*0.475*44/12</f>
        <v>32.200199851172144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124.44321469649257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1.7053025658242404E-13</v>
      </c>
      <c r="DP106" s="17">
        <f>DO106*VLOOKUP('Données projet'!$B$14,Paramètres!$A$1:$I$89,3,0)*VLOOKUP('Données projet'!$B$14,Paramètres!$A$1:$I$89,5,0)</f>
        <v>1.3301360013429075E-13</v>
      </c>
      <c r="DQ106" s="13">
        <f t="shared" si="97"/>
        <v>1.9329766731057041E-12</v>
      </c>
      <c r="DR106" s="20">
        <f t="shared" si="70"/>
        <v>3.5982663925596575E-12</v>
      </c>
      <c r="DS106" s="59">
        <f t="shared" si="71"/>
        <v>293.3333333333369</v>
      </c>
      <c r="DT106" s="59">
        <f ca="1">AVERAGE(OFFSET($DS$3,0,0,'Données projet'!$E$14+1,1))-AVERAGE(OFFSET($H$3,0,0,'Données projet'!$E$14+1,1))</f>
        <v>288.80569134263209</v>
      </c>
      <c r="DU106" s="59">
        <f t="shared" si="98"/>
        <v>283.48738729114024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41.378224170970434</v>
      </c>
      <c r="EB106" s="21">
        <f>EXP(-LN(2)/25)*EB105+(1-EXP(-LN(2)/25))/(LN(2)/25)*Calculateur!DW106*Calculateur!DY106*VLOOKUP('Données projet'!$B$14,Paramètres!$A$1:$I$89,3,0)*0.475*44/12</f>
        <v>26.573228995132084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67.95145316610251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-1.1368683772161603E-13</v>
      </c>
      <c r="EK106" s="17">
        <f>EJ106*VLOOKUP('Données projet'!$B$15,Paramètres!$A$1:$I$89,3,0)*VLOOKUP('Données projet'!$B$15,Paramètres!$A$1:$I$89,5,0)</f>
        <v>-6.3550942286383367E-14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335.04906256888819</v>
      </c>
      <c r="EP106" s="59">
        <f t="shared" si="100"/>
        <v>440.84111898279554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87.604851210444949</v>
      </c>
      <c r="EW106" s="21">
        <f>EXP(-LN(2)/25)*EW105+(1-EXP(-LN(2)/25))/(LN(2)/25)*Calculateur!ER106*Calculateur!ET106*VLOOKUP('Données projet'!$B$15,Paramètres!$A$1:$I$89,3,0)*0.475*44/12</f>
        <v>15.223089361315907</v>
      </c>
      <c r="EX106" s="21">
        <f>EXP(-LN(2)/2)*EX105+(1-EXP(-LN(2)/2))/(LN(2)/2)*ER106*EU106*VLOOKUP('Données projet'!$B$15,Paramètres!$A$1:$I$89,3,0)*0.475*44/12</f>
        <v>2.0361723902292534E-6</v>
      </c>
      <c r="EY106" s="22">
        <f t="shared" si="75"/>
        <v>102.82794260793324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1.7053025658242404E-13</v>
      </c>
      <c r="O107" s="13">
        <f>N107*VLOOKUP('Données projet'!$B$9,Paramètres!$A$1:$I$89,3,0)*VLOOKUP('Données projet'!$B$9,Paramètres!$A$1:$I$89,5,0)</f>
        <v>1.383341441396624E-13</v>
      </c>
      <c r="P107" s="13">
        <f t="shared" si="87"/>
        <v>2.0011390722884082E-12</v>
      </c>
      <c r="Q107" s="20">
        <f t="shared" si="107"/>
        <v>3.7262491852788889E-12</v>
      </c>
      <c r="R107" s="59">
        <f t="shared" si="55"/>
        <v>293.33333333333707</v>
      </c>
      <c r="S107" s="59">
        <f ca="1">AVERAGE(OFFSET($R$3,0,0,'Données projet'!$E$9+1,1))-AVERAGE(OFFSET($H$3,0,0,'Données projet'!$E$9+1,1))</f>
        <v>298.96480270023716</v>
      </c>
      <c r="T107" s="59">
        <f t="shared" si="88"/>
        <v>293.11447542333889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52.001005872514298</v>
      </c>
      <c r="AA107" s="21">
        <f>EXP(-LN(2)/25)*AA106+(1-EXP(-LN(2)/25))/(LN(2)/25)*Calculateur!V107*Calculateur!X107*VLOOKUP('Données projet'!$B$9,Paramètres!$A$1:$I$89,3,0)*0.475*44/12</f>
        <v>33.131712458465472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85.13271833097977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5.6367521367521407</v>
      </c>
      <c r="AI107" s="13">
        <f>IF('Données projet'!$A$62&gt;35,AI106+AH107-AQ106,IF(A107&lt;'Données projet'!$A$62,$AF$205^A107,IF(A107='Données projet'!$A$62,'Données projet'!$B$62,AI106+AH107-AQ106)))</f>
        <v>256.49786324786339</v>
      </c>
      <c r="AJ107" s="13">
        <f>AI107*VLOOKUP('Données projet'!$B$10,Paramètres!$A$1:$I$89,3,0)*VLOOKUP('Données projet'!$B$10,Paramètres!$A$1:$I$89,5,0)</f>
        <v>220.0751666666668</v>
      </c>
      <c r="AK107" s="13">
        <f t="shared" si="89"/>
        <v>54.13122249939012</v>
      </c>
      <c r="AL107" s="20">
        <f t="shared" si="58"/>
        <v>477.57612779754908</v>
      </c>
      <c r="AM107" s="59">
        <f t="shared" si="59"/>
        <v>770.90946113088239</v>
      </c>
      <c r="AN107" s="59">
        <f ca="1">AVERAGE(OFFSET($AM$3,0,0,'Données projet'!$E$10+1,1))-AVERAGE(OFFSET($H$3,0,0,'Données projet'!$E$10+1,1))</f>
        <v>335.02113791949211</v>
      </c>
      <c r="AO107" s="59">
        <f t="shared" si="90"/>
        <v>222.06886429435099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27.320522977937067</v>
      </c>
      <c r="AV107" s="21">
        <f>EXP(-LN(2)/25)*AV106+(1-EXP(-LN(2)/25))/(LN(2)/25)*Calculateur!AQ107*Calculateur!AS107*VLOOKUP('Données projet'!$B$10,Paramètres!$A$1:$I$89,3,0)*0.475*44/12</f>
        <v>29.407968769234152</v>
      </c>
      <c r="AW107" s="21">
        <f>EXP(-LN(2)/2)*AW106+(1-EXP(-LN(2)/2))/(LN(2)/2)*AQ107*AT107*VLOOKUP('Données projet'!$B$10,Paramètres!$A$1:$I$89,3,0)*0.475*44/12</f>
        <v>1.6085587910540362</v>
      </c>
      <c r="AX107" s="21">
        <f t="shared" si="60"/>
        <v>58.337050538225256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-3.1036506698001178E-14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207.02306964567629</v>
      </c>
      <c r="BJ107" s="59">
        <f t="shared" si="92"/>
        <v>342.06887933351783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18.987212623992324</v>
      </c>
      <c r="BQ107" s="21">
        <f>EXP(-LN(2)/25)*BQ106+(1-EXP(-LN(2)/25))/(LN(2)/25)*Calculateur!BL107*Calculateur!BN107*VLOOKUP('Données projet'!$B$11,Paramètres!$A$1:$I$89,3,0)*0.475*44/12</f>
        <v>25.423459978834853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44.410672602827177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233.89079999999998</v>
      </c>
      <c r="CA107" s="13">
        <f t="shared" si="93"/>
        <v>57.123140349023068</v>
      </c>
      <c r="CB107" s="20">
        <f t="shared" si="64"/>
        <v>506.84927944121517</v>
      </c>
      <c r="CC107" s="59">
        <f t="shared" si="65"/>
        <v>800.18261277454849</v>
      </c>
      <c r="CD107" s="59">
        <f ca="1">AVERAGE(OFFSET($CC$3,0,0,'Données projet'!$E$12+1,1))-AVERAGE(OFFSET($H$3,0,0,'Données projet'!$E$12+1,1))</f>
        <v>328.55201074501201</v>
      </c>
      <c r="CE107" s="59">
        <f t="shared" si="94"/>
        <v>321.81422611044985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20.814806021602301</v>
      </c>
      <c r="CL107" s="21">
        <f>EXP(-LN(2)/25)*CL106+(1-EXP(-LN(2)/25))/(LN(2)/25)*Calculateur!CG107*Calculateur!CI107*VLOOKUP('Données projet'!$B$12,Paramètres!$A$1:$I$89,3,0)*0.475*44/12</f>
        <v>2.9001070548872154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23.714913076489516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354.24684313982857</v>
      </c>
      <c r="CZ107" s="59">
        <f t="shared" si="96"/>
        <v>322.65043486962185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90.434185586887281</v>
      </c>
      <c r="DG107" s="21">
        <f>EXP(-LN(2)/25)*DG106+(1-EXP(-LN(2)/25))/(LN(2)/25)*Calculateur!DB107*Calculateur!DD107*VLOOKUP('Données projet'!$B$13,Paramètres!$A$1:$I$89,3,0)*0.475*44/12</f>
        <v>31.319683692906928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121.7538692797942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1.7053025658242404E-13</v>
      </c>
      <c r="DP107" s="17">
        <f>DO107*VLOOKUP('Données projet'!$B$14,Paramètres!$A$1:$I$89,3,0)*VLOOKUP('Données projet'!$B$14,Paramètres!$A$1:$I$89,5,0)</f>
        <v>1.3301360013429075E-13</v>
      </c>
      <c r="DQ107" s="13">
        <f t="shared" si="97"/>
        <v>1.9329766731057041E-12</v>
      </c>
      <c r="DR107" s="20">
        <f t="shared" si="70"/>
        <v>3.5982663925596575E-12</v>
      </c>
      <c r="DS107" s="59">
        <f t="shared" si="71"/>
        <v>293.3333333333369</v>
      </c>
      <c r="DT107" s="59">
        <f ca="1">AVERAGE(OFFSET($DS$3,0,0,'Données projet'!$E$14+1,1))-AVERAGE(OFFSET($H$3,0,0,'Données projet'!$E$14+1,1))</f>
        <v>288.80569134263209</v>
      </c>
      <c r="DU107" s="59">
        <f t="shared" si="98"/>
        <v>283.48738729114024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40.566822433202383</v>
      </c>
      <c r="EB107" s="21">
        <f>EXP(-LN(2)/25)*EB106+(1-EXP(-LN(2)/25))/(LN(2)/25)*Calculateur!DW107*Calculateur!DY107*VLOOKUP('Données projet'!$B$14,Paramètres!$A$1:$I$89,3,0)*0.475*44/12</f>
        <v>25.846582650834819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66.413405084037208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-1.1368683772161603E-13</v>
      </c>
      <c r="EK107" s="17">
        <f>EJ107*VLOOKUP('Données projet'!$B$15,Paramètres!$A$1:$I$89,3,0)*VLOOKUP('Données projet'!$B$15,Paramètres!$A$1:$I$89,5,0)</f>
        <v>-6.3550942286383367E-14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335.04906256888819</v>
      </c>
      <c r="EP107" s="59">
        <f t="shared" si="100"/>
        <v>440.84111898279554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85.886973511891227</v>
      </c>
      <c r="EW107" s="21">
        <f>EXP(-LN(2)/25)*EW106+(1-EXP(-LN(2)/25))/(LN(2)/25)*Calculateur!ER107*Calculateur!ET107*VLOOKUP('Données projet'!$B$15,Paramètres!$A$1:$I$89,3,0)*0.475*44/12</f>
        <v>14.806813182183246</v>
      </c>
      <c r="EX107" s="21">
        <f>EXP(-LN(2)/2)*EX106+(1-EXP(-LN(2)/2))/(LN(2)/2)*ER107*EU107*VLOOKUP('Données projet'!$B$15,Paramètres!$A$1:$I$89,3,0)*0.475*44/12</f>
        <v>1.4397913047959261E-6</v>
      </c>
      <c r="EY107" s="22">
        <f t="shared" si="75"/>
        <v>100.69378813386578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1.7053025658242404E-13</v>
      </c>
      <c r="O108" s="13">
        <f>N108*VLOOKUP('Données projet'!$B$9,Paramètres!$A$1:$I$89,3,0)*VLOOKUP('Données projet'!$B$9,Paramètres!$A$1:$I$89,5,0)</f>
        <v>1.383341441396624E-13</v>
      </c>
      <c r="P108" s="13">
        <f t="shared" si="87"/>
        <v>2.0011390722884082E-12</v>
      </c>
      <c r="Q108" s="20">
        <f t="shared" si="107"/>
        <v>3.7262491852788889E-12</v>
      </c>
      <c r="R108" s="59">
        <f t="shared" si="55"/>
        <v>293.33333333333707</v>
      </c>
      <c r="S108" s="59">
        <f ca="1">AVERAGE(OFFSET($R$3,0,0,'Données projet'!$E$9+1,1))-AVERAGE(OFFSET($H$3,0,0,'Données projet'!$E$9+1,1))</f>
        <v>298.96480270023716</v>
      </c>
      <c r="T108" s="59">
        <f t="shared" si="88"/>
        <v>293.11447542333889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50.981297864836037</v>
      </c>
      <c r="AA108" s="21">
        <f>EXP(-LN(2)/25)*AA107+(1-EXP(-LN(2)/25))/(LN(2)/25)*Calculateur!V108*Calculateur!X108*VLOOKUP('Données projet'!$B$9,Paramètres!$A$1:$I$89,3,0)*0.475*44/12</f>
        <v>32.225724038967698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83.207021903803735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5.6367521367521407</v>
      </c>
      <c r="AI108" s="13">
        <f>IF('Données projet'!$A$62&gt;35,AI107+AH108-AQ107,IF(A108&lt;'Données projet'!$A$62,$AF$205^A108,IF(A108='Données projet'!$A$62,'Données projet'!$B$62,AI107+AH108-AQ107)))</f>
        <v>262.13461538461553</v>
      </c>
      <c r="AJ108" s="13">
        <f>AI108*VLOOKUP('Données projet'!$B$10,Paramètres!$A$1:$I$89,3,0)*VLOOKUP('Données projet'!$B$10,Paramètres!$A$1:$I$89,5,0)</f>
        <v>224.91150000000013</v>
      </c>
      <c r="AK108" s="13">
        <f t="shared" si="89"/>
        <v>55.181000361552059</v>
      </c>
      <c r="AL108" s="20">
        <f t="shared" si="58"/>
        <v>487.82777146303675</v>
      </c>
      <c r="AM108" s="59">
        <f t="shared" si="59"/>
        <v>781.16110479637007</v>
      </c>
      <c r="AN108" s="59">
        <f ca="1">AVERAGE(OFFSET($AM$3,0,0,'Données projet'!$E$10+1,1))-AVERAGE(OFFSET($H$3,0,0,'Données projet'!$E$10+1,1))</f>
        <v>335.02113791949211</v>
      </c>
      <c r="AO108" s="59">
        <f t="shared" si="90"/>
        <v>222.06886429435099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26.784784186213315</v>
      </c>
      <c r="AV108" s="21">
        <f>EXP(-LN(2)/25)*AV107+(1-EXP(-LN(2)/25))/(LN(2)/25)*Calculateur!AQ108*Calculateur!AS108*VLOOKUP('Données projet'!$B$10,Paramètres!$A$1:$I$89,3,0)*0.475*44/12</f>
        <v>28.603806316741579</v>
      </c>
      <c r="AW108" s="21">
        <f>EXP(-LN(2)/2)*AW107+(1-EXP(-LN(2)/2))/(LN(2)/2)*AQ108*AT108*VLOOKUP('Données projet'!$B$10,Paramètres!$A$1:$I$89,3,0)*0.475*44/12</f>
        <v>1.1374228290915438</v>
      </c>
      <c r="AX108" s="21">
        <f t="shared" si="60"/>
        <v>56.526013332046439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-3.1036506698001178E-14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207.02306964567629</v>
      </c>
      <c r="BJ108" s="59">
        <f t="shared" si="92"/>
        <v>342.06887933351783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18.614884965491999</v>
      </c>
      <c r="BQ108" s="21">
        <f>EXP(-LN(2)/25)*BQ107+(1-EXP(-LN(2)/25))/(LN(2)/25)*Calculateur!BL108*Calculateur!BN108*VLOOKUP('Données projet'!$B$11,Paramètres!$A$1:$I$89,3,0)*0.475*44/12</f>
        <v>24.72825412875196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43.343139094243959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233.89079999999998</v>
      </c>
      <c r="CA108" s="13">
        <f t="shared" si="93"/>
        <v>57.123140349023068</v>
      </c>
      <c r="CB108" s="20">
        <f t="shared" si="64"/>
        <v>506.84927944121517</v>
      </c>
      <c r="CC108" s="59">
        <f t="shared" si="65"/>
        <v>800.18261277454849</v>
      </c>
      <c r="CD108" s="59">
        <f ca="1">AVERAGE(OFFSET($CC$3,0,0,'Données projet'!$E$12+1,1))-AVERAGE(OFFSET($H$3,0,0,'Données projet'!$E$12+1,1))</f>
        <v>328.55201074501201</v>
      </c>
      <c r="CE108" s="59">
        <f t="shared" si="94"/>
        <v>321.81422611044985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20.406640371296749</v>
      </c>
      <c r="CL108" s="21">
        <f>EXP(-LN(2)/25)*CL107+(1-EXP(-LN(2)/25))/(LN(2)/25)*Calculateur!CG108*Calculateur!CI108*VLOOKUP('Données projet'!$B$12,Paramètres!$A$1:$I$89,3,0)*0.475*44/12</f>
        <v>2.8208034749613229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23.227443846258073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354.24684313982857</v>
      </c>
      <c r="CZ108" s="59">
        <f t="shared" si="96"/>
        <v>322.65043486962185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88.660826366935098</v>
      </c>
      <c r="DG108" s="21">
        <f>EXP(-LN(2)/25)*DG107+(1-EXP(-LN(2)/25))/(LN(2)/25)*Calculateur!DB108*Calculateur!DD108*VLOOKUP('Données projet'!$B$13,Paramètres!$A$1:$I$89,3,0)*0.475*44/12</f>
        <v>30.463245295293806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119.1240716622289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1.7053025658242404E-13</v>
      </c>
      <c r="DP108" s="17">
        <f>DO108*VLOOKUP('Données projet'!$B$14,Paramètres!$A$1:$I$89,3,0)*VLOOKUP('Données projet'!$B$14,Paramètres!$A$1:$I$89,5,0)</f>
        <v>1.3301360013429075E-13</v>
      </c>
      <c r="DQ108" s="13">
        <f t="shared" si="97"/>
        <v>1.9329766731057041E-12</v>
      </c>
      <c r="DR108" s="20">
        <f t="shared" si="70"/>
        <v>3.5982663925596575E-12</v>
      </c>
      <c r="DS108" s="59">
        <f t="shared" si="71"/>
        <v>293.3333333333369</v>
      </c>
      <c r="DT108" s="59">
        <f ca="1">AVERAGE(OFFSET($DS$3,0,0,'Données projet'!$E$14+1,1))-AVERAGE(OFFSET($H$3,0,0,'Données projet'!$E$14+1,1))</f>
        <v>288.80569134263209</v>
      </c>
      <c r="DU108" s="59">
        <f t="shared" si="98"/>
        <v>283.48738729114024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39.771331788605771</v>
      </c>
      <c r="EB108" s="21">
        <f>EXP(-LN(2)/25)*EB107+(1-EXP(-LN(2)/25))/(LN(2)/25)*Calculateur!DW108*Calculateur!DY108*VLOOKUP('Données projet'!$B$14,Paramètres!$A$1:$I$89,3,0)*0.475*44/12</f>
        <v>25.139806489035031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64.911138277640802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-1.1368683772161603E-13</v>
      </c>
      <c r="EK108" s="17">
        <f>EJ108*VLOOKUP('Données projet'!$B$15,Paramètres!$A$1:$I$89,3,0)*VLOOKUP('Données projet'!$B$15,Paramètres!$A$1:$I$89,5,0)</f>
        <v>-6.3550942286383367E-14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335.04906256888819</v>
      </c>
      <c r="EP108" s="59">
        <f t="shared" si="100"/>
        <v>440.84111898279554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84.202782347204206</v>
      </c>
      <c r="EW108" s="21">
        <f>EXP(-LN(2)/25)*EW107+(1-EXP(-LN(2)/25))/(LN(2)/25)*Calculateur!ER108*Calculateur!ET108*VLOOKUP('Données projet'!$B$15,Paramètres!$A$1:$I$89,3,0)*0.475*44/12</f>
        <v>14.401920097059982</v>
      </c>
      <c r="EX108" s="21">
        <f>EXP(-LN(2)/2)*EX107+(1-EXP(-LN(2)/2))/(LN(2)/2)*ER108*EU108*VLOOKUP('Données projet'!$B$15,Paramètres!$A$1:$I$89,3,0)*0.475*44/12</f>
        <v>1.0180861951146267E-6</v>
      </c>
      <c r="EY108" s="22">
        <f t="shared" si="75"/>
        <v>98.604703462350386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1.7053025658242404E-13</v>
      </c>
      <c r="O109" s="13">
        <f>N109*VLOOKUP('Données projet'!$B$9,Paramètres!$A$1:$I$89,3,0)*VLOOKUP('Données projet'!$B$9,Paramètres!$A$1:$I$89,5,0)</f>
        <v>1.383341441396624E-13</v>
      </c>
      <c r="P109" s="13">
        <f t="shared" si="87"/>
        <v>2.0011390722884082E-12</v>
      </c>
      <c r="Q109" s="20">
        <f t="shared" si="107"/>
        <v>3.7262491852788889E-12</v>
      </c>
      <c r="R109" s="59">
        <f t="shared" si="55"/>
        <v>293.33333333333707</v>
      </c>
      <c r="S109" s="59">
        <f ca="1">AVERAGE(OFFSET($R$3,0,0,'Données projet'!$E$9+1,1))-AVERAGE(OFFSET($H$3,0,0,'Données projet'!$E$9+1,1))</f>
        <v>298.96480270023716</v>
      </c>
      <c r="T109" s="59">
        <f t="shared" si="88"/>
        <v>293.11447542333889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49.981585709227872</v>
      </c>
      <c r="AA109" s="21">
        <f>EXP(-LN(2)/25)*AA108+(1-EXP(-LN(2)/25))/(LN(2)/25)*Calculateur!V109*Calculateur!X109*VLOOKUP('Données projet'!$B$9,Paramètres!$A$1:$I$89,3,0)*0.475*44/12</f>
        <v>31.344509920444953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81.326095629672821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5.6367521367521407</v>
      </c>
      <c r="AI109" s="13">
        <f>IF('Données projet'!$A$62&gt;35,AI108+AH109-AQ108,IF(A109&lt;'Données projet'!$A$62,$AF$205^A109,IF(A109='Données projet'!$A$62,'Données projet'!$B$62,AI108+AH109-AQ108)))</f>
        <v>267.77136752136767</v>
      </c>
      <c r="AJ109" s="13">
        <f>AI109*VLOOKUP('Données projet'!$B$10,Paramètres!$A$1:$I$89,3,0)*VLOOKUP('Données projet'!$B$10,Paramètres!$A$1:$I$89,5,0)</f>
        <v>229.74783333333349</v>
      </c>
      <c r="AK109" s="13">
        <f t="shared" si="89"/>
        <v>56.228153721579723</v>
      </c>
      <c r="AL109" s="20">
        <f t="shared" si="58"/>
        <v>498.07484412064053</v>
      </c>
      <c r="AM109" s="59">
        <f t="shared" si="59"/>
        <v>791.40817745397385</v>
      </c>
      <c r="AN109" s="59">
        <f ca="1">AVERAGE(OFFSET($AM$3,0,0,'Données projet'!$E$10+1,1))-AVERAGE(OFFSET($H$3,0,0,'Données projet'!$E$10+1,1))</f>
        <v>335.02113791949211</v>
      </c>
      <c r="AO109" s="59">
        <f t="shared" si="90"/>
        <v>222.06886429435099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26.25955090542687</v>
      </c>
      <c r="AV109" s="21">
        <f>EXP(-LN(2)/25)*AV108+(1-EXP(-LN(2)/25))/(LN(2)/25)*Calculateur!AQ109*Calculateur!AS109*VLOOKUP('Données projet'!$B$10,Paramètres!$A$1:$I$89,3,0)*0.475*44/12</f>
        <v>27.82163372880148</v>
      </c>
      <c r="AW109" s="21">
        <f>EXP(-LN(2)/2)*AW108+(1-EXP(-LN(2)/2))/(LN(2)/2)*AQ109*AT109*VLOOKUP('Données projet'!$B$10,Paramètres!$A$1:$I$89,3,0)*0.475*44/12</f>
        <v>0.8042793955270181</v>
      </c>
      <c r="AX109" s="21">
        <f t="shared" si="60"/>
        <v>54.885464029755369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-3.1036506698001178E-14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207.02306964567629</v>
      </c>
      <c r="BJ109" s="59">
        <f t="shared" si="92"/>
        <v>342.06887933351783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18.24985842527742</v>
      </c>
      <c r="BQ109" s="21">
        <f>EXP(-LN(2)/25)*BQ108+(1-EXP(-LN(2)/25))/(LN(2)/25)*Calculateur!BL109*Calculateur!BN109*VLOOKUP('Données projet'!$B$11,Paramètres!$A$1:$I$89,3,0)*0.475*44/12</f>
        <v>24.052058719198872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42.301917144476292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233.89079999999998</v>
      </c>
      <c r="CA109" s="13">
        <f t="shared" si="93"/>
        <v>57.123140349023068</v>
      </c>
      <c r="CB109" s="20">
        <f t="shared" si="64"/>
        <v>506.84927944121517</v>
      </c>
      <c r="CC109" s="59">
        <f t="shared" si="65"/>
        <v>800.18261277454849</v>
      </c>
      <c r="CD109" s="59">
        <f ca="1">AVERAGE(OFFSET($CC$3,0,0,'Données projet'!$E$12+1,1))-AVERAGE(OFFSET($H$3,0,0,'Données projet'!$E$12+1,1))</f>
        <v>328.55201074501201</v>
      </c>
      <c r="CE109" s="59">
        <f t="shared" si="94"/>
        <v>321.81422611044985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20.006478600437227</v>
      </c>
      <c r="CL109" s="21">
        <f>EXP(-LN(2)/25)*CL108+(1-EXP(-LN(2)/25))/(LN(2)/25)*Calculateur!CG109*Calculateur!CI109*VLOOKUP('Données projet'!$B$12,Paramètres!$A$1:$I$89,3,0)*0.475*44/12</f>
        <v>2.7436684555988977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22.750147056036123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354.24684313982857</v>
      </c>
      <c r="CZ109" s="59">
        <f t="shared" si="96"/>
        <v>322.65043486962185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86.922241639643843</v>
      </c>
      <c r="DG109" s="21">
        <f>EXP(-LN(2)/25)*DG108+(1-EXP(-LN(2)/25))/(LN(2)/25)*Calculateur!DB109*Calculateur!DD109*VLOOKUP('Données projet'!$B$13,Paramètres!$A$1:$I$89,3,0)*0.475*44/12</f>
        <v>29.630226250701551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116.5524678903454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1.7053025658242404E-13</v>
      </c>
      <c r="DP109" s="17">
        <f>DO109*VLOOKUP('Données projet'!$B$14,Paramètres!$A$1:$I$89,3,0)*VLOOKUP('Données projet'!$B$14,Paramètres!$A$1:$I$89,5,0)</f>
        <v>1.3301360013429075E-13</v>
      </c>
      <c r="DQ109" s="13">
        <f t="shared" si="97"/>
        <v>1.9329766731057041E-12</v>
      </c>
      <c r="DR109" s="20">
        <f t="shared" si="70"/>
        <v>3.5982663925596575E-12</v>
      </c>
      <c r="DS109" s="59">
        <f t="shared" si="71"/>
        <v>293.3333333333369</v>
      </c>
      <c r="DT109" s="59">
        <f ca="1">AVERAGE(OFFSET($DS$3,0,0,'Données projet'!$E$14+1,1))-AVERAGE(OFFSET($H$3,0,0,'Données projet'!$E$14+1,1))</f>
        <v>288.80569134263209</v>
      </c>
      <c r="DU109" s="59">
        <f t="shared" si="98"/>
        <v>283.48738729114024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38.99144023034831</v>
      </c>
      <c r="EB109" s="21">
        <f>EXP(-LN(2)/25)*EB108+(1-EXP(-LN(2)/25))/(LN(2)/25)*Calculateur!DW109*Calculateur!DY109*VLOOKUP('Données projet'!$B$14,Paramètres!$A$1:$I$89,3,0)*0.475*44/12</f>
        <v>24.452357158547404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63.443797388895717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-1.1368683772161603E-13</v>
      </c>
      <c r="EK109" s="17">
        <f>EJ109*VLOOKUP('Données projet'!$B$15,Paramètres!$A$1:$I$89,3,0)*VLOOKUP('Données projet'!$B$15,Paramètres!$A$1:$I$89,5,0)</f>
        <v>-6.3550942286383367E-14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335.04906256888819</v>
      </c>
      <c r="EP109" s="59">
        <f t="shared" si="100"/>
        <v>440.84111898279554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82.551617144001526</v>
      </c>
      <c r="EW109" s="21">
        <f>EXP(-LN(2)/25)*EW108+(1-EXP(-LN(2)/25))/(LN(2)/25)*Calculateur!ER109*Calculateur!ET109*VLOOKUP('Données projet'!$B$15,Paramètres!$A$1:$I$89,3,0)*0.475*44/12</f>
        <v>14.008098834641816</v>
      </c>
      <c r="EX109" s="21">
        <f>EXP(-LN(2)/2)*EX108+(1-EXP(-LN(2)/2))/(LN(2)/2)*ER109*EU109*VLOOKUP('Données projet'!$B$15,Paramètres!$A$1:$I$89,3,0)*0.475*44/12</f>
        <v>7.1989565239796306E-7</v>
      </c>
      <c r="EY109" s="22">
        <f t="shared" si="75"/>
        <v>96.559716698538992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1.7053025658242404E-13</v>
      </c>
      <c r="O110" s="13">
        <f>N110*VLOOKUP('Données projet'!$B$9,Paramètres!$A$1:$I$89,3,0)*VLOOKUP('Données projet'!$B$9,Paramètres!$A$1:$I$89,5,0)</f>
        <v>1.383341441396624E-13</v>
      </c>
      <c r="P110" s="13">
        <f t="shared" si="87"/>
        <v>2.0011390722884082E-12</v>
      </c>
      <c r="Q110" s="20">
        <f t="shared" si="107"/>
        <v>3.7262491852788889E-12</v>
      </c>
      <c r="R110" s="59">
        <f t="shared" si="55"/>
        <v>293.33333333333707</v>
      </c>
      <c r="S110" s="59">
        <f ca="1">AVERAGE(OFFSET($R$3,0,0,'Données projet'!$E$9+1,1))-AVERAGE(OFFSET($H$3,0,0,'Données projet'!$E$9+1,1))</f>
        <v>298.96480270023716</v>
      </c>
      <c r="T110" s="59">
        <f t="shared" si="88"/>
        <v>293.11447542333889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49.001477299226977</v>
      </c>
      <c r="AA110" s="21">
        <f>EXP(-LN(2)/25)*AA109+(1-EXP(-LN(2)/25))/(LN(2)/25)*Calculateur!V110*Calculateur!X110*VLOOKUP('Données projet'!$B$9,Paramètres!$A$1:$I$89,3,0)*0.475*44/12</f>
        <v>30.487392648334247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79.488869947561227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5.6367521367521407</v>
      </c>
      <c r="AI110" s="13">
        <f>IF('Données projet'!$A$62&gt;35,AI109+AH110-AQ109,IF(A110&lt;'Données projet'!$A$62,$AF$205^A110,IF(A110='Données projet'!$A$62,'Données projet'!$B$62,AI109+AH110-AQ109)))</f>
        <v>273.4081196581198</v>
      </c>
      <c r="AJ110" s="13">
        <f>AI110*VLOOKUP('Données projet'!$B$10,Paramètres!$A$1:$I$89,3,0)*VLOOKUP('Données projet'!$B$10,Paramètres!$A$1:$I$89,5,0)</f>
        <v>234.58416666666682</v>
      </c>
      <c r="AK110" s="13">
        <f t="shared" si="89"/>
        <v>57.272744191339584</v>
      </c>
      <c r="AL110" s="20">
        <f t="shared" si="58"/>
        <v>508.31745307769455</v>
      </c>
      <c r="AM110" s="59">
        <f t="shared" si="59"/>
        <v>801.65078641102787</v>
      </c>
      <c r="AN110" s="59">
        <f ca="1">AVERAGE(OFFSET($AM$3,0,0,'Données projet'!$E$10+1,1))-AVERAGE(OFFSET($H$3,0,0,'Données projet'!$E$10+1,1))</f>
        <v>335.02113791949211</v>
      </c>
      <c r="AO110" s="59">
        <f t="shared" si="90"/>
        <v>222.06886429435099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25.74461712891598</v>
      </c>
      <c r="AV110" s="21">
        <f>EXP(-LN(2)/25)*AV109+(1-EXP(-LN(2)/25))/(LN(2)/25)*Calculateur!AQ110*Calculateur!AS110*VLOOKUP('Données projet'!$B$10,Paramètres!$A$1:$I$89,3,0)*0.475*44/12</f>
        <v>27.060849691411274</v>
      </c>
      <c r="AW110" s="21">
        <f>EXP(-LN(2)/2)*AW109+(1-EXP(-LN(2)/2))/(LN(2)/2)*AQ110*AT110*VLOOKUP('Données projet'!$B$10,Paramètres!$A$1:$I$89,3,0)*0.475*44/12</f>
        <v>0.5687114145457719</v>
      </c>
      <c r="AX110" s="21">
        <f t="shared" si="60"/>
        <v>53.374178234873028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-3.1036506698001178E-14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207.02306964567629</v>
      </c>
      <c r="BJ110" s="59">
        <f t="shared" si="92"/>
        <v>342.06887933351783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17.891989832872245</v>
      </c>
      <c r="BQ110" s="21">
        <f>EXP(-LN(2)/25)*BQ109+(1-EXP(-LN(2)/25))/(LN(2)/25)*Calculateur!BL110*Calculateur!BN110*VLOOKUP('Données projet'!$B$11,Paramètres!$A$1:$I$89,3,0)*0.475*44/12</f>
        <v>23.394353908679584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41.286343741551832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233.89079999999998</v>
      </c>
      <c r="CA110" s="13">
        <f t="shared" si="93"/>
        <v>57.123140349023068</v>
      </c>
      <c r="CB110" s="20">
        <f t="shared" si="64"/>
        <v>506.84927944121517</v>
      </c>
      <c r="CC110" s="59">
        <f t="shared" si="65"/>
        <v>800.18261277454849</v>
      </c>
      <c r="CD110" s="59">
        <f ca="1">AVERAGE(OFFSET($CC$3,0,0,'Données projet'!$E$12+1,1))-AVERAGE(OFFSET($H$3,0,0,'Données projet'!$E$12+1,1))</f>
        <v>328.55201074501201</v>
      </c>
      <c r="CE110" s="59">
        <f t="shared" si="94"/>
        <v>321.81422611044985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19.614163757829676</v>
      </c>
      <c r="CL110" s="21">
        <f>EXP(-LN(2)/25)*CL109+(1-EXP(-LN(2)/25))/(LN(2)/25)*Calculateur!CG110*Calculateur!CI110*VLOOKUP('Données projet'!$B$12,Paramètres!$A$1:$I$89,3,0)*0.475*44/12</f>
        <v>2.6686426973972925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22.282806455226968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354.24684313982857</v>
      </c>
      <c r="CZ110" s="59">
        <f t="shared" si="96"/>
        <v>322.65043486962185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85.217749498422805</v>
      </c>
      <c r="DG110" s="21">
        <f>EXP(-LN(2)/25)*DG109+(1-EXP(-LN(2)/25))/(LN(2)/25)*Calculateur!DB110*Calculateur!DD110*VLOOKUP('Données projet'!$B$13,Paramètres!$A$1:$I$89,3,0)*0.475*44/12</f>
        <v>28.819986155690238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114.03773565411305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1.7053025658242404E-13</v>
      </c>
      <c r="DP110" s="17">
        <f>DO110*VLOOKUP('Données projet'!$B$14,Paramètres!$A$1:$I$89,3,0)*VLOOKUP('Données projet'!$B$14,Paramètres!$A$1:$I$89,5,0)</f>
        <v>1.3301360013429075E-13</v>
      </c>
      <c r="DQ110" s="13">
        <f t="shared" si="97"/>
        <v>1.9329766731057041E-12</v>
      </c>
      <c r="DR110" s="20">
        <f t="shared" si="70"/>
        <v>3.5982663925596575E-12</v>
      </c>
      <c r="DS110" s="59">
        <f t="shared" si="71"/>
        <v>293.3333333333369</v>
      </c>
      <c r="DT110" s="59">
        <f ca="1">AVERAGE(OFFSET($DS$3,0,0,'Données projet'!$E$14+1,1))-AVERAGE(OFFSET($H$3,0,0,'Données projet'!$E$14+1,1))</f>
        <v>288.80569134263209</v>
      </c>
      <c r="DU110" s="59">
        <f t="shared" si="98"/>
        <v>283.48738729114024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38.226841869861403</v>
      </c>
      <c r="EB110" s="21">
        <f>EXP(-LN(2)/25)*EB109+(1-EXP(-LN(2)/25))/(LN(2)/25)*Calculateur!DW110*Calculateur!DY110*VLOOKUP('Données projet'!$B$14,Paramètres!$A$1:$I$89,3,0)*0.475*44/12</f>
        <v>23.783706166153348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62.010548036014754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-1.1368683772161603E-13</v>
      </c>
      <c r="EK110" s="17">
        <f>EJ110*VLOOKUP('Données projet'!$B$15,Paramètres!$A$1:$I$89,3,0)*VLOOKUP('Données projet'!$B$15,Paramètres!$A$1:$I$89,5,0)</f>
        <v>-6.3550942286383367E-14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335.04906256888819</v>
      </c>
      <c r="EP110" s="59">
        <f t="shared" si="100"/>
        <v>440.84111898279554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80.932830283322318</v>
      </c>
      <c r="EW110" s="21">
        <f>EXP(-LN(2)/25)*EW109+(1-EXP(-LN(2)/25))/(LN(2)/25)*Calculateur!ER110*Calculateur!ET110*VLOOKUP('Données projet'!$B$15,Paramètres!$A$1:$I$89,3,0)*0.475*44/12</f>
        <v>13.625046635354634</v>
      </c>
      <c r="EX110" s="21">
        <f>EXP(-LN(2)/2)*EX109+(1-EXP(-LN(2)/2))/(LN(2)/2)*ER110*EU110*VLOOKUP('Données projet'!$B$15,Paramètres!$A$1:$I$89,3,0)*0.475*44/12</f>
        <v>5.0904309755731334E-7</v>
      </c>
      <c r="EY110" s="22">
        <f t="shared" si="75"/>
        <v>94.557877427720058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1.7053025658242404E-13</v>
      </c>
      <c r="O111" s="13">
        <f>N111*VLOOKUP('Données projet'!$B$9,Paramètres!$A$1:$I$89,3,0)*VLOOKUP('Données projet'!$B$9,Paramètres!$A$1:$I$89,5,0)</f>
        <v>1.383341441396624E-13</v>
      </c>
      <c r="P111" s="13">
        <f t="shared" si="87"/>
        <v>2.0011390722884082E-12</v>
      </c>
      <c r="Q111" s="20">
        <f t="shared" si="107"/>
        <v>3.7262491852788889E-12</v>
      </c>
      <c r="R111" s="59">
        <f t="shared" si="55"/>
        <v>293.33333333333707</v>
      </c>
      <c r="S111" s="59">
        <f ca="1">AVERAGE(OFFSET($R$3,0,0,'Données projet'!$E$9+1,1))-AVERAGE(OFFSET($H$3,0,0,'Données projet'!$E$9+1,1))</f>
        <v>298.96480270023716</v>
      </c>
      <c r="T111" s="59">
        <f t="shared" si="88"/>
        <v>293.11447542333889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48.040588217339099</v>
      </c>
      <c r="AA111" s="21">
        <f>EXP(-LN(2)/25)*AA110+(1-EXP(-LN(2)/25))/(LN(2)/25)*Calculateur!V111*Calculateur!X111*VLOOKUP('Données projet'!$B$9,Paramètres!$A$1:$I$89,3,0)*0.475*44/12</f>
        <v>29.653713293103248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77.694301510442344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5.6367521367521407</v>
      </c>
      <c r="AI111" s="13">
        <f>IF('Données projet'!$A$62&gt;35,AI110+AH111-AQ110,IF(A111&lt;'Données projet'!$A$62,$AF$205^A111,IF(A111='Données projet'!$A$62,'Données projet'!$B$62,AI110+AH111-AQ110)))</f>
        <v>279.04487179487194</v>
      </c>
      <c r="AJ111" s="13">
        <f>AI111*VLOOKUP('Données projet'!$B$10,Paramètres!$A$1:$I$89,3,0)*VLOOKUP('Données projet'!$B$10,Paramètres!$A$1:$I$89,5,0)</f>
        <v>239.42050000000015</v>
      </c>
      <c r="AK111" s="13">
        <f t="shared" si="89"/>
        <v>58.314830697038467</v>
      </c>
      <c r="AL111" s="20">
        <f t="shared" si="58"/>
        <v>518.55570096400891</v>
      </c>
      <c r="AM111" s="59">
        <f t="shared" si="59"/>
        <v>811.88903429734228</v>
      </c>
      <c r="AN111" s="59">
        <f ca="1">AVERAGE(OFFSET($AM$3,0,0,'Données projet'!$E$10+1,1))-AVERAGE(OFFSET($H$3,0,0,'Données projet'!$E$10+1,1))</f>
        <v>335.02113791949211</v>
      </c>
      <c r="AO111" s="59">
        <f t="shared" si="90"/>
        <v>222.06886429435099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25.239780889683878</v>
      </c>
      <c r="AV111" s="21">
        <f>EXP(-LN(2)/25)*AV110+(1-EXP(-LN(2)/25))/(LN(2)/25)*Calculateur!AQ111*Calculateur!AS111*VLOOKUP('Données projet'!$B$10,Paramètres!$A$1:$I$89,3,0)*0.475*44/12</f>
        <v>26.320869333531395</v>
      </c>
      <c r="AW111" s="21">
        <f>EXP(-LN(2)/2)*AW110+(1-EXP(-LN(2)/2))/(LN(2)/2)*AQ111*AT111*VLOOKUP('Données projet'!$B$10,Paramètres!$A$1:$I$89,3,0)*0.475*44/12</f>
        <v>0.40213969776350905</v>
      </c>
      <c r="AX111" s="21">
        <f t="shared" si="60"/>
        <v>51.962789920978786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-3.1036506698001178E-14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207.02306964567629</v>
      </c>
      <c r="BJ111" s="59">
        <f t="shared" si="92"/>
        <v>342.06887933351783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17.541138825285845</v>
      </c>
      <c r="BQ111" s="21">
        <f>EXP(-LN(2)/25)*BQ110+(1-EXP(-LN(2)/25))/(LN(2)/25)*Calculateur!BL111*Calculateur!BN111*VLOOKUP('Données projet'!$B$11,Paramètres!$A$1:$I$89,3,0)*0.475*44/12</f>
        <v>22.754634070791138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40.295772896076983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233.89079999999998</v>
      </c>
      <c r="CA111" s="13">
        <f t="shared" si="93"/>
        <v>57.123140349023068</v>
      </c>
      <c r="CB111" s="20">
        <f t="shared" si="64"/>
        <v>506.84927944121517</v>
      </c>
      <c r="CC111" s="59">
        <f t="shared" si="65"/>
        <v>800.18261277454849</v>
      </c>
      <c r="CD111" s="59">
        <f ca="1">AVERAGE(OFFSET($CC$3,0,0,'Données projet'!$E$12+1,1))-AVERAGE(OFFSET($H$3,0,0,'Données projet'!$E$12+1,1))</f>
        <v>328.55201074501201</v>
      </c>
      <c r="CE111" s="59">
        <f t="shared" si="94"/>
        <v>321.81422611044985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19.229541969997236</v>
      </c>
      <c r="CL111" s="21">
        <f>EXP(-LN(2)/25)*CL110+(1-EXP(-LN(2)/25))/(LN(2)/25)*Calculateur!CG111*Calculateur!CI111*VLOOKUP('Données projet'!$B$12,Paramètres!$A$1:$I$89,3,0)*0.475*44/12</f>
        <v>2.5956685224991434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21.825210492496378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354.24684313982857</v>
      </c>
      <c r="CZ111" s="59">
        <f t="shared" si="96"/>
        <v>322.65043486962185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83.546681408453551</v>
      </c>
      <c r="DG111" s="21">
        <f>EXP(-LN(2)/25)*DG110+(1-EXP(-LN(2)/25))/(LN(2)/25)*Calculateur!DB111*Calculateur!DD111*VLOOKUP('Données projet'!$B$13,Paramètres!$A$1:$I$89,3,0)*0.475*44/12</f>
        <v>28.031902118685686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111.57858352713924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1.7053025658242404E-13</v>
      </c>
      <c r="DP111" s="17">
        <f>DO111*VLOOKUP('Données projet'!$B$14,Paramètres!$A$1:$I$89,3,0)*VLOOKUP('Données projet'!$B$14,Paramètres!$A$1:$I$89,5,0)</f>
        <v>1.3301360013429075E-13</v>
      </c>
      <c r="DQ111" s="13">
        <f t="shared" si="97"/>
        <v>1.9329766731057041E-12</v>
      </c>
      <c r="DR111" s="20">
        <f t="shared" si="70"/>
        <v>3.5982663925596575E-12</v>
      </c>
      <c r="DS111" s="59">
        <f t="shared" si="71"/>
        <v>293.3333333333369</v>
      </c>
      <c r="DT111" s="59">
        <f ca="1">AVERAGE(OFFSET($DS$3,0,0,'Données projet'!$E$14+1,1))-AVERAGE(OFFSET($H$3,0,0,'Données projet'!$E$14+1,1))</f>
        <v>288.80569134263209</v>
      </c>
      <c r="DU111" s="59">
        <f t="shared" si="98"/>
        <v>283.48738729114024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37.477236816864689</v>
      </c>
      <c r="EB111" s="21">
        <f>EXP(-LN(2)/25)*EB110+(1-EXP(-LN(2)/25))/(LN(2)/25)*Calculateur!DW111*Calculateur!DY111*VLOOKUP('Données projet'!$B$14,Paramètres!$A$1:$I$89,3,0)*0.475*44/12</f>
        <v>23.133339470309135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60.610576287173828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-1.1368683772161603E-13</v>
      </c>
      <c r="EK111" s="17">
        <f>EJ111*VLOOKUP('Données projet'!$B$15,Paramètres!$A$1:$I$89,3,0)*VLOOKUP('Données projet'!$B$15,Paramètres!$A$1:$I$89,5,0)</f>
        <v>-6.3550942286383367E-14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335.04906256888819</v>
      </c>
      <c r="EP111" s="59">
        <f t="shared" si="100"/>
        <v>440.84111898279554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79.345786845618534</v>
      </c>
      <c r="EW111" s="21">
        <f>EXP(-LN(2)/25)*EW110+(1-EXP(-LN(2)/25))/(LN(2)/25)*Calculateur!ER111*Calculateur!ET111*VLOOKUP('Données projet'!$B$15,Paramètres!$A$1:$I$89,3,0)*0.475*44/12</f>
        <v>13.252469018600799</v>
      </c>
      <c r="EX111" s="21">
        <f>EXP(-LN(2)/2)*EX110+(1-EXP(-LN(2)/2))/(LN(2)/2)*ER111*EU111*VLOOKUP('Données projet'!$B$15,Paramètres!$A$1:$I$89,3,0)*0.475*44/12</f>
        <v>3.5994782619898153E-7</v>
      </c>
      <c r="EY111" s="22">
        <f t="shared" si="75"/>
        <v>92.598256224167159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1.7053025658242404E-13</v>
      </c>
      <c r="O112" s="13">
        <f>N112*VLOOKUP('Données projet'!$B$9,Paramètres!$A$1:$I$89,3,0)*VLOOKUP('Données projet'!$B$9,Paramètres!$A$1:$I$89,5,0)</f>
        <v>1.383341441396624E-13</v>
      </c>
      <c r="P112" s="13">
        <f t="shared" si="87"/>
        <v>2.0011390722884082E-12</v>
      </c>
      <c r="Q112" s="20">
        <f t="shared" si="107"/>
        <v>3.7262491852788889E-12</v>
      </c>
      <c r="R112" s="59">
        <f t="shared" si="55"/>
        <v>293.33333333333707</v>
      </c>
      <c r="S112" s="59">
        <f ca="1">AVERAGE(OFFSET($R$3,0,0,'Données projet'!$E$9+1,1))-AVERAGE(OFFSET($H$3,0,0,'Données projet'!$E$9+1,1))</f>
        <v>298.96480270023716</v>
      </c>
      <c r="T112" s="59">
        <f t="shared" si="88"/>
        <v>293.11447542333889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47.09854158426257</v>
      </c>
      <c r="AA112" s="21">
        <f>EXP(-LN(2)/25)*AA111+(1-EXP(-LN(2)/25))/(LN(2)/25)*Calculateur!V112*Calculateur!X112*VLOOKUP('Données projet'!$B$9,Paramètres!$A$1:$I$89,3,0)*0.475*44/12</f>
        <v>28.842830943682333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75.941372527944907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5.6367521367521407</v>
      </c>
      <c r="AI112" s="13">
        <f>IF('Données projet'!$A$62&gt;35,AI111+AH112-AQ111,IF(A112&lt;'Données projet'!$A$62,$AF$205^A112,IF(A112='Données projet'!$A$62,'Données projet'!$B$62,AI111+AH112-AQ111)))</f>
        <v>284.68162393162407</v>
      </c>
      <c r="AJ112" s="13">
        <f>AI112*VLOOKUP('Données projet'!$B$10,Paramètres!$A$1:$I$89,3,0)*VLOOKUP('Données projet'!$B$10,Paramètres!$A$1:$I$89,5,0)</f>
        <v>244.2568333333335</v>
      </c>
      <c r="AK112" s="13">
        <f t="shared" si="89"/>
        <v>59.354469648137623</v>
      </c>
      <c r="AL112" s="20">
        <f t="shared" si="58"/>
        <v>528.78968602606221</v>
      </c>
      <c r="AM112" s="59">
        <f t="shared" si="59"/>
        <v>822.12301935939558</v>
      </c>
      <c r="AN112" s="59">
        <f ca="1">AVERAGE(OFFSET($AM$3,0,0,'Données projet'!$E$10+1,1))-AVERAGE(OFFSET($H$3,0,0,'Données projet'!$E$10+1,1))</f>
        <v>335.02113791949211</v>
      </c>
      <c r="AO112" s="59">
        <f t="shared" si="90"/>
        <v>222.06886429435099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24.744844181183414</v>
      </c>
      <c r="AV112" s="21">
        <f>EXP(-LN(2)/25)*AV111+(1-EXP(-LN(2)/25))/(LN(2)/25)*Calculateur!AQ112*Calculateur!AS112*VLOOKUP('Données projet'!$B$10,Paramètres!$A$1:$I$89,3,0)*0.475*44/12</f>
        <v>25.601123777451619</v>
      </c>
      <c r="AW112" s="21">
        <f>EXP(-LN(2)/2)*AW111+(1-EXP(-LN(2)/2))/(LN(2)/2)*AQ112*AT112*VLOOKUP('Données projet'!$B$10,Paramètres!$A$1:$I$89,3,0)*0.475*44/12</f>
        <v>0.28435570727288595</v>
      </c>
      <c r="AX112" s="21">
        <f t="shared" si="60"/>
        <v>50.630323665907916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-3.1036506698001178E-14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207.02306964567629</v>
      </c>
      <c r="BJ112" s="59">
        <f t="shared" si="92"/>
        <v>342.06887933351783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17.197167791960229</v>
      </c>
      <c r="BQ112" s="21">
        <f>EXP(-LN(2)/25)*BQ111+(1-EXP(-LN(2)/25))/(LN(2)/25)*Calculateur!BL112*Calculateur!BN112*VLOOKUP('Données projet'!$B$11,Paramètres!$A$1:$I$89,3,0)*0.475*44/12</f>
        <v>22.132407405511156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39.329575197471385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233.89079999999998</v>
      </c>
      <c r="CA112" s="13">
        <f t="shared" si="93"/>
        <v>57.123140349023068</v>
      </c>
      <c r="CB112" s="20">
        <f t="shared" si="64"/>
        <v>506.84927944121517</v>
      </c>
      <c r="CC112" s="59">
        <f t="shared" si="65"/>
        <v>800.18261277454849</v>
      </c>
      <c r="CD112" s="59">
        <f ca="1">AVERAGE(OFFSET($CC$3,0,0,'Données projet'!$E$12+1,1))-AVERAGE(OFFSET($H$3,0,0,'Données projet'!$E$12+1,1))</f>
        <v>328.55201074501201</v>
      </c>
      <c r="CE112" s="59">
        <f t="shared" si="94"/>
        <v>321.81422611044985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18.852462380828062</v>
      </c>
      <c r="CL112" s="21">
        <f>EXP(-LN(2)/25)*CL111+(1-EXP(-LN(2)/25))/(LN(2)/25)*Calculateur!CG112*Calculateur!CI112*VLOOKUP('Données projet'!$B$12,Paramètres!$A$1:$I$89,3,0)*0.475*44/12</f>
        <v>2.5246898302511291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21.377152211079192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354.24684313982857</v>
      </c>
      <c r="CZ112" s="59">
        <f t="shared" si="96"/>
        <v>322.65043486962185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81.908381944477711</v>
      </c>
      <c r="DG112" s="21">
        <f>EXP(-LN(2)/25)*DG111+(1-EXP(-LN(2)/25))/(LN(2)/25)*Calculateur!DB112*Calculateur!DD112*VLOOKUP('Données projet'!$B$13,Paramètres!$A$1:$I$89,3,0)*0.475*44/12</f>
        <v>27.265368281116562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109.17375022559428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1.7053025658242404E-13</v>
      </c>
      <c r="DP112" s="17">
        <f>DO112*VLOOKUP('Données projet'!$B$14,Paramètres!$A$1:$I$89,3,0)*VLOOKUP('Données projet'!$B$14,Paramètres!$A$1:$I$89,5,0)</f>
        <v>1.3301360013429075E-13</v>
      </c>
      <c r="DQ112" s="13">
        <f t="shared" si="97"/>
        <v>1.9329766731057041E-12</v>
      </c>
      <c r="DR112" s="20">
        <f t="shared" si="70"/>
        <v>3.5982663925596575E-12</v>
      </c>
      <c r="DS112" s="59">
        <f t="shared" si="71"/>
        <v>293.3333333333369</v>
      </c>
      <c r="DT112" s="59">
        <f ca="1">AVERAGE(OFFSET($DS$3,0,0,'Données projet'!$E$14+1,1))-AVERAGE(OFFSET($H$3,0,0,'Données projet'!$E$14+1,1))</f>
        <v>288.80569134263209</v>
      </c>
      <c r="DU112" s="59">
        <f t="shared" si="98"/>
        <v>283.48738729114024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36.742331061743307</v>
      </c>
      <c r="EB112" s="21">
        <f>EXP(-LN(2)/25)*EB111+(1-EXP(-LN(2)/25))/(LN(2)/25)*Calculateur!DW112*Calculateur!DY112*VLOOKUP('Données projet'!$B$14,Paramètres!$A$1:$I$89,3,0)*0.475*44/12</f>
        <v>22.500757085964082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59.24308814770739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-1.1368683772161603E-13</v>
      </c>
      <c r="EK112" s="17">
        <f>EJ112*VLOOKUP('Données projet'!$B$15,Paramètres!$A$1:$I$89,3,0)*VLOOKUP('Données projet'!$B$15,Paramètres!$A$1:$I$89,5,0)</f>
        <v>-6.3550942286383367E-14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335.04906256888819</v>
      </c>
      <c r="EP112" s="59">
        <f t="shared" si="100"/>
        <v>440.84111898279554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77.789864361727211</v>
      </c>
      <c r="EW112" s="21">
        <f>EXP(-LN(2)/25)*EW111+(1-EXP(-LN(2)/25))/(LN(2)/25)*Calculateur!ER112*Calculateur!ET112*VLOOKUP('Données projet'!$B$15,Paramètres!$A$1:$I$89,3,0)*0.475*44/12</f>
        <v>12.890079556370104</v>
      </c>
      <c r="EX112" s="21">
        <f>EXP(-LN(2)/2)*EX111+(1-EXP(-LN(2)/2))/(LN(2)/2)*ER112*EU112*VLOOKUP('Données projet'!$B$15,Paramètres!$A$1:$I$89,3,0)*0.475*44/12</f>
        <v>2.5452154877865667E-7</v>
      </c>
      <c r="EY112" s="22">
        <f t="shared" si="75"/>
        <v>90.67994417261886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1.7053025658242404E-13</v>
      </c>
      <c r="O113" s="13">
        <f>N113*VLOOKUP('Données projet'!$B$9,Paramètres!$A$1:$I$89,3,0)*VLOOKUP('Données projet'!$B$9,Paramètres!$A$1:$I$89,5,0)</f>
        <v>1.383341441396624E-13</v>
      </c>
      <c r="P113" s="13">
        <f t="shared" si="87"/>
        <v>2.0011390722884082E-12</v>
      </c>
      <c r="Q113" s="20">
        <f t="shared" si="107"/>
        <v>3.7262491852788889E-12</v>
      </c>
      <c r="R113" s="59">
        <f t="shared" si="55"/>
        <v>293.33333333333707</v>
      </c>
      <c r="S113" s="59">
        <f ca="1">AVERAGE(OFFSET($R$3,0,0,'Données projet'!$E$9+1,1))-AVERAGE(OFFSET($H$3,0,0,'Données projet'!$E$9+1,1))</f>
        <v>298.96480270023716</v>
      </c>
      <c r="T113" s="59">
        <f t="shared" si="88"/>
        <v>293.11447542333889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46.174967911068961</v>
      </c>
      <c r="AA113" s="21">
        <f>EXP(-LN(2)/25)*AA112+(1-EXP(-LN(2)/25))/(LN(2)/25)*Calculateur!V113*Calculateur!X113*VLOOKUP('Données projet'!$B$9,Paramètres!$A$1:$I$89,3,0)*0.475*44/12</f>
        <v>28.05412221474878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74.229090125817748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5.6367521367521407</v>
      </c>
      <c r="AI113" s="13">
        <f>IF('Données projet'!$A$62&gt;35,AI112+AH113-AQ112,IF(A113&lt;'Données projet'!$A$62,$AF$205^A113,IF(A113='Données projet'!$A$62,'Données projet'!$B$62,AI112+AH113-AQ112)))</f>
        <v>290.31837606837621</v>
      </c>
      <c r="AJ113" s="13">
        <f>AI113*VLOOKUP('Données projet'!$B$10,Paramètres!$A$1:$I$89,3,0)*VLOOKUP('Données projet'!$B$10,Paramètres!$A$1:$I$89,5,0)</f>
        <v>249.09316666666683</v>
      </c>
      <c r="AK113" s="13">
        <f t="shared" si="89"/>
        <v>60.391715092511546</v>
      </c>
      <c r="AL113" s="20">
        <f t="shared" si="58"/>
        <v>539.01950239723567</v>
      </c>
      <c r="AM113" s="59">
        <f t="shared" si="59"/>
        <v>832.35283573056904</v>
      </c>
      <c r="AN113" s="59">
        <f ca="1">AVERAGE(OFFSET($AM$3,0,0,'Données projet'!$E$10+1,1))-AVERAGE(OFFSET($H$3,0,0,'Données projet'!$E$10+1,1))</f>
        <v>335.02113791949211</v>
      </c>
      <c r="AO113" s="59">
        <f t="shared" si="90"/>
        <v>222.06886429435099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24.259612879655062</v>
      </c>
      <c r="AV113" s="21">
        <f>EXP(-LN(2)/25)*AV112+(1-EXP(-LN(2)/25))/(LN(2)/25)*Calculateur!AQ113*Calculateur!AS113*VLOOKUP('Données projet'!$B$10,Paramètres!$A$1:$I$89,3,0)*0.475*44/12</f>
        <v>24.901059701452617</v>
      </c>
      <c r="AW113" s="21">
        <f>EXP(-LN(2)/2)*AW112+(1-EXP(-LN(2)/2))/(LN(2)/2)*AQ113*AT113*VLOOKUP('Données projet'!$B$10,Paramètres!$A$1:$I$89,3,0)*0.475*44/12</f>
        <v>0.20106984888175453</v>
      </c>
      <c r="AX113" s="21">
        <f t="shared" si="60"/>
        <v>49.361742429989427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-3.1036506698001178E-14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207.02306964567629</v>
      </c>
      <c r="BJ113" s="59">
        <f t="shared" si="92"/>
        <v>342.06887933351783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16.859941820796518</v>
      </c>
      <c r="BQ113" s="21">
        <f>EXP(-LN(2)/25)*BQ112+(1-EXP(-LN(2)/25))/(LN(2)/25)*Calculateur!BL113*Calculateur!BN113*VLOOKUP('Données projet'!$B$11,Paramètres!$A$1:$I$89,3,0)*0.475*44/12</f>
        <v>21.527195561114731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38.387137381911245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233.89079999999998</v>
      </c>
      <c r="CA113" s="13">
        <f t="shared" si="93"/>
        <v>57.123140349023068</v>
      </c>
      <c r="CB113" s="20">
        <f t="shared" si="64"/>
        <v>506.84927944121517</v>
      </c>
      <c r="CC113" s="59">
        <f t="shared" si="65"/>
        <v>800.18261277454849</v>
      </c>
      <c r="CD113" s="59">
        <f ca="1">AVERAGE(OFFSET($CC$3,0,0,'Données projet'!$E$12+1,1))-AVERAGE(OFFSET($H$3,0,0,'Données projet'!$E$12+1,1))</f>
        <v>328.55201074501201</v>
      </c>
      <c r="CE113" s="59">
        <f t="shared" si="94"/>
        <v>321.81422611044985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18.482777092406657</v>
      </c>
      <c r="CL113" s="21">
        <f>EXP(-LN(2)/25)*CL112+(1-EXP(-LN(2)/25))/(LN(2)/25)*Calculateur!CG113*Calculateur!CI113*VLOOKUP('Données projet'!$B$12,Paramètres!$A$1:$I$89,3,0)*0.475*44/12</f>
        <v>2.455652054075244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20.938429146481901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354.24684313982857</v>
      </c>
      <c r="CZ113" s="59">
        <f t="shared" si="96"/>
        <v>322.65043486962185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80.302208533726429</v>
      </c>
      <c r="DG113" s="21">
        <f>EXP(-LN(2)/25)*DG112+(1-EXP(-LN(2)/25))/(LN(2)/25)*Calculateur!DB113*Calculateur!DD113*VLOOKUP('Données projet'!$B$13,Paramètres!$A$1:$I$89,3,0)*0.475*44/12</f>
        <v>26.519795351646028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106.82200388537245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1.7053025658242404E-13</v>
      </c>
      <c r="DP113" s="17">
        <f>DO113*VLOOKUP('Données projet'!$B$14,Paramètres!$A$1:$I$89,3,0)*VLOOKUP('Données projet'!$B$14,Paramètres!$A$1:$I$89,5,0)</f>
        <v>1.3301360013429075E-13</v>
      </c>
      <c r="DQ113" s="13">
        <f t="shared" si="97"/>
        <v>1.9329766731057041E-12</v>
      </c>
      <c r="DR113" s="20">
        <f t="shared" si="70"/>
        <v>3.5982663925596575E-12</v>
      </c>
      <c r="DS113" s="59">
        <f t="shared" si="71"/>
        <v>293.3333333333369</v>
      </c>
      <c r="DT113" s="59">
        <f ca="1">AVERAGE(OFFSET($DS$3,0,0,'Données projet'!$E$14+1,1))-AVERAGE(OFFSET($H$3,0,0,'Données projet'!$E$14+1,1))</f>
        <v>288.80569134263209</v>
      </c>
      <c r="DU113" s="59">
        <f t="shared" si="98"/>
        <v>283.48738729114024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36.021836360231603</v>
      </c>
      <c r="EB113" s="21">
        <f>EXP(-LN(2)/25)*EB112+(1-EXP(-LN(2)/25))/(LN(2)/25)*Calculateur!DW113*Calculateur!DY113*VLOOKUP('Données projet'!$B$14,Paramètres!$A$1:$I$89,3,0)*0.475*44/12</f>
        <v>21.885472700185005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57.907309060416608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-1.1368683772161603E-13</v>
      </c>
      <c r="EK113" s="17">
        <f>EJ113*VLOOKUP('Données projet'!$B$15,Paramètres!$A$1:$I$89,3,0)*VLOOKUP('Données projet'!$B$15,Paramètres!$A$1:$I$89,5,0)</f>
        <v>-6.3550942286383367E-14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335.04906256888819</v>
      </c>
      <c r="EP113" s="59">
        <f t="shared" si="100"/>
        <v>440.84111898279554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76.264452568725986</v>
      </c>
      <c r="EW113" s="21">
        <f>EXP(-LN(2)/25)*EW112+(1-EXP(-LN(2)/25))/(LN(2)/25)*Calculateur!ER113*Calculateur!ET113*VLOOKUP('Données projet'!$B$15,Paramètres!$A$1:$I$89,3,0)*0.475*44/12</f>
        <v>12.53759965304134</v>
      </c>
      <c r="EX113" s="21">
        <f>EXP(-LN(2)/2)*EX112+(1-EXP(-LN(2)/2))/(LN(2)/2)*ER113*EU113*VLOOKUP('Données projet'!$B$15,Paramètres!$A$1:$I$89,3,0)*0.475*44/12</f>
        <v>1.7997391309949077E-7</v>
      </c>
      <c r="EY113" s="22">
        <f t="shared" si="75"/>
        <v>88.802052401741236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1.7053025658242404E-13</v>
      </c>
      <c r="O114" s="13">
        <f>N114*VLOOKUP('Données projet'!$B$9,Paramètres!$A$1:$I$89,3,0)*VLOOKUP('Données projet'!$B$9,Paramètres!$A$1:$I$89,5,0)</f>
        <v>1.383341441396624E-13</v>
      </c>
      <c r="P114" s="13">
        <f t="shared" si="87"/>
        <v>2.0011390722884082E-12</v>
      </c>
      <c r="Q114" s="20">
        <f t="shared" si="107"/>
        <v>3.7262491852788889E-12</v>
      </c>
      <c r="R114" s="59">
        <f t="shared" si="55"/>
        <v>293.33333333333707</v>
      </c>
      <c r="S114" s="59">
        <f ca="1">AVERAGE(OFFSET($R$3,0,0,'Données projet'!$E$9+1,1))-AVERAGE(OFFSET($H$3,0,0,'Données projet'!$E$9+1,1))</f>
        <v>298.96480270023716</v>
      </c>
      <c r="T114" s="59">
        <f t="shared" si="88"/>
        <v>293.11447542333889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45.269504954282368</v>
      </c>
      <c r="AA114" s="21">
        <f>EXP(-LN(2)/25)*AA113+(1-EXP(-LN(2)/25))/(LN(2)/25)*Calculateur!V114*Calculateur!X114*VLOOKUP('Données projet'!$B$9,Paramètres!$A$1:$I$89,3,0)*0.475*44/12</f>
        <v>27.286980767484305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72.556485721766677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>
        <f>VLOOKUP(A114,'Données projet'!$A$61:$I$81,2,0)</f>
        <v>295.95512820512823</v>
      </c>
      <c r="AG114" s="12">
        <f>VLOOKUP(A114,'Données projet'!$A$61:$I$81,9,0)</f>
        <v>5.6367521367521407</v>
      </c>
      <c r="AH114" s="12">
        <f t="array" ref="AH114">INDEX(AG:AG,MIN(IF(ISNUMBER(AG114:AG310),ROW(AG114:AG310),"")))</f>
        <v>5.6367521367521407</v>
      </c>
      <c r="AI114" s="13">
        <f>IF('Données projet'!$A$62&gt;35,AI113+AH114-AQ113,IF(A114&lt;'Données projet'!$A$62,$AF$205^A114,IF(A114='Données projet'!$A$62,'Données projet'!$B$62,AI113+AH114-AQ113)))</f>
        <v>295.95512820512835</v>
      </c>
      <c r="AJ114" s="13">
        <f>AI114*VLOOKUP('Données projet'!$B$10,Paramètres!$A$1:$I$89,3,0)*VLOOKUP('Données projet'!$B$10,Paramètres!$A$1:$I$89,5,0)</f>
        <v>253.92950000000013</v>
      </c>
      <c r="AK114" s="13">
        <f t="shared" si="89"/>
        <v>61.426618859215289</v>
      </c>
      <c r="AL114" s="20">
        <f t="shared" si="58"/>
        <v>549.24524034646686</v>
      </c>
      <c r="AM114" s="59">
        <f t="shared" si="59"/>
        <v>842.57857367980023</v>
      </c>
      <c r="AN114" s="59">
        <f ca="1">AVERAGE(OFFSET($AM$3,0,0,'Données projet'!$E$10+1,1))-AVERAGE(OFFSET($H$3,0,0,'Données projet'!$E$10+1,1))</f>
        <v>335.02113791949211</v>
      </c>
      <c r="AO114" s="59">
        <f t="shared" si="90"/>
        <v>222.06886429435099</v>
      </c>
      <c r="AP114" s="15">
        <f>IF(ISNA(VLOOKUP(A114,'Données projet'!$A$61:$I$81,3,0)),0,VLOOKUP(A114,'Données projet'!$A$61:$I$81,3,0))</f>
        <v>9</v>
      </c>
      <c r="AQ114" s="15">
        <f>IF(ISNA(VLOOKUP(A114,'Données projet'!$A$61:$I$81,4,0)),0,VLOOKUP(A114,'Données projet'!$A$61:$I$81,4,0))</f>
        <v>108.1474358974359</v>
      </c>
      <c r="AR114" s="16">
        <f>IF(ISNA(VLOOKUP(A114,'Données projet'!$A$61:$I$81,5,0)),0%,VLOOKUP(A114,'Données projet'!$A$61:$I$81,5,0)*VLOOKUP('Données projet'!$B$10,Paramètres!$A$1:$I$89,7,0))</f>
        <v>0.26500000000000001</v>
      </c>
      <c r="AS114" s="16">
        <f>IF(ISNA(VLOOKUP(A114,'Données projet'!$A$61:$I$81,6,0)),0%,VLOOKUP(A114,'Données projet'!$A$61:$I$81,6,0)*VLOOKUP('Données projet'!$B$10,Paramètres!$A$1:$I$89,7,0))</f>
        <v>0.1855</v>
      </c>
      <c r="AT114" s="16">
        <f>IF(ISNA(VLOOKUP(A114,'Données projet'!$A$61:$I$81,7,0)),0%,VLOOKUP(A114,'Données projet'!$A$61:$I$81,7,0))</f>
        <v>0.1</v>
      </c>
      <c r="AU114" s="21">
        <f>EXP(-LN(2)/35)*AU113+(1-EXP(-LN(2)/35))/(LN(2)/35)*AQ114*AR114*VLOOKUP('Données projet'!$B$10,Paramètres!$A$1:$I$89,3,0)*0.475*44/12</f>
        <v>50.966841219781656</v>
      </c>
      <c r="AV114" s="21">
        <f>EXP(-LN(2)/25)*AV113+(1-EXP(-LN(2)/25))/(LN(2)/25)*Calculateur!AQ114*Calculateur!AS114*VLOOKUP('Données projet'!$B$10,Paramètres!$A$1:$I$89,3,0)*0.475*44/12</f>
        <v>43.173279373532253</v>
      </c>
      <c r="AW114" s="21">
        <f>EXP(-LN(2)/2)*AW113+(1-EXP(-LN(2)/2))/(LN(2)/2)*AQ114*AT114*VLOOKUP('Données projet'!$B$10,Paramètres!$A$1:$I$89,3,0)*0.475*44/12</f>
        <v>8.8972112706055739</v>
      </c>
      <c r="AX114" s="21">
        <f t="shared" si="60"/>
        <v>103.03733186391949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-3.1036506698001178E-14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207.02306964567629</v>
      </c>
      <c r="BJ114" s="59">
        <f t="shared" si="92"/>
        <v>342.06887933351783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16.529328645239794</v>
      </c>
      <c r="BQ114" s="21">
        <f>EXP(-LN(2)/25)*BQ113+(1-EXP(-LN(2)/25))/(LN(2)/25)*Calculateur!BL114*Calculateur!BN114*VLOOKUP('Données projet'!$B$11,Paramètres!$A$1:$I$89,3,0)*0.475*44/12</f>
        <v>20.938533266430035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37.467861911669829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233.89079999999998</v>
      </c>
      <c r="CA114" s="13">
        <f t="shared" si="93"/>
        <v>57.123140349023068</v>
      </c>
      <c r="CB114" s="20">
        <f t="shared" si="64"/>
        <v>506.84927944121517</v>
      </c>
      <c r="CC114" s="59">
        <f t="shared" si="65"/>
        <v>800.18261277454849</v>
      </c>
      <c r="CD114" s="59">
        <f ca="1">AVERAGE(OFFSET($CC$3,0,0,'Données projet'!$E$12+1,1))-AVERAGE(OFFSET($H$3,0,0,'Données projet'!$E$12+1,1))</f>
        <v>328.55201074501201</v>
      </c>
      <c r="CE114" s="59">
        <f t="shared" si="94"/>
        <v>321.81422611044985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18.120341107005434</v>
      </c>
      <c r="CL114" s="21">
        <f>EXP(-LN(2)/25)*CL113+(1-EXP(-LN(2)/25))/(LN(2)/25)*Calculateur!CG114*Calculateur!CI114*VLOOKUP('Données projet'!$B$12,Paramètres!$A$1:$I$89,3,0)*0.475*44/12</f>
        <v>2.3885021195194276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20.50884322652486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354.24684313982857</v>
      </c>
      <c r="CZ114" s="59">
        <f t="shared" si="96"/>
        <v>322.65043486962185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78.727531203890933</v>
      </c>
      <c r="DG114" s="21">
        <f>EXP(-LN(2)/25)*DG113+(1-EXP(-LN(2)/25))/(LN(2)/25)*Calculateur!DB114*Calculateur!DD114*VLOOKUP('Données projet'!$B$13,Paramètres!$A$1:$I$89,3,0)*0.475*44/12</f>
        <v>25.794610153139843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104.52214135703078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1.7053025658242404E-13</v>
      </c>
      <c r="DP114" s="17">
        <f>DO114*VLOOKUP('Données projet'!$B$14,Paramètres!$A$1:$I$89,3,0)*VLOOKUP('Données projet'!$B$14,Paramètres!$A$1:$I$89,5,0)</f>
        <v>1.3301360013429075E-13</v>
      </c>
      <c r="DQ114" s="13">
        <f t="shared" si="97"/>
        <v>1.9329766731057041E-12</v>
      </c>
      <c r="DR114" s="20">
        <f t="shared" si="70"/>
        <v>3.5982663925596575E-12</v>
      </c>
      <c r="DS114" s="59">
        <f t="shared" si="71"/>
        <v>293.3333333333369</v>
      </c>
      <c r="DT114" s="59">
        <f ca="1">AVERAGE(OFFSET($DS$3,0,0,'Données projet'!$E$14+1,1))-AVERAGE(OFFSET($H$3,0,0,'Données projet'!$E$14+1,1))</f>
        <v>288.80569134263209</v>
      </c>
      <c r="DU114" s="59">
        <f t="shared" si="98"/>
        <v>283.48738729114024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35.315470120358171</v>
      </c>
      <c r="EB114" s="21">
        <f>EXP(-LN(2)/25)*EB113+(1-EXP(-LN(2)/25))/(LN(2)/25)*Calculateur!DW114*Calculateur!DY114*VLOOKUP('Données projet'!$B$14,Paramètres!$A$1:$I$89,3,0)*0.475*44/12</f>
        <v>21.287013298291455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56.602483418649626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-1.1368683772161603E-13</v>
      </c>
      <c r="EK114" s="17">
        <f>EJ114*VLOOKUP('Données projet'!$B$15,Paramètres!$A$1:$I$89,3,0)*VLOOKUP('Données projet'!$B$15,Paramètres!$A$1:$I$89,5,0)</f>
        <v>-6.3550942286383367E-14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335.04906256888819</v>
      </c>
      <c r="EP114" s="59">
        <f t="shared" si="100"/>
        <v>440.84111898279554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74.768953170576196</v>
      </c>
      <c r="EW114" s="21">
        <f>EXP(-LN(2)/25)*EW113+(1-EXP(-LN(2)/25))/(LN(2)/25)*Calculateur!ER114*Calculateur!ET114*VLOOKUP('Données projet'!$B$15,Paramètres!$A$1:$I$89,3,0)*0.475*44/12</f>
        <v>12.194758331205215</v>
      </c>
      <c r="EX114" s="21">
        <f>EXP(-LN(2)/2)*EX113+(1-EXP(-LN(2)/2))/(LN(2)/2)*ER114*EU114*VLOOKUP('Données projet'!$B$15,Paramètres!$A$1:$I$89,3,0)*0.475*44/12</f>
        <v>1.2726077438932834E-7</v>
      </c>
      <c r="EY114" s="22">
        <f t="shared" si="75"/>
        <v>86.96371162904218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1.7053025658242404E-13</v>
      </c>
      <c r="O115" s="13">
        <f>N115*VLOOKUP('Données projet'!$B$9,Paramètres!$A$1:$I$89,3,0)*VLOOKUP('Données projet'!$B$9,Paramètres!$A$1:$I$89,5,0)</f>
        <v>1.383341441396624E-13</v>
      </c>
      <c r="P115" s="13">
        <f t="shared" si="87"/>
        <v>2.0011390722884082E-12</v>
      </c>
      <c r="Q115" s="20">
        <f t="shared" si="107"/>
        <v>3.7262491852788889E-12</v>
      </c>
      <c r="R115" s="59">
        <f t="shared" si="55"/>
        <v>293.33333333333707</v>
      </c>
      <c r="S115" s="59">
        <f ca="1">AVERAGE(OFFSET($R$3,0,0,'Données projet'!$E$9+1,1))-AVERAGE(OFFSET($H$3,0,0,'Données projet'!$E$9+1,1))</f>
        <v>298.96480270023716</v>
      </c>
      <c r="T115" s="59">
        <f t="shared" si="88"/>
        <v>293.11447542333889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44.38179757380049</v>
      </c>
      <c r="AA115" s="21">
        <f>EXP(-LN(2)/25)*AA114+(1-EXP(-LN(2)/25))/(LN(2)/25)*Calculateur!V115*Calculateur!X115*VLOOKUP('Données projet'!$B$9,Paramètres!$A$1:$I$89,3,0)*0.475*44/12</f>
        <v>26.540816843437494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70.92261441723798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4.603846153846149</v>
      </c>
      <c r="AI115" s="13">
        <f>IF('Données projet'!$A$62&gt;35,AI114+AH115-AQ114,IF(A115&lt;'Données projet'!$A$62,$AF$205^A115,IF(A115='Données projet'!$A$62,'Données projet'!$B$62,AI114+AH115-AQ114)))</f>
        <v>192.41153846153861</v>
      </c>
      <c r="AJ115" s="13">
        <f>AI115*VLOOKUP('Données projet'!$B$10,Paramètres!$A$1:$I$89,3,0)*VLOOKUP('Données projet'!$B$10,Paramètres!$A$1:$I$89,5,0)</f>
        <v>165.08910000000014</v>
      </c>
      <c r="AK115" s="13">
        <f t="shared" si="89"/>
        <v>41.988275978897839</v>
      </c>
      <c r="AL115" s="20">
        <f t="shared" si="58"/>
        <v>360.65976316324731</v>
      </c>
      <c r="AM115" s="59">
        <f t="shared" si="59"/>
        <v>653.99309649658062</v>
      </c>
      <c r="AN115" s="59">
        <f ca="1">AVERAGE(OFFSET($AM$3,0,0,'Données projet'!$E$10+1,1))-AVERAGE(OFFSET($H$3,0,0,'Données projet'!$E$10+1,1))</f>
        <v>335.02113791949211</v>
      </c>
      <c r="AO115" s="59">
        <f t="shared" si="90"/>
        <v>222.06886429435099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49.967412550165328</v>
      </c>
      <c r="AV115" s="21">
        <f>EXP(-LN(2)/25)*AV114+(1-EXP(-LN(2)/25))/(LN(2)/25)*Calculateur!AQ115*Calculateur!AS115*VLOOKUP('Données projet'!$B$10,Paramètres!$A$1:$I$89,3,0)*0.475*44/12</f>
        <v>41.992703778678923</v>
      </c>
      <c r="AW115" s="21">
        <f>EXP(-LN(2)/2)*AW114+(1-EXP(-LN(2)/2))/(LN(2)/2)*AQ115*AT115*VLOOKUP('Données projet'!$B$10,Paramètres!$A$1:$I$89,3,0)*0.475*44/12</f>
        <v>6.2912784230945809</v>
      </c>
      <c r="AX115" s="21">
        <f t="shared" si="60"/>
        <v>98.251394751938832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-3.1036506698001178E-14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207.02306964567629</v>
      </c>
      <c r="BJ115" s="59">
        <f t="shared" si="92"/>
        <v>342.06887933351783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16.205198592401612</v>
      </c>
      <c r="BQ115" s="21">
        <f>EXP(-LN(2)/25)*BQ114+(1-EXP(-LN(2)/25))/(LN(2)/25)*Calculateur!BL115*Calculateur!BN115*VLOOKUP('Données projet'!$B$11,Paramètres!$A$1:$I$89,3,0)*0.475*44/12</f>
        <v>20.365967973149896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36.571166565551508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233.89079999999998</v>
      </c>
      <c r="CA115" s="13">
        <f t="shared" si="93"/>
        <v>57.123140349023068</v>
      </c>
      <c r="CB115" s="20">
        <f t="shared" si="64"/>
        <v>506.84927944121517</v>
      </c>
      <c r="CC115" s="59">
        <f t="shared" si="65"/>
        <v>800.18261277454849</v>
      </c>
      <c r="CD115" s="59">
        <f ca="1">AVERAGE(OFFSET($CC$3,0,0,'Données projet'!$E$12+1,1))-AVERAGE(OFFSET($H$3,0,0,'Données projet'!$E$12+1,1))</f>
        <v>328.55201074501201</v>
      </c>
      <c r="CE115" s="59">
        <f t="shared" si="94"/>
        <v>321.81422611044985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17.765012270213806</v>
      </c>
      <c r="CL115" s="21">
        <f>EXP(-LN(2)/25)*CL114+(1-EXP(-LN(2)/25))/(LN(2)/25)*Calculateur!CG115*Calculateur!CI115*VLOOKUP('Données projet'!$B$12,Paramètres!$A$1:$I$89,3,0)*0.475*44/12</f>
        <v>2.3231884034553012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20.088200673669107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354.24684313982857</v>
      </c>
      <c r="CZ115" s="59">
        <f t="shared" si="96"/>
        <v>322.65043486962185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77.183732336035177</v>
      </c>
      <c r="DG115" s="21">
        <f>EXP(-LN(2)/25)*DG114+(1-EXP(-LN(2)/25))/(LN(2)/25)*Calculateur!DB115*Calculateur!DD115*VLOOKUP('Données projet'!$B$13,Paramètres!$A$1:$I$89,3,0)*0.475*44/12</f>
        <v>25.08925518202264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102.27298751805782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1.7053025658242404E-13</v>
      </c>
      <c r="DP115" s="17">
        <f>DO115*VLOOKUP('Données projet'!$B$14,Paramètres!$A$1:$I$89,3,0)*VLOOKUP('Données projet'!$B$14,Paramètres!$A$1:$I$89,5,0)</f>
        <v>1.3301360013429075E-13</v>
      </c>
      <c r="DQ115" s="13">
        <f t="shared" si="97"/>
        <v>1.9329766731057041E-12</v>
      </c>
      <c r="DR115" s="20">
        <f t="shared" si="70"/>
        <v>3.5982663925596575E-12</v>
      </c>
      <c r="DS115" s="59">
        <f t="shared" si="71"/>
        <v>293.3333333333369</v>
      </c>
      <c r="DT115" s="59">
        <f ca="1">AVERAGE(OFFSET($DS$3,0,0,'Données projet'!$E$14+1,1))-AVERAGE(OFFSET($H$3,0,0,'Données projet'!$E$14+1,1))</f>
        <v>288.80569134263209</v>
      </c>
      <c r="DU115" s="59">
        <f t="shared" si="98"/>
        <v>283.48738729114024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34.622955291607795</v>
      </c>
      <c r="EB115" s="21">
        <f>EXP(-LN(2)/25)*EB114+(1-EXP(-LN(2)/25))/(LN(2)/25)*Calculateur!DW115*Calculateur!DY115*VLOOKUP('Données projet'!$B$14,Paramètres!$A$1:$I$89,3,0)*0.475*44/12</f>
        <v>20.704918800214298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55.327874091822096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-1.1368683772161603E-13</v>
      </c>
      <c r="EK115" s="17">
        <f>EJ115*VLOOKUP('Données projet'!$B$15,Paramètres!$A$1:$I$89,3,0)*VLOOKUP('Données projet'!$B$15,Paramètres!$A$1:$I$89,5,0)</f>
        <v>-6.3550942286383367E-14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335.04906256888819</v>
      </c>
      <c r="EP115" s="59">
        <f t="shared" si="100"/>
        <v>440.84111898279554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73.302779603459555</v>
      </c>
      <c r="EW115" s="21">
        <f>EXP(-LN(2)/25)*EW114+(1-EXP(-LN(2)/25))/(LN(2)/25)*Calculateur!ER115*Calculateur!ET115*VLOOKUP('Données projet'!$B$15,Paramètres!$A$1:$I$89,3,0)*0.475*44/12</f>
        <v>11.861292023343939</v>
      </c>
      <c r="EX115" s="21">
        <f>EXP(-LN(2)/2)*EX114+(1-EXP(-LN(2)/2))/(LN(2)/2)*ER115*EU115*VLOOKUP('Données projet'!$B$15,Paramètres!$A$1:$I$89,3,0)*0.475*44/12</f>
        <v>8.9986956549745383E-8</v>
      </c>
      <c r="EY115" s="22">
        <f t="shared" si="75"/>
        <v>85.164071716790446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1.7053025658242404E-13</v>
      </c>
      <c r="O116" s="13">
        <f>N116*VLOOKUP('Données projet'!$B$9,Paramètres!$A$1:$I$89,3,0)*VLOOKUP('Données projet'!$B$9,Paramètres!$A$1:$I$89,5,0)</f>
        <v>1.383341441396624E-13</v>
      </c>
      <c r="P116" s="13">
        <f t="shared" si="87"/>
        <v>2.0011390722884082E-12</v>
      </c>
      <c r="Q116" s="20">
        <f t="shared" si="107"/>
        <v>3.7262491852788889E-12</v>
      </c>
      <c r="R116" s="59">
        <f t="shared" si="55"/>
        <v>293.33333333333707</v>
      </c>
      <c r="S116" s="59">
        <f ca="1">AVERAGE(OFFSET($R$3,0,0,'Données projet'!$E$9+1,1))-AVERAGE(OFFSET($H$3,0,0,'Données projet'!$E$9+1,1))</f>
        <v>298.96480270023716</v>
      </c>
      <c r="T116" s="59">
        <f t="shared" si="88"/>
        <v>293.11447542333889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43.511497593601817</v>
      </c>
      <c r="AA116" s="21">
        <f>EXP(-LN(2)/25)*AA115+(1-EXP(-LN(2)/25))/(LN(2)/25)*Calculateur!V116*Calculateur!X116*VLOOKUP('Données projet'!$B$9,Paramètres!$A$1:$I$89,3,0)*0.475*44/12</f>
        <v>25.815056811132798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69.326554404734622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4.603846153846149</v>
      </c>
      <c r="AI116" s="13">
        <f>IF('Données projet'!$A$62&gt;35,AI115+AH116-AQ115,IF(A116&lt;'Données projet'!$A$62,$AF$205^A116,IF(A116='Données projet'!$A$62,'Données projet'!$B$62,AI115+AH116-AQ115)))</f>
        <v>197.01538461538476</v>
      </c>
      <c r="AJ116" s="13">
        <f>AI116*VLOOKUP('Données projet'!$B$10,Paramètres!$A$1:$I$89,3,0)*VLOOKUP('Données projet'!$B$10,Paramètres!$A$1:$I$89,5,0)</f>
        <v>169.03920000000014</v>
      </c>
      <c r="AK116" s="13">
        <f t="shared" si="89"/>
        <v>42.874765415508925</v>
      </c>
      <c r="AL116" s="20">
        <f t="shared" si="58"/>
        <v>369.08348976534489</v>
      </c>
      <c r="AM116" s="59">
        <f t="shared" si="59"/>
        <v>662.41682309867815</v>
      </c>
      <c r="AN116" s="59">
        <f ca="1">AVERAGE(OFFSET($AM$3,0,0,'Données projet'!$E$10+1,1))-AVERAGE(OFFSET($H$3,0,0,'Données projet'!$E$10+1,1))</f>
        <v>335.02113791949211</v>
      </c>
      <c r="AO116" s="59">
        <f t="shared" si="90"/>
        <v>222.06886429435099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48.98758206716888</v>
      </c>
      <c r="AV116" s="21">
        <f>EXP(-LN(2)/25)*AV115+(1-EXP(-LN(2)/25))/(LN(2)/25)*Calculateur!AQ116*Calculateur!AS116*VLOOKUP('Données projet'!$B$10,Paramètres!$A$1:$I$89,3,0)*0.475*44/12</f>
        <v>40.844411085550632</v>
      </c>
      <c r="AW116" s="21">
        <f>EXP(-LN(2)/2)*AW115+(1-EXP(-LN(2)/2))/(LN(2)/2)*AQ116*AT116*VLOOKUP('Données projet'!$B$10,Paramètres!$A$1:$I$89,3,0)*0.475*44/12</f>
        <v>4.4486056353027879</v>
      </c>
      <c r="AX116" s="21">
        <f t="shared" si="60"/>
        <v>94.280598788022303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-3.1036506698001178E-14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207.02306964567629</v>
      </c>
      <c r="BJ116" s="59">
        <f t="shared" si="92"/>
        <v>342.06887933351783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15.887424532199773</v>
      </c>
      <c r="BQ116" s="21">
        <f>EXP(-LN(2)/25)*BQ115+(1-EXP(-LN(2)/25))/(LN(2)/25)*Calculateur!BL116*Calculateur!BN116*VLOOKUP('Données projet'!$B$11,Paramètres!$A$1:$I$89,3,0)*0.475*44/12</f>
        <v>19.809059507924403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35.696484040124176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233.89079999999998</v>
      </c>
      <c r="CA116" s="13">
        <f t="shared" si="93"/>
        <v>57.123140349023068</v>
      </c>
      <c r="CB116" s="20">
        <f t="shared" si="64"/>
        <v>506.84927944121517</v>
      </c>
      <c r="CC116" s="59">
        <f t="shared" si="65"/>
        <v>800.18261277454849</v>
      </c>
      <c r="CD116" s="59">
        <f ca="1">AVERAGE(OFFSET($CC$3,0,0,'Données projet'!$E$12+1,1))-AVERAGE(OFFSET($H$3,0,0,'Données projet'!$E$12+1,1))</f>
        <v>328.55201074501201</v>
      </c>
      <c r="CE116" s="59">
        <f t="shared" si="94"/>
        <v>321.81422611044985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17.416651215182473</v>
      </c>
      <c r="CL116" s="21">
        <f>EXP(-LN(2)/25)*CL115+(1-EXP(-LN(2)/25))/(LN(2)/25)*Calculateur!CG116*Calculateur!CI116*VLOOKUP('Données projet'!$B$12,Paramètres!$A$1:$I$89,3,0)*0.475*44/12</f>
        <v>2.2596606943916475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19.676311909574121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354.24684313982857</v>
      </c>
      <c r="CZ116" s="59">
        <f t="shared" si="96"/>
        <v>322.65043486962185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75.670206422353743</v>
      </c>
      <c r="DG116" s="21">
        <f>EXP(-LN(2)/25)*DG115+(1-EXP(-LN(2)/25))/(LN(2)/25)*Calculateur!DB116*Calculateur!DD116*VLOOKUP('Données projet'!$B$13,Paramètres!$A$1:$I$89,3,0)*0.475*44/12</f>
        <v>24.403188179683642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100.07339460203738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1.7053025658242404E-13</v>
      </c>
      <c r="DP116" s="17">
        <f>DO116*VLOOKUP('Données projet'!$B$14,Paramètres!$A$1:$I$89,3,0)*VLOOKUP('Données projet'!$B$14,Paramètres!$A$1:$I$89,5,0)</f>
        <v>1.3301360013429075E-13</v>
      </c>
      <c r="DQ116" s="13">
        <f t="shared" si="97"/>
        <v>1.9329766731057041E-12</v>
      </c>
      <c r="DR116" s="20">
        <f t="shared" si="70"/>
        <v>3.5982663925596575E-12</v>
      </c>
      <c r="DS116" s="59">
        <f t="shared" si="71"/>
        <v>293.3333333333369</v>
      </c>
      <c r="DT116" s="59">
        <f ca="1">AVERAGE(OFFSET($DS$3,0,0,'Données projet'!$E$14+1,1))-AVERAGE(OFFSET($H$3,0,0,'Données projet'!$E$14+1,1))</f>
        <v>288.80569134263209</v>
      </c>
      <c r="DU116" s="59">
        <f t="shared" si="98"/>
        <v>283.48738729114024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33.94402025625687</v>
      </c>
      <c r="EB116" s="21">
        <f>EXP(-LN(2)/25)*EB115+(1-EXP(-LN(2)/25))/(LN(2)/25)*Calculateur!DW116*Calculateur!DY116*VLOOKUP('Données projet'!$B$14,Paramètres!$A$1:$I$89,3,0)*0.475*44/12</f>
        <v>20.138741706798079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54.082761963054949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-1.1368683772161603E-13</v>
      </c>
      <c r="EK116" s="17">
        <f>EJ116*VLOOKUP('Données projet'!$B$15,Paramètres!$A$1:$I$89,3,0)*VLOOKUP('Données projet'!$B$15,Paramètres!$A$1:$I$89,5,0)</f>
        <v>-6.3550942286383367E-14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335.04906256888819</v>
      </c>
      <c r="EP116" s="59">
        <f t="shared" si="100"/>
        <v>440.84111898279554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71.865356805716502</v>
      </c>
      <c r="EW116" s="21">
        <f>EXP(-LN(2)/25)*EW115+(1-EXP(-LN(2)/25))/(LN(2)/25)*Calculateur!ER116*Calculateur!ET116*VLOOKUP('Données projet'!$B$15,Paramètres!$A$1:$I$89,3,0)*0.475*44/12</f>
        <v>11.536944369207362</v>
      </c>
      <c r="EX116" s="21">
        <f>EXP(-LN(2)/2)*EX115+(1-EXP(-LN(2)/2))/(LN(2)/2)*ER116*EU116*VLOOKUP('Données projet'!$B$15,Paramètres!$A$1:$I$89,3,0)*0.475*44/12</f>
        <v>6.3630387194664168E-8</v>
      </c>
      <c r="EY116" s="22">
        <f t="shared" si="75"/>
        <v>83.402301238554244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1.7053025658242404E-13</v>
      </c>
      <c r="O117" s="13">
        <f>N117*VLOOKUP('Données projet'!$B$9,Paramètres!$A$1:$I$89,3,0)*VLOOKUP('Données projet'!$B$9,Paramètres!$A$1:$I$89,5,0)</f>
        <v>1.383341441396624E-13</v>
      </c>
      <c r="P117" s="13">
        <f t="shared" si="87"/>
        <v>2.0011390722884082E-12</v>
      </c>
      <c r="Q117" s="20">
        <f t="shared" si="107"/>
        <v>3.7262491852788889E-12</v>
      </c>
      <c r="R117" s="59">
        <f t="shared" si="55"/>
        <v>293.33333333333707</v>
      </c>
      <c r="S117" s="59">
        <f ca="1">AVERAGE(OFFSET($R$3,0,0,'Données projet'!$E$9+1,1))-AVERAGE(OFFSET($H$3,0,0,'Données projet'!$E$9+1,1))</f>
        <v>298.96480270023716</v>
      </c>
      <c r="T117" s="59">
        <f t="shared" si="88"/>
        <v>293.11447542333889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42.658263665184272</v>
      </c>
      <c r="AA117" s="21">
        <f>EXP(-LN(2)/25)*AA116+(1-EXP(-LN(2)/25))/(LN(2)/25)*Calculateur!V117*Calculateur!X117*VLOOKUP('Données projet'!$B$9,Paramètres!$A$1:$I$89,3,0)*0.475*44/12</f>
        <v>25.109142725077536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67.767406390261812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4.603846153846149</v>
      </c>
      <c r="AI117" s="13">
        <f>IF('Données projet'!$A$62&gt;35,AI116+AH117-AQ116,IF(A117&lt;'Données projet'!$A$62,$AF$205^A117,IF(A117='Données projet'!$A$62,'Données projet'!$B$62,AI116+AH117-AQ116)))</f>
        <v>201.61923076923091</v>
      </c>
      <c r="AJ117" s="13">
        <f>AI117*VLOOKUP('Données projet'!$B$10,Paramètres!$A$1:$I$89,3,0)*VLOOKUP('Données projet'!$B$10,Paramètres!$A$1:$I$89,5,0)</f>
        <v>172.98930000000013</v>
      </c>
      <c r="AK117" s="13">
        <f t="shared" si="89"/>
        <v>43.758846619304109</v>
      </c>
      <c r="AL117" s="20">
        <f t="shared" si="58"/>
        <v>377.5030220286215</v>
      </c>
      <c r="AM117" s="59">
        <f t="shared" si="59"/>
        <v>670.83635536195482</v>
      </c>
      <c r="AN117" s="59">
        <f ca="1">AVERAGE(OFFSET($AM$3,0,0,'Données projet'!$E$10+1,1))-AVERAGE(OFFSET($H$3,0,0,'Données projet'!$E$10+1,1))</f>
        <v>335.02113791949211</v>
      </c>
      <c r="AO117" s="59">
        <f t="shared" si="90"/>
        <v>222.06886429435099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48.026965462306407</v>
      </c>
      <c r="AV117" s="21">
        <f>EXP(-LN(2)/25)*AV116+(1-EXP(-LN(2)/25))/(LN(2)/25)*Calculateur!AQ117*Calculateur!AS117*VLOOKUP('Données projet'!$B$10,Paramètres!$A$1:$I$89,3,0)*0.475*44/12</f>
        <v>39.727518516502023</v>
      </c>
      <c r="AW117" s="21">
        <f>EXP(-LN(2)/2)*AW116+(1-EXP(-LN(2)/2))/(LN(2)/2)*AQ117*AT117*VLOOKUP('Données projet'!$B$10,Paramètres!$A$1:$I$89,3,0)*0.475*44/12</f>
        <v>3.1456392115472909</v>
      </c>
      <c r="AX117" s="21">
        <f t="shared" si="60"/>
        <v>90.900123190355714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-3.1036506698001178E-14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207.02306964567629</v>
      </c>
      <c r="BJ117" s="59">
        <f t="shared" si="92"/>
        <v>342.06887933351783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15.575881827495456</v>
      </c>
      <c r="BQ117" s="21">
        <f>EXP(-LN(2)/25)*BQ116+(1-EXP(-LN(2)/25))/(LN(2)/25)*Calculateur!BL117*Calculateur!BN117*VLOOKUP('Données projet'!$B$11,Paramètres!$A$1:$I$89,3,0)*0.475*44/12</f>
        <v>19.267379733967044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34.843261561462498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233.89079999999998</v>
      </c>
      <c r="CA117" s="13">
        <f t="shared" si="93"/>
        <v>57.123140349023068</v>
      </c>
      <c r="CB117" s="20">
        <f t="shared" si="64"/>
        <v>506.84927944121517</v>
      </c>
      <c r="CC117" s="59">
        <f t="shared" si="65"/>
        <v>800.18261277454849</v>
      </c>
      <c r="CD117" s="59">
        <f ca="1">AVERAGE(OFFSET($CC$3,0,0,'Données projet'!$E$12+1,1))-AVERAGE(OFFSET($H$3,0,0,'Données projet'!$E$12+1,1))</f>
        <v>328.55201074501201</v>
      </c>
      <c r="CE117" s="59">
        <f t="shared" si="94"/>
        <v>321.81422611044985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17.075121307961041</v>
      </c>
      <c r="CL117" s="21">
        <f>EXP(-LN(2)/25)*CL116+(1-EXP(-LN(2)/25))/(LN(2)/25)*Calculateur!CG117*Calculateur!CI117*VLOOKUP('Données projet'!$B$12,Paramètres!$A$1:$I$89,3,0)*0.475*44/12</f>
        <v>2.1978701538731165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19.272991461834156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354.24684313982857</v>
      </c>
      <c r="CZ117" s="59">
        <f t="shared" si="96"/>
        <v>322.65043486962185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74.186359828679954</v>
      </c>
      <c r="DG117" s="21">
        <f>EXP(-LN(2)/25)*DG116+(1-EXP(-LN(2)/25))/(LN(2)/25)*Calculateur!DB117*Calculateur!DD117*VLOOKUP('Données projet'!$B$13,Paramètres!$A$1:$I$89,3,0)*0.475*44/12</f>
        <v>23.7358817156023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97.922241544282258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1.7053025658242404E-13</v>
      </c>
      <c r="DP117" s="17">
        <f>DO117*VLOOKUP('Données projet'!$B$14,Paramètres!$A$1:$I$89,3,0)*VLOOKUP('Données projet'!$B$14,Paramètres!$A$1:$I$89,5,0)</f>
        <v>1.3301360013429075E-13</v>
      </c>
      <c r="DQ117" s="13">
        <f t="shared" si="97"/>
        <v>1.9329766731057041E-12</v>
      </c>
      <c r="DR117" s="20">
        <f t="shared" si="70"/>
        <v>3.5982663925596575E-12</v>
      </c>
      <c r="DS117" s="59">
        <f t="shared" si="71"/>
        <v>293.3333333333369</v>
      </c>
      <c r="DT117" s="59">
        <f ca="1">AVERAGE(OFFSET($DS$3,0,0,'Données projet'!$E$14+1,1))-AVERAGE(OFFSET($H$3,0,0,'Données projet'!$E$14+1,1))</f>
        <v>288.80569134263209</v>
      </c>
      <c r="DU117" s="59">
        <f t="shared" si="98"/>
        <v>283.48738729114024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33.278398722839697</v>
      </c>
      <c r="EB117" s="21">
        <f>EXP(-LN(2)/25)*EB116+(1-EXP(-LN(2)/25))/(LN(2)/25)*Calculateur!DW117*Calculateur!DY117*VLOOKUP('Données projet'!$B$14,Paramètres!$A$1:$I$89,3,0)*0.475*44/12</f>
        <v>19.588046755775288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52.866445478614985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-1.1368683772161603E-13</v>
      </c>
      <c r="EK117" s="17">
        <f>EJ117*VLOOKUP('Données projet'!$B$15,Paramètres!$A$1:$I$89,3,0)*VLOOKUP('Données projet'!$B$15,Paramètres!$A$1:$I$89,5,0)</f>
        <v>-6.3550942286383367E-14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335.04906256888819</v>
      </c>
      <c r="EP117" s="59">
        <f t="shared" si="100"/>
        <v>440.84111898279554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70.456120992295851</v>
      </c>
      <c r="EW117" s="21">
        <f>EXP(-LN(2)/25)*EW116+(1-EXP(-LN(2)/25))/(LN(2)/25)*Calculateur!ER117*Calculateur!ET117*VLOOKUP('Données projet'!$B$15,Paramètres!$A$1:$I$89,3,0)*0.475*44/12</f>
        <v>11.221466018729849</v>
      </c>
      <c r="EX117" s="21">
        <f>EXP(-LN(2)/2)*EX116+(1-EXP(-LN(2)/2))/(LN(2)/2)*ER117*EU117*VLOOKUP('Données projet'!$B$15,Paramètres!$A$1:$I$89,3,0)*0.475*44/12</f>
        <v>4.4993478274872691E-8</v>
      </c>
      <c r="EY117" s="22">
        <f t="shared" si="75"/>
        <v>81.677587056019192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1.7053025658242404E-13</v>
      </c>
      <c r="O118" s="13">
        <f>N118*VLOOKUP('Données projet'!$B$9,Paramètres!$A$1:$I$89,3,0)*VLOOKUP('Données projet'!$B$9,Paramètres!$A$1:$I$89,5,0)</f>
        <v>1.383341441396624E-13</v>
      </c>
      <c r="P118" s="13">
        <f t="shared" si="87"/>
        <v>2.0011390722884082E-12</v>
      </c>
      <c r="Q118" s="20">
        <f t="shared" si="107"/>
        <v>3.7262491852788889E-12</v>
      </c>
      <c r="R118" s="59">
        <f t="shared" si="55"/>
        <v>293.33333333333707</v>
      </c>
      <c r="S118" s="59">
        <f ca="1">AVERAGE(OFFSET($R$3,0,0,'Données projet'!$E$9+1,1))-AVERAGE(OFFSET($H$3,0,0,'Données projet'!$E$9+1,1))</f>
        <v>298.96480270023716</v>
      </c>
      <c r="T118" s="59">
        <f t="shared" si="88"/>
        <v>293.11447542333889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41.821761133681683</v>
      </c>
      <c r="AA118" s="21">
        <f>EXP(-LN(2)/25)*AA117+(1-EXP(-LN(2)/25))/(LN(2)/25)*Calculateur!V118*Calculateur!X118*VLOOKUP('Données projet'!$B$9,Paramètres!$A$1:$I$89,3,0)*0.475*44/12</f>
        <v>24.422531896827863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66.244293030509539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4.603846153846149</v>
      </c>
      <c r="AI118" s="13">
        <f>IF('Données projet'!$A$62&gt;35,AI117+AH118-AQ117,IF(A118&lt;'Données projet'!$A$62,$AF$205^A118,IF(A118='Données projet'!$A$62,'Données projet'!$B$62,AI117+AH118-AQ117)))</f>
        <v>206.22307692307706</v>
      </c>
      <c r="AJ118" s="13">
        <f>AI118*VLOOKUP('Données projet'!$B$10,Paramètres!$A$1:$I$89,3,0)*VLOOKUP('Données projet'!$B$10,Paramètres!$A$1:$I$89,5,0)</f>
        <v>176.93940000000012</v>
      </c>
      <c r="AK118" s="13">
        <f t="shared" si="89"/>
        <v>44.640580910882917</v>
      </c>
      <c r="AL118" s="20">
        <f t="shared" si="58"/>
        <v>385.91846675312127</v>
      </c>
      <c r="AM118" s="59">
        <f t="shared" si="59"/>
        <v>679.25180008645452</v>
      </c>
      <c r="AN118" s="59">
        <f ca="1">AVERAGE(OFFSET($AM$3,0,0,'Données projet'!$E$10+1,1))-AVERAGE(OFFSET($H$3,0,0,'Données projet'!$E$10+1,1))</f>
        <v>335.02113791949211</v>
      </c>
      <c r="AO118" s="59">
        <f t="shared" si="90"/>
        <v>222.06886429435099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47.085185963147012</v>
      </c>
      <c r="AV118" s="21">
        <f>EXP(-LN(2)/25)*AV117+(1-EXP(-LN(2)/25))/(LN(2)/25)*Calculateur!AQ118*Calculateur!AS118*VLOOKUP('Données projet'!$B$10,Paramètres!$A$1:$I$89,3,0)*0.475*44/12</f>
        <v>38.641167433488874</v>
      </c>
      <c r="AW118" s="21">
        <f>EXP(-LN(2)/2)*AW117+(1-EXP(-LN(2)/2))/(LN(2)/2)*AQ118*AT118*VLOOKUP('Données projet'!$B$10,Paramètres!$A$1:$I$89,3,0)*0.475*44/12</f>
        <v>2.2243028176513944</v>
      </c>
      <c r="AX118" s="21">
        <f t="shared" si="60"/>
        <v>87.950656214287278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-3.1036506698001178E-14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207.02306964567629</v>
      </c>
      <c r="BJ118" s="59">
        <f t="shared" si="92"/>
        <v>342.06887933351783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15.270448285208102</v>
      </c>
      <c r="BQ118" s="21">
        <f>EXP(-LN(2)/25)*BQ117+(1-EXP(-LN(2)/25))/(LN(2)/25)*Calculateur!BL118*Calculateur!BN118*VLOOKUP('Données projet'!$B$11,Paramètres!$A$1:$I$89,3,0)*0.475*44/12</f>
        <v>18.740512221914251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34.010960507122356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233.89079999999998</v>
      </c>
      <c r="CA118" s="13">
        <f t="shared" si="93"/>
        <v>57.123140349023068</v>
      </c>
      <c r="CB118" s="20">
        <f t="shared" si="64"/>
        <v>506.84927944121517</v>
      </c>
      <c r="CC118" s="59">
        <f t="shared" si="65"/>
        <v>800.18261277454849</v>
      </c>
      <c r="CD118" s="59">
        <f ca="1">AVERAGE(OFFSET($CC$3,0,0,'Données projet'!$E$12+1,1))-AVERAGE(OFFSET($H$3,0,0,'Données projet'!$E$12+1,1))</f>
        <v>328.55201074501201</v>
      </c>
      <c r="CE118" s="59">
        <f t="shared" si="94"/>
        <v>321.81422611044985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16.740288593907547</v>
      </c>
      <c r="CL118" s="21">
        <f>EXP(-LN(2)/25)*CL117+(1-EXP(-LN(2)/25))/(LN(2)/25)*Calculateur!CG118*Calculateur!CI118*VLOOKUP('Données projet'!$B$12,Paramètres!$A$1:$I$89,3,0)*0.475*44/12</f>
        <v>2.137769278934488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18.878057872842035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354.24684313982857</v>
      </c>
      <c r="CZ118" s="59">
        <f t="shared" si="96"/>
        <v>322.65043486962185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72.731610561651053</v>
      </c>
      <c r="DG118" s="21">
        <f>EXP(-LN(2)/25)*DG117+(1-EXP(-LN(2)/25))/(LN(2)/25)*Calculateur!DB118*Calculateur!DD118*VLOOKUP('Données projet'!$B$13,Paramètres!$A$1:$I$89,3,0)*0.475*44/12</f>
        <v>23.086822781873384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95.818433343524433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1.7053025658242404E-13</v>
      </c>
      <c r="DP118" s="17">
        <f>DO118*VLOOKUP('Données projet'!$B$14,Paramètres!$A$1:$I$89,3,0)*VLOOKUP('Données projet'!$B$14,Paramètres!$A$1:$I$89,5,0)</f>
        <v>1.3301360013429075E-13</v>
      </c>
      <c r="DQ118" s="13">
        <f t="shared" si="97"/>
        <v>1.9329766731057041E-12</v>
      </c>
      <c r="DR118" s="20">
        <f t="shared" si="70"/>
        <v>3.5982663925596575E-12</v>
      </c>
      <c r="DS118" s="59">
        <f t="shared" si="71"/>
        <v>293.3333333333369</v>
      </c>
      <c r="DT118" s="59">
        <f ca="1">AVERAGE(OFFSET($DS$3,0,0,'Données projet'!$E$14+1,1))-AVERAGE(OFFSET($H$3,0,0,'Données projet'!$E$14+1,1))</f>
        <v>288.80569134263209</v>
      </c>
      <c r="DU118" s="59">
        <f t="shared" si="98"/>
        <v>283.48738729114024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32.625829621703787</v>
      </c>
      <c r="EB118" s="21">
        <f>EXP(-LN(2)/25)*EB117+(1-EXP(-LN(2)/25))/(LN(2)/25)*Calculateur!DW118*Calculateur!DY118*VLOOKUP('Données projet'!$B$14,Paramètres!$A$1:$I$89,3,0)*0.475*44/12</f>
        <v>19.052410587148003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51.67824020885179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-1.1368683772161603E-13</v>
      </c>
      <c r="EK118" s="17">
        <f>EJ118*VLOOKUP('Données projet'!$B$15,Paramètres!$A$1:$I$89,3,0)*VLOOKUP('Données projet'!$B$15,Paramètres!$A$1:$I$89,5,0)</f>
        <v>-6.3550942286383367E-14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335.04906256888819</v>
      </c>
      <c r="EP118" s="59">
        <f t="shared" si="100"/>
        <v>440.84111898279554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69.074519433627401</v>
      </c>
      <c r="EW118" s="21">
        <f>EXP(-LN(2)/25)*EW117+(1-EXP(-LN(2)/25))/(LN(2)/25)*Calculateur!ER118*Calculateur!ET118*VLOOKUP('Données projet'!$B$15,Paramètres!$A$1:$I$89,3,0)*0.475*44/12</f>
        <v>10.914614440336431</v>
      </c>
      <c r="EX118" s="21">
        <f>EXP(-LN(2)/2)*EX117+(1-EXP(-LN(2)/2))/(LN(2)/2)*ER118*EU118*VLOOKUP('Données projet'!$B$15,Paramètres!$A$1:$I$89,3,0)*0.475*44/12</f>
        <v>3.1815193597332084E-8</v>
      </c>
      <c r="EY118" s="22">
        <f t="shared" si="75"/>
        <v>79.989133905779028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1.7053025658242404E-13</v>
      </c>
      <c r="O119" s="13">
        <f>N119*VLOOKUP('Données projet'!$B$9,Paramètres!$A$1:$I$89,3,0)*VLOOKUP('Données projet'!$B$9,Paramètres!$A$1:$I$89,5,0)</f>
        <v>1.383341441396624E-13</v>
      </c>
      <c r="P119" s="13">
        <f t="shared" si="87"/>
        <v>2.0011390722884082E-12</v>
      </c>
      <c r="Q119" s="20">
        <f t="shared" si="107"/>
        <v>3.7262491852788889E-12</v>
      </c>
      <c r="R119" s="59">
        <f t="shared" si="55"/>
        <v>293.33333333333707</v>
      </c>
      <c r="S119" s="59">
        <f ca="1">AVERAGE(OFFSET($R$3,0,0,'Données projet'!$E$9+1,1))-AVERAGE(OFFSET($H$3,0,0,'Données projet'!$E$9+1,1))</f>
        <v>298.96480270023716</v>
      </c>
      <c r="T119" s="59">
        <f t="shared" si="88"/>
        <v>293.11447542333889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41.001661906605698</v>
      </c>
      <c r="AA119" s="21">
        <f>EXP(-LN(2)/25)*AA118+(1-EXP(-LN(2)/25))/(LN(2)/25)*Calculateur!V119*Calculateur!X119*VLOOKUP('Données projet'!$B$9,Paramètres!$A$1:$I$89,3,0)*0.475*44/12</f>
        <v>23.75469647778397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64.756358384389671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>
        <f>VLOOKUP(A119,'Données projet'!$A$61:$I$81,2,0)</f>
        <v>210.82692307692307</v>
      </c>
      <c r="AG119" s="12">
        <f>VLOOKUP(A119,'Données projet'!$A$61:$I$81,9,0)</f>
        <v>4.603846153846149</v>
      </c>
      <c r="AH119" s="12">
        <f t="array" ref="AH119">INDEX(AG:AG,MIN(IF(ISNUMBER(AG119:AG315),ROW(AG119:AG315),"")))</f>
        <v>4.603846153846149</v>
      </c>
      <c r="AI119" s="13">
        <f>IF('Données projet'!$A$62&gt;35,AI118+AH119-AQ118,IF(A119&lt;'Données projet'!$A$62,$AF$205^A119,IF(A119='Données projet'!$A$62,'Données projet'!$B$62,AI118+AH119-AQ118)))</f>
        <v>210.82692307692321</v>
      </c>
      <c r="AJ119" s="13">
        <f>AI119*VLOOKUP('Données projet'!$B$10,Paramètres!$A$1:$I$89,3,0)*VLOOKUP('Données projet'!$B$10,Paramètres!$A$1:$I$89,5,0)</f>
        <v>180.88950000000011</v>
      </c>
      <c r="AK119" s="13">
        <f t="shared" si="89"/>
        <v>45.520026716622027</v>
      </c>
      <c r="AL119" s="20">
        <f t="shared" si="58"/>
        <v>394.32992569811682</v>
      </c>
      <c r="AM119" s="59">
        <f t="shared" si="59"/>
        <v>687.66325903145014</v>
      </c>
      <c r="AN119" s="59">
        <f ca="1">AVERAGE(OFFSET($AM$3,0,0,'Données projet'!$E$10+1,1))-AVERAGE(OFFSET($H$3,0,0,'Données projet'!$E$10+1,1))</f>
        <v>335.02113791949211</v>
      </c>
      <c r="AO119" s="59">
        <f t="shared" si="90"/>
        <v>222.06886429435099</v>
      </c>
      <c r="AP119" s="15">
        <f>IF(ISNA(VLOOKUP(A119,'Données projet'!$A$61:$I$81,3,0)),0,VLOOKUP(A119,'Données projet'!$A$61:$I$81,3,0))</f>
        <v>10</v>
      </c>
      <c r="AQ119" s="15">
        <f>IF(ISNA(VLOOKUP(A119,'Données projet'!$A$61:$I$81,4,0)),0,VLOOKUP(A119,'Données projet'!$A$61:$I$81,4,0))</f>
        <v>72.698717948717942</v>
      </c>
      <c r="AR119" s="16">
        <f>IF(ISNA(VLOOKUP(A119,'Données projet'!$A$61:$I$81,5,0)),0%,VLOOKUP(A119,'Données projet'!$A$61:$I$81,5,0)*VLOOKUP('Données projet'!$B$10,Paramètres!$A$1:$I$89,7,0))</f>
        <v>0.26500000000000001</v>
      </c>
      <c r="AS119" s="16">
        <f>IF(ISNA(VLOOKUP(A119,'Données projet'!$A$61:$I$81,6,0)),0%,VLOOKUP(A119,'Données projet'!$A$61:$I$81,6,0)*VLOOKUP('Données projet'!$B$10,Paramètres!$A$1:$I$89,7,0))</f>
        <v>0.1855</v>
      </c>
      <c r="AT119" s="16">
        <f>IF(ISNA(VLOOKUP(A119,'Données projet'!$A$61:$I$81,7,0)),0%,VLOOKUP(A119,'Données projet'!$A$61:$I$81,7,0))</f>
        <v>0.1</v>
      </c>
      <c r="AU119" s="21">
        <f>EXP(-LN(2)/35)*AU118+(1-EXP(-LN(2)/35))/(LN(2)/35)*AQ119*AR119*VLOOKUP('Données projet'!$B$10,Paramètres!$A$1:$I$89,3,0)*0.475*44/12</f>
        <v>64.434755115055097</v>
      </c>
      <c r="AV119" s="21">
        <f>EXP(-LN(2)/25)*AV118+(1-EXP(-LN(2)/25))/(LN(2)/25)*Calculateur!AQ119*Calculateur!AS119*VLOOKUP('Données projet'!$B$10,Paramètres!$A$1:$I$89,3,0)*0.475*44/12</f>
        <v>50.32517622231876</v>
      </c>
      <c r="AW119" s="21">
        <f>EXP(-LN(2)/2)*AW118+(1-EXP(-LN(2)/2))/(LN(2)/2)*AQ119*AT119*VLOOKUP('Données projet'!$B$10,Paramètres!$A$1:$I$89,3,0)*0.475*44/12</f>
        <v>7.4581159119704852</v>
      </c>
      <c r="AX119" s="21">
        <f t="shared" si="60"/>
        <v>122.21804724934434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-3.1036506698001178E-14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207.02306964567629</v>
      </c>
      <c r="BJ119" s="59">
        <f t="shared" si="92"/>
        <v>342.06887933351783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14.971004108388939</v>
      </c>
      <c r="BQ119" s="21">
        <f>EXP(-LN(2)/25)*BQ118+(1-EXP(-LN(2)/25))/(LN(2)/25)*Calculateur!BL119*Calculateur!BN119*VLOOKUP('Données projet'!$B$11,Paramètres!$A$1:$I$89,3,0)*0.475*44/12</f>
        <v>18.2280519296853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33.199056038074239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233.89079999999998</v>
      </c>
      <c r="CA119" s="13">
        <f t="shared" si="93"/>
        <v>57.123140349023068</v>
      </c>
      <c r="CB119" s="20">
        <f t="shared" si="64"/>
        <v>506.84927944121517</v>
      </c>
      <c r="CC119" s="59">
        <f t="shared" si="65"/>
        <v>800.18261277454849</v>
      </c>
      <c r="CD119" s="59">
        <f ca="1">AVERAGE(OFFSET($CC$3,0,0,'Données projet'!$E$12+1,1))-AVERAGE(OFFSET($H$3,0,0,'Données projet'!$E$12+1,1))</f>
        <v>328.55201074501201</v>
      </c>
      <c r="CE119" s="59">
        <f t="shared" si="94"/>
        <v>321.81422611044985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16.412021745148852</v>
      </c>
      <c r="CL119" s="21">
        <f>EXP(-LN(2)/25)*CL118+(1-EXP(-LN(2)/25))/(LN(2)/25)*Calculateur!CG119*Calculateur!CI119*VLOOKUP('Données projet'!$B$12,Paramètres!$A$1:$I$89,3,0)*0.475*44/12</f>
        <v>2.0793118655816238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18.491333610730475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354.24684313982857</v>
      </c>
      <c r="CZ119" s="59">
        <f t="shared" si="96"/>
        <v>322.65043486962185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71.305388040439141</v>
      </c>
      <c r="DG119" s="21">
        <f>EXP(-LN(2)/25)*DG118+(1-EXP(-LN(2)/25))/(LN(2)/25)*Calculateur!DB119*Calculateur!DD119*VLOOKUP('Données projet'!$B$13,Paramètres!$A$1:$I$89,3,0)*0.475*44/12</f>
        <v>22.45551239881981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93.760900439258947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1.7053025658242404E-13</v>
      </c>
      <c r="DP119" s="17">
        <f>DO119*VLOOKUP('Données projet'!$B$14,Paramètres!$A$1:$I$89,3,0)*VLOOKUP('Données projet'!$B$14,Paramètres!$A$1:$I$89,5,0)</f>
        <v>1.3301360013429075E-13</v>
      </c>
      <c r="DQ119" s="13">
        <f t="shared" si="97"/>
        <v>1.9329766731057041E-12</v>
      </c>
      <c r="DR119" s="20">
        <f t="shared" si="70"/>
        <v>3.5982663925596575E-12</v>
      </c>
      <c r="DS119" s="59">
        <f t="shared" si="71"/>
        <v>293.3333333333369</v>
      </c>
      <c r="DT119" s="59">
        <f ca="1">AVERAGE(OFFSET($DS$3,0,0,'Données projet'!$E$14+1,1))-AVERAGE(OFFSET($H$3,0,0,'Données projet'!$E$14+1,1))</f>
        <v>288.80569134263209</v>
      </c>
      <c r="DU119" s="59">
        <f t="shared" si="98"/>
        <v>283.48738729114024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31.986057002613304</v>
      </c>
      <c r="EB119" s="21">
        <f>EXP(-LN(2)/25)*EB118+(1-EXP(-LN(2)/25))/(LN(2)/25)*Calculateur!DW119*Calculateur!DY119*VLOOKUP('Données projet'!$B$14,Paramètres!$A$1:$I$89,3,0)*0.475*44/12</f>
        <v>18.531421417719713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50.51747842033302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-1.1368683772161603E-13</v>
      </c>
      <c r="EK119" s="17">
        <f>EJ119*VLOOKUP('Données projet'!$B$15,Paramètres!$A$1:$I$89,3,0)*VLOOKUP('Données projet'!$B$15,Paramètres!$A$1:$I$89,5,0)</f>
        <v>-6.3550942286383367E-14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335.04906256888819</v>
      </c>
      <c r="EP119" s="59">
        <f t="shared" si="100"/>
        <v>440.84111898279554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67.720010238830696</v>
      </c>
      <c r="EW119" s="21">
        <f>EXP(-LN(2)/25)*EW118+(1-EXP(-LN(2)/25))/(LN(2)/25)*Calculateur!ER119*Calculateur!ET119*VLOOKUP('Données projet'!$B$15,Paramètres!$A$1:$I$89,3,0)*0.475*44/12</f>
        <v>10.616153734490803</v>
      </c>
      <c r="EX119" s="21">
        <f>EXP(-LN(2)/2)*EX118+(1-EXP(-LN(2)/2))/(LN(2)/2)*ER119*EU119*VLOOKUP('Données projet'!$B$15,Paramètres!$A$1:$I$89,3,0)*0.475*44/12</f>
        <v>2.2496739137436346E-8</v>
      </c>
      <c r="EY119" s="22">
        <f t="shared" si="75"/>
        <v>78.336163995818239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1.7053025658242404E-13</v>
      </c>
      <c r="O120" s="13">
        <f>N120*VLOOKUP('Données projet'!$B$9,Paramètres!$A$1:$I$89,3,0)*VLOOKUP('Données projet'!$B$9,Paramètres!$A$1:$I$89,5,0)</f>
        <v>1.383341441396624E-13</v>
      </c>
      <c r="P120" s="13">
        <f t="shared" si="87"/>
        <v>2.0011390722884082E-12</v>
      </c>
      <c r="Q120" s="20">
        <f t="shared" si="107"/>
        <v>3.7262491852788889E-12</v>
      </c>
      <c r="R120" s="59">
        <f t="shared" si="55"/>
        <v>293.33333333333707</v>
      </c>
      <c r="S120" s="59">
        <f ca="1">AVERAGE(OFFSET($R$3,0,0,'Données projet'!$E$9+1,1))-AVERAGE(OFFSET($H$3,0,0,'Données projet'!$E$9+1,1))</f>
        <v>298.96480270023716</v>
      </c>
      <c r="T120" s="59">
        <f t="shared" si="88"/>
        <v>293.11447542333889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40.197644325161534</v>
      </c>
      <c r="AA120" s="21">
        <f>EXP(-LN(2)/25)*AA119+(1-EXP(-LN(2)/25))/(LN(2)/25)*Calculateur!V120*Calculateur!X120*VLOOKUP('Données projet'!$B$9,Paramètres!$A$1:$I$89,3,0)*0.475*44/12</f>
        <v>23.105123053393772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63.302767378555302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3.6615384615384583</v>
      </c>
      <c r="AI120" s="13">
        <f>IF('Données projet'!$A$62&gt;35,AI119+AH120-AQ119,IF(A120&lt;'Données projet'!$A$62,$AF$205^A120,IF(A120='Données projet'!$A$62,'Données projet'!$B$62,AI119+AH120-AQ119)))</f>
        <v>141.78974358974375</v>
      </c>
      <c r="AJ120" s="13">
        <f>AI120*VLOOKUP('Données projet'!$B$10,Paramètres!$A$1:$I$89,3,0)*VLOOKUP('Données projet'!$B$10,Paramètres!$A$1:$I$89,5,0)</f>
        <v>121.65560000000015</v>
      </c>
      <c r="AK120" s="13">
        <f t="shared" si="89"/>
        <v>32.060832327959943</v>
      </c>
      <c r="AL120" s="20">
        <f t="shared" si="58"/>
        <v>267.72278630453047</v>
      </c>
      <c r="AM120" s="59">
        <f t="shared" si="59"/>
        <v>561.05611963786373</v>
      </c>
      <c r="AN120" s="59">
        <f ca="1">AVERAGE(OFFSET($AM$3,0,0,'Données projet'!$E$10+1,1))-AVERAGE(OFFSET($H$3,0,0,'Données projet'!$E$10+1,1))</f>
        <v>335.02113791949211</v>
      </c>
      <c r="AO120" s="59">
        <f t="shared" si="90"/>
        <v>222.06886429435099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63.171228868568804</v>
      </c>
      <c r="AV120" s="21">
        <f>EXP(-LN(2)/25)*AV119+(1-EXP(-LN(2)/25))/(LN(2)/25)*Calculateur!AQ120*Calculateur!AS120*VLOOKUP('Données projet'!$B$10,Paramètres!$A$1:$I$89,3,0)*0.475*44/12</f>
        <v>48.949031632033453</v>
      </c>
      <c r="AW120" s="21">
        <f>EXP(-LN(2)/2)*AW119+(1-EXP(-LN(2)/2))/(LN(2)/2)*AQ120*AT120*VLOOKUP('Données projet'!$B$10,Paramètres!$A$1:$I$89,3,0)*0.475*44/12</f>
        <v>5.2736843362296222</v>
      </c>
      <c r="AX120" s="21">
        <f t="shared" si="60"/>
        <v>117.39394483683188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-3.1036506698001178E-14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207.02306964567629</v>
      </c>
      <c r="BJ120" s="59">
        <f t="shared" si="92"/>
        <v>342.06887933351783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14.677431849234287</v>
      </c>
      <c r="BQ120" s="21">
        <f>EXP(-LN(2)/25)*BQ119+(1-EXP(-LN(2)/25))/(LN(2)/25)*Calculateur!BL120*Calculateur!BN120*VLOOKUP('Données projet'!$B$11,Paramètres!$A$1:$I$89,3,0)*0.475*44/12</f>
        <v>17.729604891096464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32.407036740330753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233.89079999999998</v>
      </c>
      <c r="CA120" s="13">
        <f t="shared" si="93"/>
        <v>57.123140349023068</v>
      </c>
      <c r="CB120" s="20">
        <f t="shared" si="64"/>
        <v>506.84927944121517</v>
      </c>
      <c r="CC120" s="59">
        <f t="shared" si="65"/>
        <v>800.18261277454849</v>
      </c>
      <c r="CD120" s="59">
        <f ca="1">AVERAGE(OFFSET($CC$3,0,0,'Données projet'!$E$12+1,1))-AVERAGE(OFFSET($H$3,0,0,'Données projet'!$E$12+1,1))</f>
        <v>328.55201074501201</v>
      </c>
      <c r="CE120" s="59">
        <f t="shared" si="94"/>
        <v>321.81422611044985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16.090192009071309</v>
      </c>
      <c r="CL120" s="21">
        <f>EXP(-LN(2)/25)*CL119+(1-EXP(-LN(2)/25))/(LN(2)/25)*Calculateur!CG120*Calculateur!CI120*VLOOKUP('Données projet'!$B$12,Paramètres!$A$1:$I$89,3,0)*0.475*44/12</f>
        <v>2.0224529732710357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18.112644982342346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354.24684313982857</v>
      </c>
      <c r="CZ120" s="59">
        <f t="shared" si="96"/>
        <v>322.65043486962185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69.907132872958357</v>
      </c>
      <c r="DG120" s="21">
        <f>EXP(-LN(2)/25)*DG119+(1-EXP(-LN(2)/25))/(LN(2)/25)*Calculateur!DB120*Calculateur!DD120*VLOOKUP('Données projet'!$B$13,Paramètres!$A$1:$I$89,3,0)*0.475*44/12</f>
        <v>21.841465231390007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91.74859810434836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1.7053025658242404E-13</v>
      </c>
      <c r="DP120" s="17">
        <f>DO120*VLOOKUP('Données projet'!$B$14,Paramètres!$A$1:$I$89,3,0)*VLOOKUP('Données projet'!$B$14,Paramètres!$A$1:$I$89,5,0)</f>
        <v>1.3301360013429075E-13</v>
      </c>
      <c r="DQ120" s="13">
        <f t="shared" si="97"/>
        <v>1.9329766731057041E-12</v>
      </c>
      <c r="DR120" s="20">
        <f t="shared" si="70"/>
        <v>3.5982663925596575E-12</v>
      </c>
      <c r="DS120" s="59">
        <f t="shared" si="71"/>
        <v>293.3333333333369</v>
      </c>
      <c r="DT120" s="59">
        <f ca="1">AVERAGE(OFFSET($DS$3,0,0,'Données projet'!$E$14+1,1))-AVERAGE(OFFSET($H$3,0,0,'Données projet'!$E$14+1,1))</f>
        <v>288.80569134263209</v>
      </c>
      <c r="DU120" s="59">
        <f t="shared" si="98"/>
        <v>283.48738729114024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31.358829934360418</v>
      </c>
      <c r="EB120" s="21">
        <f>EXP(-LN(2)/25)*EB119+(1-EXP(-LN(2)/25))/(LN(2)/25)*Calculateur!DW120*Calculateur!DY120*VLOOKUP('Données projet'!$B$14,Paramètres!$A$1:$I$89,3,0)*0.475*44/12</f>
        <v>18.024678724527067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49.383508658887486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-1.1368683772161603E-13</v>
      </c>
      <c r="EK120" s="17">
        <f>EJ120*VLOOKUP('Données projet'!$B$15,Paramètres!$A$1:$I$89,3,0)*VLOOKUP('Données projet'!$B$15,Paramètres!$A$1:$I$89,5,0)</f>
        <v>-6.3550942286383367E-14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335.04906256888819</v>
      </c>
      <c r="EP120" s="59">
        <f t="shared" si="100"/>
        <v>440.84111898279554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66.392062143174925</v>
      </c>
      <c r="EW120" s="21">
        <f>EXP(-LN(2)/25)*EW119+(1-EXP(-LN(2)/25))/(LN(2)/25)*Calculateur!ER120*Calculateur!ET120*VLOOKUP('Données projet'!$B$15,Paramètres!$A$1:$I$89,3,0)*0.475*44/12</f>
        <v>10.32585445234189</v>
      </c>
      <c r="EX120" s="21">
        <f>EXP(-LN(2)/2)*EX119+(1-EXP(-LN(2)/2))/(LN(2)/2)*ER120*EU120*VLOOKUP('Données projet'!$B$15,Paramètres!$A$1:$I$89,3,0)*0.475*44/12</f>
        <v>1.5907596798666042E-8</v>
      </c>
      <c r="EY120" s="22">
        <f t="shared" si="75"/>
        <v>76.717916611424414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1.7053025658242404E-13</v>
      </c>
      <c r="O121" s="13">
        <f>N121*VLOOKUP('Données projet'!$B$9,Paramètres!$A$1:$I$89,3,0)*VLOOKUP('Données projet'!$B$9,Paramètres!$A$1:$I$89,5,0)</f>
        <v>1.383341441396624E-13</v>
      </c>
      <c r="P121" s="13">
        <f t="shared" si="87"/>
        <v>2.0011390722884082E-12</v>
      </c>
      <c r="Q121" s="20">
        <f t="shared" si="107"/>
        <v>3.7262491852788889E-12</v>
      </c>
      <c r="R121" s="59">
        <f t="shared" si="55"/>
        <v>293.33333333333707</v>
      </c>
      <c r="S121" s="59">
        <f ca="1">AVERAGE(OFFSET($R$3,0,0,'Données projet'!$E$9+1,1))-AVERAGE(OFFSET($H$3,0,0,'Données projet'!$E$9+1,1))</f>
        <v>298.96480270023716</v>
      </c>
      <c r="T121" s="59">
        <f t="shared" si="88"/>
        <v>293.11447542333889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39.409393038087188</v>
      </c>
      <c r="AA121" s="21">
        <f>EXP(-LN(2)/25)*AA120+(1-EXP(-LN(2)/25))/(LN(2)/25)*Calculateur!V121*Calculateur!X121*VLOOKUP('Données projet'!$B$9,Paramètres!$A$1:$I$89,3,0)*0.475*44/12</f>
        <v>22.473312248453105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61.882705286540293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3.6615384615384583</v>
      </c>
      <c r="AI121" s="13">
        <f>IF('Données projet'!$A$62&gt;35,AI120+AH121-AQ120,IF(A121&lt;'Données projet'!$A$62,$AF$205^A121,IF(A121='Données projet'!$A$62,'Données projet'!$B$62,AI120+AH121-AQ120)))</f>
        <v>145.45128205128222</v>
      </c>
      <c r="AJ121" s="13">
        <f>AI121*VLOOKUP('Données projet'!$B$10,Paramètres!$A$1:$I$89,3,0)*VLOOKUP('Données projet'!$B$10,Paramètres!$A$1:$I$89,5,0)</f>
        <v>124.79720000000016</v>
      </c>
      <c r="AK121" s="13">
        <f t="shared" si="89"/>
        <v>32.791302137298189</v>
      </c>
      <c r="AL121" s="20">
        <f t="shared" si="58"/>
        <v>274.46664122246131</v>
      </c>
      <c r="AM121" s="59">
        <f t="shared" si="59"/>
        <v>567.79997455579462</v>
      </c>
      <c r="AN121" s="59">
        <f ca="1">AVERAGE(OFFSET($AM$3,0,0,'Données projet'!$E$10+1,1))-AVERAGE(OFFSET($H$3,0,0,'Données projet'!$E$10+1,1))</f>
        <v>335.02113791949211</v>
      </c>
      <c r="AO121" s="59">
        <f t="shared" si="90"/>
        <v>222.06886429435099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61.932479601101193</v>
      </c>
      <c r="AV121" s="21">
        <f>EXP(-LN(2)/25)*AV120+(1-EXP(-LN(2)/25))/(LN(2)/25)*Calculateur!AQ121*Calculateur!AS121*VLOOKUP('Données projet'!$B$10,Paramètres!$A$1:$I$89,3,0)*0.475*44/12</f>
        <v>47.610517787937802</v>
      </c>
      <c r="AW121" s="21">
        <f>EXP(-LN(2)/2)*AW120+(1-EXP(-LN(2)/2))/(LN(2)/2)*AQ121*AT121*VLOOKUP('Données projet'!$B$10,Paramètres!$A$1:$I$89,3,0)*0.475*44/12</f>
        <v>3.729057955985243</v>
      </c>
      <c r="AX121" s="21">
        <f t="shared" si="60"/>
        <v>113.27205534502423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-3.1036506698001178E-14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207.02306964567629</v>
      </c>
      <c r="BJ121" s="59">
        <f t="shared" si="92"/>
        <v>342.06887933351783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14.389616363020259</v>
      </c>
      <c r="BQ121" s="21">
        <f>EXP(-LN(2)/25)*BQ120+(1-EXP(-LN(2)/25))/(LN(2)/25)*Calculateur!BL121*Calculateur!BN121*VLOOKUP('Données projet'!$B$11,Paramètres!$A$1:$I$89,3,0)*0.475*44/12</f>
        <v>17.244787912990031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31.63440427601029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233.89079999999998</v>
      </c>
      <c r="CA121" s="13">
        <f t="shared" si="93"/>
        <v>57.123140349023068</v>
      </c>
      <c r="CB121" s="20">
        <f t="shared" si="64"/>
        <v>506.84927944121517</v>
      </c>
      <c r="CC121" s="59">
        <f t="shared" si="65"/>
        <v>800.18261277454849</v>
      </c>
      <c r="CD121" s="59">
        <f ca="1">AVERAGE(OFFSET($CC$3,0,0,'Données projet'!$E$12+1,1))-AVERAGE(OFFSET($H$3,0,0,'Données projet'!$E$12+1,1))</f>
        <v>328.55201074501201</v>
      </c>
      <c r="CE121" s="59">
        <f t="shared" si="94"/>
        <v>321.81422611044985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15.774673157821489</v>
      </c>
      <c r="CL121" s="21">
        <f>EXP(-LN(2)/25)*CL120+(1-EXP(-LN(2)/25))/(LN(2)/25)*Calculateur!CG121*Calculateur!CI121*VLOOKUP('Données projet'!$B$12,Paramètres!$A$1:$I$89,3,0)*0.475*44/12</f>
        <v>1.9671488903607597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17.74182204818225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354.24684313982857</v>
      </c>
      <c r="CZ121" s="59">
        <f t="shared" si="96"/>
        <v>322.65043486962185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68.536296636460435</v>
      </c>
      <c r="DG121" s="21">
        <f>EXP(-LN(2)/25)*DG120+(1-EXP(-LN(2)/25))/(LN(2)/25)*Calculateur!DB121*Calculateur!DD121*VLOOKUP('Données projet'!$B$13,Paramètres!$A$1:$I$89,3,0)*0.475*44/12</f>
        <v>21.244209216044911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89.780505852505343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1.7053025658242404E-13</v>
      </c>
      <c r="DP121" s="17">
        <f>DO121*VLOOKUP('Données projet'!$B$14,Paramètres!$A$1:$I$89,3,0)*VLOOKUP('Données projet'!$B$14,Paramètres!$A$1:$I$89,5,0)</f>
        <v>1.3301360013429075E-13</v>
      </c>
      <c r="DQ121" s="13">
        <f t="shared" si="97"/>
        <v>1.9329766731057041E-12</v>
      </c>
      <c r="DR121" s="20">
        <f t="shared" si="70"/>
        <v>3.5982663925596575E-12</v>
      </c>
      <c r="DS121" s="59">
        <f t="shared" si="71"/>
        <v>293.3333333333369</v>
      </c>
      <c r="DT121" s="59">
        <f ca="1">AVERAGE(OFFSET($DS$3,0,0,'Données projet'!$E$14+1,1))-AVERAGE(OFFSET($H$3,0,0,'Données projet'!$E$14+1,1))</f>
        <v>288.80569134263209</v>
      </c>
      <c r="DU121" s="59">
        <f t="shared" si="98"/>
        <v>283.48738729114024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30.743902406345235</v>
      </c>
      <c r="EB121" s="21">
        <f>EXP(-LN(2)/25)*EB120+(1-EXP(-LN(2)/25))/(LN(2)/25)*Calculateur!DW121*Calculateur!DY121*VLOOKUP('Données projet'!$B$14,Paramètres!$A$1:$I$89,3,0)*0.475*44/12</f>
        <v>17.531792936928216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48.275695343273455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-1.1368683772161603E-13</v>
      </c>
      <c r="EK121" s="17">
        <f>EJ121*VLOOKUP('Données projet'!$B$15,Paramètres!$A$1:$I$89,3,0)*VLOOKUP('Données projet'!$B$15,Paramètres!$A$1:$I$89,5,0)</f>
        <v>-6.3550942286383367E-14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335.04906256888819</v>
      </c>
      <c r="EP121" s="59">
        <f t="shared" si="100"/>
        <v>440.84111898279554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65.090154299706612</v>
      </c>
      <c r="EW121" s="21">
        <f>EXP(-LN(2)/25)*EW120+(1-EXP(-LN(2)/25))/(LN(2)/25)*Calculateur!ER121*Calculateur!ET121*VLOOKUP('Données projet'!$B$15,Paramètres!$A$1:$I$89,3,0)*0.475*44/12</f>
        <v>10.043493419329515</v>
      </c>
      <c r="EX121" s="21">
        <f>EXP(-LN(2)/2)*EX120+(1-EXP(-LN(2)/2))/(LN(2)/2)*ER121*EU121*VLOOKUP('Données projet'!$B$15,Paramètres!$A$1:$I$89,3,0)*0.475*44/12</f>
        <v>1.1248369568718173E-8</v>
      </c>
      <c r="EY121" s="22">
        <f t="shared" si="75"/>
        <v>75.133647730284508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1.7053025658242404E-13</v>
      </c>
      <c r="O122" s="13">
        <f>N122*VLOOKUP('Données projet'!$B$9,Paramètres!$A$1:$I$89,3,0)*VLOOKUP('Données projet'!$B$9,Paramètres!$A$1:$I$89,5,0)</f>
        <v>1.383341441396624E-13</v>
      </c>
      <c r="P122" s="13">
        <f t="shared" si="87"/>
        <v>2.0011390722884082E-12</v>
      </c>
      <c r="Q122" s="20">
        <f t="shared" si="107"/>
        <v>3.7262491852788889E-12</v>
      </c>
      <c r="R122" s="59">
        <f t="shared" si="55"/>
        <v>293.33333333333707</v>
      </c>
      <c r="S122" s="59">
        <f ca="1">AVERAGE(OFFSET($R$3,0,0,'Données projet'!$E$9+1,1))-AVERAGE(OFFSET($H$3,0,0,'Données projet'!$E$9+1,1))</f>
        <v>298.96480270023716</v>
      </c>
      <c r="T122" s="59">
        <f t="shared" si="88"/>
        <v>293.11447542333889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38.636598877966563</v>
      </c>
      <c r="AA122" s="21">
        <f>EXP(-LN(2)/25)*AA121+(1-EXP(-LN(2)/25))/(LN(2)/25)*Calculateur!V122*Calculateur!X122*VLOOKUP('Données projet'!$B$9,Paramètres!$A$1:$I$89,3,0)*0.475*44/12</f>
        <v>21.858778343199027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60.49537722116559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3.6615384615384583</v>
      </c>
      <c r="AI122" s="13">
        <f>IF('Données projet'!$A$62&gt;35,AI121+AH122-AQ121,IF(A122&lt;'Données projet'!$A$62,$AF$205^A122,IF(A122='Données projet'!$A$62,'Données projet'!$B$62,AI121+AH122-AQ121)))</f>
        <v>149.11282051282069</v>
      </c>
      <c r="AJ122" s="13">
        <f>AI122*VLOOKUP('Données projet'!$B$10,Paramètres!$A$1:$I$89,3,0)*VLOOKUP('Données projet'!$B$10,Paramètres!$A$1:$I$89,5,0)</f>
        <v>127.93880000000017</v>
      </c>
      <c r="AK122" s="13">
        <f t="shared" si="89"/>
        <v>33.519634409619357</v>
      </c>
      <c r="AL122" s="20">
        <f t="shared" si="58"/>
        <v>281.20677326342064</v>
      </c>
      <c r="AM122" s="59">
        <f t="shared" si="59"/>
        <v>574.54010659675396</v>
      </c>
      <c r="AN122" s="59">
        <f ca="1">AVERAGE(OFFSET($AM$3,0,0,'Données projet'!$E$10+1,1))-AVERAGE(OFFSET($H$3,0,0,'Données projet'!$E$10+1,1))</f>
        <v>335.02113791949211</v>
      </c>
      <c r="AO122" s="59">
        <f t="shared" si="90"/>
        <v>222.06886429435099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60.718021451206177</v>
      </c>
      <c r="AV122" s="21">
        <f>EXP(-LN(2)/25)*AV121+(1-EXP(-LN(2)/25))/(LN(2)/25)*Calculateur!AQ122*Calculateur!AS122*VLOOKUP('Données projet'!$B$10,Paramètres!$A$1:$I$89,3,0)*0.475*44/12</f>
        <v>46.308605675298331</v>
      </c>
      <c r="AW122" s="21">
        <f>EXP(-LN(2)/2)*AW121+(1-EXP(-LN(2)/2))/(LN(2)/2)*AQ122*AT122*VLOOKUP('Données projet'!$B$10,Paramètres!$A$1:$I$89,3,0)*0.475*44/12</f>
        <v>2.6368421681148115</v>
      </c>
      <c r="AX122" s="21">
        <f t="shared" si="60"/>
        <v>109.66346929461932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-3.1036506698001178E-14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207.02306964567629</v>
      </c>
      <c r="BJ122" s="59">
        <f t="shared" si="92"/>
        <v>342.06887933351783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14.107444762940776</v>
      </c>
      <c r="BQ122" s="21">
        <f>EXP(-LN(2)/25)*BQ121+(1-EXP(-LN(2)/25))/(LN(2)/25)*Calculateur!BL122*Calculateur!BN122*VLOOKUP('Données projet'!$B$11,Paramètres!$A$1:$I$89,3,0)*0.475*44/12</f>
        <v>16.773228280645334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30.880673043586111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233.89079999999998</v>
      </c>
      <c r="CA122" s="13">
        <f t="shared" si="93"/>
        <v>57.123140349023068</v>
      </c>
      <c r="CB122" s="20">
        <f t="shared" si="64"/>
        <v>506.84927944121517</v>
      </c>
      <c r="CC122" s="59">
        <f t="shared" si="65"/>
        <v>800.18261277454849</v>
      </c>
      <c r="CD122" s="59">
        <f ca="1">AVERAGE(OFFSET($CC$3,0,0,'Données projet'!$E$12+1,1))-AVERAGE(OFFSET($H$3,0,0,'Données projet'!$E$12+1,1))</f>
        <v>328.55201074501201</v>
      </c>
      <c r="CE122" s="59">
        <f t="shared" si="94"/>
        <v>321.81422611044985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15.465341438797182</v>
      </c>
      <c r="CL122" s="21">
        <f>EXP(-LN(2)/25)*CL121+(1-EXP(-LN(2)/25))/(LN(2)/25)*Calculateur!CG122*Calculateur!CI122*VLOOKUP('Données projet'!$B$12,Paramètres!$A$1:$I$89,3,0)*0.475*44/12</f>
        <v>1.9133571005059806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17.378698539303162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354.24684313982857</v>
      </c>
      <c r="CZ122" s="59">
        <f t="shared" si="96"/>
        <v>322.65043486962185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67.192341662432696</v>
      </c>
      <c r="DG122" s="21">
        <f>EXP(-LN(2)/25)*DG121+(1-EXP(-LN(2)/25))/(LN(2)/25)*Calculateur!DB122*Calculateur!DD122*VLOOKUP('Données projet'!$B$13,Paramètres!$A$1:$I$89,3,0)*0.475*44/12</f>
        <v>20.663285197847756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87.855626860280452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1.7053025658242404E-13</v>
      </c>
      <c r="DP122" s="17">
        <f>DO122*VLOOKUP('Données projet'!$B$14,Paramètres!$A$1:$I$89,3,0)*VLOOKUP('Données projet'!$B$14,Paramètres!$A$1:$I$89,5,0)</f>
        <v>1.3301360013429075E-13</v>
      </c>
      <c r="DQ122" s="13">
        <f t="shared" si="97"/>
        <v>1.9329766731057041E-12</v>
      </c>
      <c r="DR122" s="20">
        <f t="shared" si="70"/>
        <v>3.5982663925596575E-12</v>
      </c>
      <c r="DS122" s="59">
        <f t="shared" si="71"/>
        <v>293.3333333333369</v>
      </c>
      <c r="DT122" s="59">
        <f ca="1">AVERAGE(OFFSET($DS$3,0,0,'Données projet'!$E$14+1,1))-AVERAGE(OFFSET($H$3,0,0,'Données projet'!$E$14+1,1))</f>
        <v>288.80569134263209</v>
      </c>
      <c r="DU122" s="59">
        <f t="shared" si="98"/>
        <v>283.48738729114024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30.141033232085675</v>
      </c>
      <c r="EB122" s="21">
        <f>EXP(-LN(2)/25)*EB121+(1-EXP(-LN(2)/25))/(LN(2)/25)*Calculateur!DW122*Calculateur!DY122*VLOOKUP('Données projet'!$B$14,Paramètres!$A$1:$I$89,3,0)*0.475*44/12</f>
        <v>17.052385137110992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47.193418369196664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-1.1368683772161603E-13</v>
      </c>
      <c r="EK122" s="17">
        <f>EJ122*VLOOKUP('Données projet'!$B$15,Paramètres!$A$1:$I$89,3,0)*VLOOKUP('Données projet'!$B$15,Paramètres!$A$1:$I$89,5,0)</f>
        <v>-6.3550942286383367E-14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335.04906256888819</v>
      </c>
      <c r="EP122" s="59">
        <f t="shared" si="100"/>
        <v>440.84111898279554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63.813776074963336</v>
      </c>
      <c r="EW122" s="21">
        <f>EXP(-LN(2)/25)*EW121+(1-EXP(-LN(2)/25))/(LN(2)/25)*Calculateur!ER122*Calculateur!ET122*VLOOKUP('Données projet'!$B$15,Paramètres!$A$1:$I$89,3,0)*0.475*44/12</f>
        <v>9.7688535636135843</v>
      </c>
      <c r="EX122" s="21">
        <f>EXP(-LN(2)/2)*EX121+(1-EXP(-LN(2)/2))/(LN(2)/2)*ER122*EU122*VLOOKUP('Données projet'!$B$15,Paramètres!$A$1:$I$89,3,0)*0.475*44/12</f>
        <v>7.953798399333021E-9</v>
      </c>
      <c r="EY122" s="22">
        <f t="shared" si="75"/>
        <v>73.582629646530719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1.7053025658242404E-13</v>
      </c>
      <c r="O123" s="13">
        <f>N123*VLOOKUP('Données projet'!$B$9,Paramètres!$A$1:$I$89,3,0)*VLOOKUP('Données projet'!$B$9,Paramètres!$A$1:$I$89,5,0)</f>
        <v>1.383341441396624E-13</v>
      </c>
      <c r="P123" s="13">
        <f t="shared" si="87"/>
        <v>2.0011390722884082E-12</v>
      </c>
      <c r="Q123" s="20">
        <f t="shared" si="107"/>
        <v>3.7262491852788889E-12</v>
      </c>
      <c r="R123" s="59">
        <f t="shared" si="55"/>
        <v>293.33333333333707</v>
      </c>
      <c r="S123" s="59">
        <f ca="1">AVERAGE(OFFSET($R$3,0,0,'Données projet'!$E$9+1,1))-AVERAGE(OFFSET($H$3,0,0,'Données projet'!$E$9+1,1))</f>
        <v>298.96480270023716</v>
      </c>
      <c r="T123" s="59">
        <f t="shared" si="88"/>
        <v>293.11447542333889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37.878958739968006</v>
      </c>
      <c r="AA123" s="21">
        <f>EXP(-LN(2)/25)*AA122+(1-EXP(-LN(2)/25))/(LN(2)/25)*Calculateur!V123*Calculateur!X123*VLOOKUP('Données projet'!$B$9,Paramètres!$A$1:$I$89,3,0)*0.475*44/12</f>
        <v>21.261048899901056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59.140007639869062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3.6615384615384583</v>
      </c>
      <c r="AI123" s="13">
        <f>IF('Données projet'!$A$62&gt;35,AI122+AH123-AQ122,IF(A123&lt;'Données projet'!$A$62,$AF$205^A123,IF(A123='Données projet'!$A$62,'Données projet'!$B$62,AI122+AH123-AQ122)))</f>
        <v>152.77435897435916</v>
      </c>
      <c r="AJ123" s="13">
        <f>AI123*VLOOKUP('Données projet'!$B$10,Paramètres!$A$1:$I$89,3,0)*VLOOKUP('Données projet'!$B$10,Paramètres!$A$1:$I$89,5,0)</f>
        <v>131.08040000000017</v>
      </c>
      <c r="AK123" s="13">
        <f t="shared" si="89"/>
        <v>34.245887671060004</v>
      </c>
      <c r="AL123" s="20">
        <f t="shared" si="58"/>
        <v>287.9432843604298</v>
      </c>
      <c r="AM123" s="59">
        <f t="shared" si="59"/>
        <v>581.27661769376311</v>
      </c>
      <c r="AN123" s="59">
        <f ca="1">AVERAGE(OFFSET($AM$3,0,0,'Données projet'!$E$10+1,1))-AVERAGE(OFFSET($H$3,0,0,'Données projet'!$E$10+1,1))</f>
        <v>335.02113791949211</v>
      </c>
      <c r="AO123" s="59">
        <f t="shared" si="90"/>
        <v>222.06886429435099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59.527378084884269</v>
      </c>
      <c r="AV123" s="21">
        <f>EXP(-LN(2)/25)*AV122+(1-EXP(-LN(2)/25))/(LN(2)/25)*Calculateur!AQ123*Calculateur!AS123*VLOOKUP('Données projet'!$B$10,Paramètres!$A$1:$I$89,3,0)*0.475*44/12</f>
        <v>45.042294417843564</v>
      </c>
      <c r="AW123" s="21">
        <f>EXP(-LN(2)/2)*AW122+(1-EXP(-LN(2)/2))/(LN(2)/2)*AQ123*AT123*VLOOKUP('Données projet'!$B$10,Paramètres!$A$1:$I$89,3,0)*0.475*44/12</f>
        <v>1.8645289779926217</v>
      </c>
      <c r="AX123" s="21">
        <f t="shared" si="60"/>
        <v>106.43420148072045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-3.1036506698001178E-14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207.02306964567629</v>
      </c>
      <c r="BJ123" s="59">
        <f t="shared" si="92"/>
        <v>342.06887933351783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13.83080637583117</v>
      </c>
      <c r="BQ123" s="21">
        <f>EXP(-LN(2)/25)*BQ122+(1-EXP(-LN(2)/25))/(LN(2)/25)*Calculateur!BL123*Calculateur!BN123*VLOOKUP('Données projet'!$B$11,Paramètres!$A$1:$I$89,3,0)*0.475*44/12</f>
        <v>16.314563471245346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30.145369847076516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233.89079999999998</v>
      </c>
      <c r="CA123" s="13">
        <f t="shared" si="93"/>
        <v>57.123140349023068</v>
      </c>
      <c r="CB123" s="20">
        <f t="shared" si="64"/>
        <v>506.84927944121517</v>
      </c>
      <c r="CC123" s="59">
        <f t="shared" si="65"/>
        <v>800.18261277454849</v>
      </c>
      <c r="CD123" s="59">
        <f ca="1">AVERAGE(OFFSET($CC$3,0,0,'Données projet'!$E$12+1,1))-AVERAGE(OFFSET($H$3,0,0,'Données projet'!$E$12+1,1))</f>
        <v>328.55201074501201</v>
      </c>
      <c r="CE123" s="59">
        <f t="shared" si="94"/>
        <v>321.81422611044985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15.162075526109223</v>
      </c>
      <c r="CL123" s="21">
        <f>EXP(-LN(2)/25)*CL122+(1-EXP(-LN(2)/25))/(LN(2)/25)*Calculateur!CG123*Calculateur!CI123*VLOOKUP('Données projet'!$B$12,Paramètres!$A$1:$I$89,3,0)*0.475*44/12</f>
        <v>1.8610362499735678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17.023111776082793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354.24684313982857</v>
      </c>
      <c r="CZ123" s="59">
        <f t="shared" si="96"/>
        <v>322.65043486962185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65.874740825714042</v>
      </c>
      <c r="DG123" s="21">
        <f>EXP(-LN(2)/25)*DG122+(1-EXP(-LN(2)/25))/(LN(2)/25)*Calculateur!DB123*Calculateur!DD123*VLOOKUP('Données projet'!$B$13,Paramètres!$A$1:$I$89,3,0)*0.475*44/12</f>
        <v>20.098246577477667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85.972987403191709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1.7053025658242404E-13</v>
      </c>
      <c r="DP123" s="17">
        <f>DO123*VLOOKUP('Données projet'!$B$14,Paramètres!$A$1:$I$89,3,0)*VLOOKUP('Données projet'!$B$14,Paramètres!$A$1:$I$89,5,0)</f>
        <v>1.3301360013429075E-13</v>
      </c>
      <c r="DQ123" s="13">
        <f t="shared" si="97"/>
        <v>1.9329766731057041E-12</v>
      </c>
      <c r="DR123" s="20">
        <f t="shared" si="70"/>
        <v>3.5982663925596575E-12</v>
      </c>
      <c r="DS123" s="59">
        <f t="shared" si="71"/>
        <v>293.3333333333369</v>
      </c>
      <c r="DT123" s="59">
        <f ca="1">AVERAGE(OFFSET($DS$3,0,0,'Données projet'!$E$14+1,1))-AVERAGE(OFFSET($H$3,0,0,'Données projet'!$E$14+1,1))</f>
        <v>288.80569134263209</v>
      </c>
      <c r="DU123" s="59">
        <f t="shared" si="98"/>
        <v>283.48738729114024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29.549985954619455</v>
      </c>
      <c r="EB123" s="21">
        <f>EXP(-LN(2)/25)*EB122+(1-EXP(-LN(2)/25))/(LN(2)/25)*Calculateur!DW123*Calculateur!DY123*VLOOKUP('Données projet'!$B$14,Paramètres!$A$1:$I$89,3,0)*0.475*44/12</f>
        <v>16.586086768790732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46.136072723410187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-1.1368683772161603E-13</v>
      </c>
      <c r="EK123" s="17">
        <f>EJ123*VLOOKUP('Données projet'!$B$15,Paramètres!$A$1:$I$89,3,0)*VLOOKUP('Données projet'!$B$15,Paramètres!$A$1:$I$89,5,0)</f>
        <v>-6.3550942286383367E-14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335.04906256888819</v>
      </c>
      <c r="EP123" s="59">
        <f t="shared" si="100"/>
        <v>440.84111898279554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62.562426848693427</v>
      </c>
      <c r="EW123" s="21">
        <f>EXP(-LN(2)/25)*EW122+(1-EXP(-LN(2)/25))/(LN(2)/25)*Calculateur!ER123*Calculateur!ET123*VLOOKUP('Données projet'!$B$15,Paramètres!$A$1:$I$89,3,0)*0.475*44/12</f>
        <v>9.5017237491948894</v>
      </c>
      <c r="EX123" s="21">
        <f>EXP(-LN(2)/2)*EX122+(1-EXP(-LN(2)/2))/(LN(2)/2)*ER123*EU123*VLOOKUP('Données projet'!$B$15,Paramètres!$A$1:$I$89,3,0)*0.475*44/12</f>
        <v>5.6241847843590864E-9</v>
      </c>
      <c r="EY123" s="22">
        <f t="shared" si="75"/>
        <v>72.064150603512502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1.7053025658242404E-13</v>
      </c>
      <c r="O124" s="13">
        <f>N124*VLOOKUP('Données projet'!$B$9,Paramètres!$A$1:$I$89,3,0)*VLOOKUP('Données projet'!$B$9,Paramètres!$A$1:$I$89,5,0)</f>
        <v>1.383341441396624E-13</v>
      </c>
      <c r="P124" s="13">
        <f t="shared" si="87"/>
        <v>2.0011390722884082E-12</v>
      </c>
      <c r="Q124" s="20">
        <f t="shared" si="107"/>
        <v>3.7262491852788889E-12</v>
      </c>
      <c r="R124" s="59">
        <f t="shared" si="55"/>
        <v>293.33333333333707</v>
      </c>
      <c r="S124" s="59">
        <f ca="1">AVERAGE(OFFSET($R$3,0,0,'Données projet'!$E$9+1,1))-AVERAGE(OFFSET($H$3,0,0,'Données projet'!$E$9+1,1))</f>
        <v>298.96480270023716</v>
      </c>
      <c r="T124" s="59">
        <f t="shared" si="88"/>
        <v>293.11447542333889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37.136175462960743</v>
      </c>
      <c r="AA124" s="21">
        <f>EXP(-LN(2)/25)*AA123+(1-EXP(-LN(2)/25))/(LN(2)/25)*Calculateur!V124*Calculateur!X124*VLOOKUP('Données projet'!$B$9,Paramètres!$A$1:$I$89,3,0)*0.475*44/12</f>
        <v>20.679664399663292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57.815839862624031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156.43589743589743</v>
      </c>
      <c r="AG124" s="12">
        <f>VLOOKUP(A124,'Données projet'!$A$61:$I$81,9,0)</f>
        <v>3.6615384615384583</v>
      </c>
      <c r="AH124" s="12">
        <f t="array" ref="AH124">INDEX(AG:AG,MIN(IF(ISNUMBER(AG124:AG320),ROW(AG124:AG320),"")))</f>
        <v>3.6615384615384583</v>
      </c>
      <c r="AI124" s="13">
        <f>IF('Données projet'!$A$62&gt;35,AI123+AH124-AQ123,IF(A124&lt;'Données projet'!$A$62,$AF$205^A124,IF(A124='Données projet'!$A$62,'Données projet'!$B$62,AI123+AH124-AQ123)))</f>
        <v>156.43589743589763</v>
      </c>
      <c r="AJ124" s="13">
        <f>AI124*VLOOKUP('Données projet'!$B$10,Paramètres!$A$1:$I$89,3,0)*VLOOKUP('Données projet'!$B$10,Paramètres!$A$1:$I$89,5,0)</f>
        <v>134.22200000000018</v>
      </c>
      <c r="AK124" s="13">
        <f t="shared" si="89"/>
        <v>34.970117482376928</v>
      </c>
      <c r="AL124" s="20">
        <f t="shared" si="58"/>
        <v>294.67627128180681</v>
      </c>
      <c r="AM124" s="59">
        <f t="shared" si="59"/>
        <v>588.00960461514012</v>
      </c>
      <c r="AN124" s="59">
        <f ca="1">AVERAGE(OFFSET($AM$3,0,0,'Données projet'!$E$10+1,1))-AVERAGE(OFFSET($H$3,0,0,'Données projet'!$E$10+1,1))</f>
        <v>335.02113791949211</v>
      </c>
      <c r="AO124" s="59">
        <f t="shared" si="90"/>
        <v>222.06886429435099</v>
      </c>
      <c r="AP124" s="15">
        <f>IF(ISNA(VLOOKUP(A124,'Données projet'!$A$61:$I$81,3,0)),0,VLOOKUP(A124,'Données projet'!$A$61:$I$81,3,0))</f>
        <v>11</v>
      </c>
      <c r="AQ124" s="15">
        <f>IF(ISNA(VLOOKUP(A124,'Données projet'!$A$61:$I$81,4,0)),0,VLOOKUP(A124,'Données projet'!$A$61:$I$81,4,0))</f>
        <v>66.179487179487168</v>
      </c>
      <c r="AR124" s="16">
        <f>IF(ISNA(VLOOKUP(A124,'Données projet'!$A$61:$I$81,5,0)),0%,VLOOKUP(A124,'Données projet'!$A$61:$I$81,5,0)*VLOOKUP('Données projet'!$B$10,Paramètres!$A$1:$I$89,7,0))</f>
        <v>0.318</v>
      </c>
      <c r="AS124" s="16">
        <f>IF(ISNA(VLOOKUP(A124,'Données projet'!$A$61:$I$81,6,0)),0%,VLOOKUP(A124,'Données projet'!$A$61:$I$81,6,0)*VLOOKUP('Données projet'!$B$10,Paramètres!$A$1:$I$89,7,0))</f>
        <v>0.1855</v>
      </c>
      <c r="AT124" s="16">
        <f>IF(ISNA(VLOOKUP(A124,'Données projet'!$A$61:$I$81,7,0)),0%,VLOOKUP(A124,'Données projet'!$A$61:$I$81,7,0))</f>
        <v>0.05</v>
      </c>
      <c r="AU124" s="21">
        <f>EXP(-LN(2)/35)*AU123+(1-EXP(-LN(2)/35))/(LN(2)/35)*AQ124*AR124*VLOOKUP('Données projet'!$B$10,Paramètres!$A$1:$I$89,3,0)*0.475*44/12</f>
        <v>78.3212029795787</v>
      </c>
      <c r="AV124" s="21">
        <f>EXP(-LN(2)/25)*AV123+(1-EXP(-LN(2)/25))/(LN(2)/25)*Calculateur!AQ124*Calculateur!AS124*VLOOKUP('Données projet'!$B$10,Paramètres!$A$1:$I$89,3,0)*0.475*44/12</f>
        <v>55.40875063633522</v>
      </c>
      <c r="AW124" s="21">
        <f>EXP(-LN(2)/2)*AW123+(1-EXP(-LN(2)/2))/(LN(2)/2)*AQ124*AT124*VLOOKUP('Données projet'!$B$10,Paramètres!$A$1:$I$89,3,0)*0.475*44/12</f>
        <v>3.9971883473135632</v>
      </c>
      <c r="AX124" s="21">
        <f t="shared" si="60"/>
        <v>137.7271419632275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-3.1036506698001178E-14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207.02306964567629</v>
      </c>
      <c r="BJ124" s="59">
        <f t="shared" si="92"/>
        <v>342.06887933351783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13.559592698760028</v>
      </c>
      <c r="BQ124" s="21">
        <f>EXP(-LN(2)/25)*BQ123+(1-EXP(-LN(2)/25))/(LN(2)/25)*Calculateur!BL124*Calculateur!BN124*VLOOKUP('Données projet'!$B$11,Paramètres!$A$1:$I$89,3,0)*0.475*44/12</f>
        <v>15.868440875178537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29.428033573938563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233.89079999999998</v>
      </c>
      <c r="CA124" s="13">
        <f t="shared" si="93"/>
        <v>57.123140349023068</v>
      </c>
      <c r="CB124" s="20">
        <f t="shared" si="64"/>
        <v>506.84927944121517</v>
      </c>
      <c r="CC124" s="59">
        <f t="shared" si="65"/>
        <v>800.18261277454849</v>
      </c>
      <c r="CD124" s="59">
        <f ca="1">AVERAGE(OFFSET($CC$3,0,0,'Données projet'!$E$12+1,1))-AVERAGE(OFFSET($H$3,0,0,'Données projet'!$E$12+1,1))</f>
        <v>328.55201074501201</v>
      </c>
      <c r="CE124" s="59">
        <f t="shared" si="94"/>
        <v>321.81422611044985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14.864756472995133</v>
      </c>
      <c r="CL124" s="21">
        <f>EXP(-LN(2)/25)*CL123+(1-EXP(-LN(2)/25))/(LN(2)/25)*Calculateur!CG124*Calculateur!CI124*VLOOKUP('Données projet'!$B$12,Paramètres!$A$1:$I$89,3,0)*0.475*44/12</f>
        <v>1.8101461158503975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16.67490258884553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354.24684313982857</v>
      </c>
      <c r="CZ124" s="59">
        <f t="shared" si="96"/>
        <v>322.65043486962185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64.582977337746286</v>
      </c>
      <c r="DG124" s="21">
        <f>EXP(-LN(2)/25)*DG123+(1-EXP(-LN(2)/25))/(LN(2)/25)*Calculateur!DB124*Calculateur!DD124*VLOOKUP('Données projet'!$B$13,Paramètres!$A$1:$I$89,3,0)*0.475*44/12</f>
        <v>19.548658967895687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84.131636305641976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1.7053025658242404E-13</v>
      </c>
      <c r="DP124" s="17">
        <f>DO124*VLOOKUP('Données projet'!$B$14,Paramètres!$A$1:$I$89,3,0)*VLOOKUP('Données projet'!$B$14,Paramètres!$A$1:$I$89,5,0)</f>
        <v>1.3301360013429075E-13</v>
      </c>
      <c r="DQ124" s="13">
        <f t="shared" si="97"/>
        <v>1.9329766731057041E-12</v>
      </c>
      <c r="DR124" s="20">
        <f t="shared" si="70"/>
        <v>3.5982663925596575E-12</v>
      </c>
      <c r="DS124" s="59">
        <f t="shared" si="71"/>
        <v>293.3333333333369</v>
      </c>
      <c r="DT124" s="59">
        <f ca="1">AVERAGE(OFFSET($DS$3,0,0,'Données projet'!$E$14+1,1))-AVERAGE(OFFSET($H$3,0,0,'Données projet'!$E$14+1,1))</f>
        <v>288.80569134263209</v>
      </c>
      <c r="DU124" s="59">
        <f t="shared" si="98"/>
        <v>283.48738729114024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28.970528753761105</v>
      </c>
      <c r="EB124" s="21">
        <f>EXP(-LN(2)/25)*EB123+(1-EXP(-LN(2)/25))/(LN(2)/25)*Calculateur!DW124*Calculateur!DY124*VLOOKUP('Données projet'!$B$14,Paramètres!$A$1:$I$89,3,0)*0.475*44/12</f>
        <v>16.132539353873753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45.103068107634854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-1.1368683772161603E-13</v>
      </c>
      <c r="EK124" s="17">
        <f>EJ124*VLOOKUP('Données projet'!$B$15,Paramètres!$A$1:$I$89,3,0)*VLOOKUP('Données projet'!$B$15,Paramètres!$A$1:$I$89,5,0)</f>
        <v>-6.3550942286383367E-14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335.04906256888819</v>
      </c>
      <c r="EP124" s="59">
        <f t="shared" si="100"/>
        <v>440.84111898279554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61.335615817503005</v>
      </c>
      <c r="EW124" s="21">
        <f>EXP(-LN(2)/25)*EW123+(1-EXP(-LN(2)/25))/(LN(2)/25)*Calculateur!ER124*Calculateur!ET124*VLOOKUP('Données projet'!$B$15,Paramètres!$A$1:$I$89,3,0)*0.475*44/12</f>
        <v>9.2418986135992203</v>
      </c>
      <c r="EX124" s="21">
        <f>EXP(-LN(2)/2)*EX123+(1-EXP(-LN(2)/2))/(LN(2)/2)*ER124*EU124*VLOOKUP('Données projet'!$B$15,Paramètres!$A$1:$I$89,3,0)*0.475*44/12</f>
        <v>3.9768991996665105E-9</v>
      </c>
      <c r="EY124" s="22">
        <f t="shared" si="75"/>
        <v>70.577514435079124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1.7053025658242404E-13</v>
      </c>
      <c r="O125" s="13">
        <f>N125*VLOOKUP('Données projet'!$B$9,Paramètres!$A$1:$I$89,3,0)*VLOOKUP('Données projet'!$B$9,Paramètres!$A$1:$I$89,5,0)</f>
        <v>1.383341441396624E-13</v>
      </c>
      <c r="P125" s="13">
        <f t="shared" si="87"/>
        <v>2.0011390722884082E-12</v>
      </c>
      <c r="Q125" s="20">
        <f t="shared" si="107"/>
        <v>3.7262491852788889E-12</v>
      </c>
      <c r="R125" s="59">
        <f t="shared" si="55"/>
        <v>293.33333333333707</v>
      </c>
      <c r="S125" s="59">
        <f ca="1">AVERAGE(OFFSET($R$3,0,0,'Données projet'!$E$9+1,1))-AVERAGE(OFFSET($H$3,0,0,'Données projet'!$E$9+1,1))</f>
        <v>298.96480270023716</v>
      </c>
      <c r="T125" s="59">
        <f t="shared" si="88"/>
        <v>293.11447542333889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36.407957712962535</v>
      </c>
      <c r="AA125" s="21">
        <f>EXP(-LN(2)/25)*AA124+(1-EXP(-LN(2)/25))/(LN(2)/25)*Calculateur!V125*Calculateur!X125*VLOOKUP('Données projet'!$B$9,Paramètres!$A$1:$I$89,3,0)*0.475*44/12</f>
        <v>20.114177889158213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56.522135602120748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2.5913461538461497</v>
      </c>
      <c r="AI125" s="13">
        <f>IF('Données projet'!$A$62&gt;35,AI124+AH125-AQ124,IF(A125&lt;'Données projet'!$A$62,$AF$205^A125,IF(A125='Données projet'!$A$62,'Données projet'!$B$62,AI124+AH125-AQ124)))</f>
        <v>92.847756410256622</v>
      </c>
      <c r="AJ125" s="13">
        <f>AI125*VLOOKUP('Données projet'!$B$10,Paramètres!$A$1:$I$89,3,0)*VLOOKUP('Données projet'!$B$10,Paramètres!$A$1:$I$89,5,0)</f>
        <v>79.663375000000201</v>
      </c>
      <c r="AK125" s="13">
        <f t="shared" si="89"/>
        <v>22.054857378075976</v>
      </c>
      <c r="AL125" s="20">
        <f t="shared" si="58"/>
        <v>177.15925472514937</v>
      </c>
      <c r="AM125" s="59">
        <f t="shared" si="59"/>
        <v>470.49258805848268</v>
      </c>
      <c r="AN125" s="59">
        <f ca="1">AVERAGE(OFFSET($AM$3,0,0,'Données projet'!$E$10+1,1))-AVERAGE(OFFSET($H$3,0,0,'Données projet'!$E$10+1,1))</f>
        <v>335.02113791949211</v>
      </c>
      <c r="AO125" s="59">
        <f t="shared" si="90"/>
        <v>222.06886429435099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76.785371960365964</v>
      </c>
      <c r="AV125" s="21">
        <f>EXP(-LN(2)/25)*AV124+(1-EXP(-LN(2)/25))/(LN(2)/25)*Calculateur!AQ125*Calculateur!AS125*VLOOKUP('Données projet'!$B$10,Paramètres!$A$1:$I$89,3,0)*0.475*44/12</f>
        <v>53.893595436365075</v>
      </c>
      <c r="AW125" s="21">
        <f>EXP(-LN(2)/2)*AW124+(1-EXP(-LN(2)/2))/(LN(2)/2)*AQ125*AT125*VLOOKUP('Données projet'!$B$10,Paramètres!$A$1:$I$89,3,0)*0.475*44/12</f>
        <v>2.8264389860652694</v>
      </c>
      <c r="AX125" s="21">
        <f t="shared" si="60"/>
        <v>133.50540638279628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-3.1036506698001178E-14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207.02306964567629</v>
      </c>
      <c r="BJ125" s="59">
        <f t="shared" si="92"/>
        <v>342.06887933351783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13.293697356472242</v>
      </c>
      <c r="BQ125" s="21">
        <f>EXP(-LN(2)/25)*BQ124+(1-EXP(-LN(2)/25))/(LN(2)/25)*Calculateur!BL125*Calculateur!BN125*VLOOKUP('Données projet'!$B$11,Paramètres!$A$1:$I$89,3,0)*0.475*44/12</f>
        <v>15.434517524961743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28.728214881433985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233.89079999999998</v>
      </c>
      <c r="CA125" s="13">
        <f t="shared" si="93"/>
        <v>57.123140349023068</v>
      </c>
      <c r="CB125" s="20">
        <f t="shared" si="64"/>
        <v>506.84927944121517</v>
      </c>
      <c r="CC125" s="59">
        <f t="shared" si="65"/>
        <v>800.18261277454849</v>
      </c>
      <c r="CD125" s="59">
        <f ca="1">AVERAGE(OFFSET($CC$3,0,0,'Données projet'!$E$12+1,1))-AVERAGE(OFFSET($H$3,0,0,'Données projet'!$E$12+1,1))</f>
        <v>328.55201074501201</v>
      </c>
      <c r="CE125" s="59">
        <f t="shared" si="94"/>
        <v>321.81422611044985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14.573267665165893</v>
      </c>
      <c r="CL125" s="21">
        <f>EXP(-LN(2)/25)*CL124+(1-EXP(-LN(2)/25))/(LN(2)/25)*Calculateur!CG125*Calculateur!CI125*VLOOKUP('Données projet'!$B$12,Paramètres!$A$1:$I$89,3,0)*0.475*44/12</f>
        <v>1.7606475751210213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16.333915240286913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354.24684313982857</v>
      </c>
      <c r="CZ125" s="59">
        <f t="shared" si="96"/>
        <v>322.65043486962185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63.316544543879644</v>
      </c>
      <c r="DG125" s="21">
        <f>EXP(-LN(2)/25)*DG124+(1-EXP(-LN(2)/25))/(LN(2)/25)*Calculateur!DB125*Calculateur!DD125*VLOOKUP('Données projet'!$B$13,Paramètres!$A$1:$I$89,3,0)*0.475*44/12</f>
        <v>19.014099860399284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82.330644404278928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1.7053025658242404E-13</v>
      </c>
      <c r="DP125" s="17">
        <f>DO125*VLOOKUP('Données projet'!$B$14,Paramètres!$A$1:$I$89,3,0)*VLOOKUP('Données projet'!$B$14,Paramètres!$A$1:$I$89,5,0)</f>
        <v>1.3301360013429075E-13</v>
      </c>
      <c r="DQ125" s="13">
        <f t="shared" si="97"/>
        <v>1.9329766731057041E-12</v>
      </c>
      <c r="DR125" s="20">
        <f t="shared" si="70"/>
        <v>3.5982663925596575E-12</v>
      </c>
      <c r="DS125" s="59">
        <f t="shared" si="71"/>
        <v>293.3333333333369</v>
      </c>
      <c r="DT125" s="59">
        <f ca="1">AVERAGE(OFFSET($DS$3,0,0,'Données projet'!$E$14+1,1))-AVERAGE(OFFSET($H$3,0,0,'Données projet'!$E$14+1,1))</f>
        <v>288.80569134263209</v>
      </c>
      <c r="DU125" s="59">
        <f t="shared" si="98"/>
        <v>283.48738729114024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28.402434355177594</v>
      </c>
      <c r="EB125" s="21">
        <f>EXP(-LN(2)/25)*EB124+(1-EXP(-LN(2)/25))/(LN(2)/25)*Calculateur!DW125*Calculateur!DY125*VLOOKUP('Données projet'!$B$14,Paramètres!$A$1:$I$89,3,0)*0.475*44/12</f>
        <v>15.691394216868702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44.093828572046291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-1.1368683772161603E-13</v>
      </c>
      <c r="EK125" s="17">
        <f>EJ125*VLOOKUP('Données projet'!$B$15,Paramètres!$A$1:$I$89,3,0)*VLOOKUP('Données projet'!$B$15,Paramètres!$A$1:$I$89,5,0)</f>
        <v>-6.3550942286383367E-14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335.04906256888819</v>
      </c>
      <c r="EP125" s="59">
        <f t="shared" si="100"/>
        <v>440.84111898279554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60.132861802353389</v>
      </c>
      <c r="EW125" s="21">
        <f>EXP(-LN(2)/25)*EW124+(1-EXP(-LN(2)/25))/(LN(2)/25)*Calculateur!ER125*Calculateur!ET125*VLOOKUP('Données projet'!$B$15,Paramètres!$A$1:$I$89,3,0)*0.475*44/12</f>
        <v>8.989178410000024</v>
      </c>
      <c r="EX125" s="21">
        <f>EXP(-LN(2)/2)*EX124+(1-EXP(-LN(2)/2))/(LN(2)/2)*ER125*EU125*VLOOKUP('Données projet'!$B$15,Paramètres!$A$1:$I$89,3,0)*0.475*44/12</f>
        <v>2.8120923921795432E-9</v>
      </c>
      <c r="EY125" s="22">
        <f t="shared" si="75"/>
        <v>69.122040215165498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1.7053025658242404E-13</v>
      </c>
      <c r="O126" s="13">
        <f>N126*VLOOKUP('Données projet'!$B$9,Paramètres!$A$1:$I$89,3,0)*VLOOKUP('Données projet'!$B$9,Paramètres!$A$1:$I$89,5,0)</f>
        <v>1.383341441396624E-13</v>
      </c>
      <c r="P126" s="13">
        <f t="shared" si="87"/>
        <v>2.0011390722884082E-12</v>
      </c>
      <c r="Q126" s="20">
        <f t="shared" si="107"/>
        <v>3.7262491852788889E-12</v>
      </c>
      <c r="R126" s="59">
        <f t="shared" si="55"/>
        <v>293.33333333333707</v>
      </c>
      <c r="S126" s="59">
        <f ca="1">AVERAGE(OFFSET($R$3,0,0,'Données projet'!$E$9+1,1))-AVERAGE(OFFSET($H$3,0,0,'Données projet'!$E$9+1,1))</f>
        <v>298.96480270023716</v>
      </c>
      <c r="T126" s="59">
        <f t="shared" si="88"/>
        <v>293.11447542333889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35.694019868872822</v>
      </c>
      <c r="AA126" s="21">
        <f>EXP(-LN(2)/25)*AA125+(1-EXP(-LN(2)/25))/(LN(2)/25)*Calculateur!V126*Calculateur!X126*VLOOKUP('Données projet'!$B$9,Paramètres!$A$1:$I$89,3,0)*0.475*44/12</f>
        <v>19.56415463702054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55.258174505893365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2.5913461538461497</v>
      </c>
      <c r="AI126" s="13">
        <f>IF('Données projet'!$A$62&gt;35,AI125+AH126-AQ125,IF(A126&lt;'Données projet'!$A$62,$AF$205^A126,IF(A126='Données projet'!$A$62,'Données projet'!$B$62,AI125+AH126-AQ125)))</f>
        <v>95.439102564102768</v>
      </c>
      <c r="AJ126" s="13">
        <f>AI126*VLOOKUP('Données projet'!$B$10,Paramètres!$A$1:$I$89,3,0)*VLOOKUP('Données projet'!$B$10,Paramètres!$A$1:$I$89,5,0)</f>
        <v>81.886750000000191</v>
      </c>
      <c r="AK126" s="13">
        <f t="shared" si="89"/>
        <v>22.59787658839414</v>
      </c>
      <c r="AL126" s="20">
        <f t="shared" si="58"/>
        <v>181.9773913081201</v>
      </c>
      <c r="AM126" s="59">
        <f t="shared" si="59"/>
        <v>475.31072464145342</v>
      </c>
      <c r="AN126" s="59">
        <f ca="1">AVERAGE(OFFSET($AM$3,0,0,'Données projet'!$E$10+1,1))-AVERAGE(OFFSET($H$3,0,0,'Données projet'!$E$10+1,1))</f>
        <v>335.02113791949211</v>
      </c>
      <c r="AO126" s="59">
        <f t="shared" si="90"/>
        <v>222.06886429435099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75.27965765067556</v>
      </c>
      <c r="AV126" s="21">
        <f>EXP(-LN(2)/25)*AV125+(1-EXP(-LN(2)/25))/(LN(2)/25)*Calculateur!AQ126*Calculateur!AS126*VLOOKUP('Données projet'!$B$10,Paramètres!$A$1:$I$89,3,0)*0.475*44/12</f>
        <v>52.419872235016662</v>
      </c>
      <c r="AW126" s="21">
        <f>EXP(-LN(2)/2)*AW125+(1-EXP(-LN(2)/2))/(LN(2)/2)*AQ126*AT126*VLOOKUP('Données projet'!$B$10,Paramètres!$A$1:$I$89,3,0)*0.475*44/12</f>
        <v>1.9985941736567818</v>
      </c>
      <c r="AX126" s="21">
        <f t="shared" si="60"/>
        <v>129.698124059349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-3.1036506698001178E-14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207.02306964567629</v>
      </c>
      <c r="BJ126" s="59">
        <f t="shared" si="92"/>
        <v>342.06887933351783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13.033016059666576</v>
      </c>
      <c r="BQ126" s="21">
        <f>EXP(-LN(2)/25)*BQ125+(1-EXP(-LN(2)/25))/(LN(2)/25)*Calculateur!BL126*Calculateur!BN126*VLOOKUP('Données projet'!$B$11,Paramètres!$A$1:$I$89,3,0)*0.475*44/12</f>
        <v>15.012459831575663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28.045475891242241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233.89079999999998</v>
      </c>
      <c r="CA126" s="13">
        <f t="shared" si="93"/>
        <v>57.123140349023068</v>
      </c>
      <c r="CB126" s="20">
        <f t="shared" si="64"/>
        <v>506.84927944121517</v>
      </c>
      <c r="CC126" s="59">
        <f t="shared" si="65"/>
        <v>800.18261277454849</v>
      </c>
      <c r="CD126" s="59">
        <f ca="1">AVERAGE(OFFSET($CC$3,0,0,'Données projet'!$E$12+1,1))-AVERAGE(OFFSET($H$3,0,0,'Données projet'!$E$12+1,1))</f>
        <v>328.55201074501201</v>
      </c>
      <c r="CE126" s="59">
        <f t="shared" si="94"/>
        <v>321.81422611044985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14.287494775067568</v>
      </c>
      <c r="CL126" s="21">
        <f>EXP(-LN(2)/25)*CL125+(1-EXP(-LN(2)/25))/(LN(2)/25)*Calculateur!CG126*Calculateur!CI126*VLOOKUP('Données projet'!$B$12,Paramètres!$A$1:$I$89,3,0)*0.475*44/12</f>
        <v>1.712502574590905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15.999997349658473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354.24684313982857</v>
      </c>
      <c r="CZ126" s="59">
        <f t="shared" si="96"/>
        <v>322.65043486962185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62.074945724652999</v>
      </c>
      <c r="DG126" s="21">
        <f>EXP(-LN(2)/25)*DG125+(1-EXP(-LN(2)/25))/(LN(2)/25)*Calculateur!DB126*Calculateur!DD126*VLOOKUP('Données projet'!$B$13,Paramètres!$A$1:$I$89,3,0)*0.475*44/12</f>
        <v>18.49415829980861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80.569104024461609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1.7053025658242404E-13</v>
      </c>
      <c r="DP126" s="17">
        <f>DO126*VLOOKUP('Données projet'!$B$14,Paramètres!$A$1:$I$89,3,0)*VLOOKUP('Données projet'!$B$14,Paramètres!$A$1:$I$89,5,0)</f>
        <v>1.3301360013429075E-13</v>
      </c>
      <c r="DQ126" s="13">
        <f t="shared" si="97"/>
        <v>1.9329766731057041E-12</v>
      </c>
      <c r="DR126" s="20">
        <f t="shared" si="70"/>
        <v>3.5982663925596575E-12</v>
      </c>
      <c r="DS126" s="59">
        <f t="shared" si="71"/>
        <v>293.3333333333369</v>
      </c>
      <c r="DT126" s="59">
        <f ca="1">AVERAGE(OFFSET($DS$3,0,0,'Données projet'!$E$14+1,1))-AVERAGE(OFFSET($H$3,0,0,'Données projet'!$E$14+1,1))</f>
        <v>288.80569134263209</v>
      </c>
      <c r="DU126" s="59">
        <f t="shared" si="98"/>
        <v>283.48738729114024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27.845479941246936</v>
      </c>
      <c r="EB126" s="21">
        <f>EXP(-LN(2)/25)*EB125+(1-EXP(-LN(2)/25))/(LN(2)/25)*Calculateur!DW126*Calculateur!DY126*VLOOKUP('Données projet'!$B$14,Paramètres!$A$1:$I$89,3,0)*0.475*44/12</f>
        <v>15.262312216833868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43.107792158080805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-1.1368683772161603E-13</v>
      </c>
      <c r="EK126" s="17">
        <f>EJ126*VLOOKUP('Données projet'!$B$15,Paramètres!$A$1:$I$89,3,0)*VLOOKUP('Données projet'!$B$15,Paramètres!$A$1:$I$89,5,0)</f>
        <v>-6.3550942286383367E-14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335.04906256888819</v>
      </c>
      <c r="EP126" s="59">
        <f t="shared" si="100"/>
        <v>440.84111898279554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58.953693059833341</v>
      </c>
      <c r="EW126" s="21">
        <f>EXP(-LN(2)/25)*EW125+(1-EXP(-LN(2)/25))/(LN(2)/25)*Calculateur!ER126*Calculateur!ET126*VLOOKUP('Données projet'!$B$15,Paramètres!$A$1:$I$89,3,0)*0.475*44/12</f>
        <v>8.7433688536582252</v>
      </c>
      <c r="EX126" s="21">
        <f>EXP(-LN(2)/2)*EX125+(1-EXP(-LN(2)/2))/(LN(2)/2)*ER126*EU126*VLOOKUP('Données projet'!$B$15,Paramètres!$A$1:$I$89,3,0)*0.475*44/12</f>
        <v>1.9884495998332552E-9</v>
      </c>
      <c r="EY126" s="22">
        <f t="shared" si="75"/>
        <v>67.69706191548002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1.7053025658242404E-13</v>
      </c>
      <c r="O127" s="13">
        <f>N127*VLOOKUP('Données projet'!$B$9,Paramètres!$A$1:$I$89,3,0)*VLOOKUP('Données projet'!$B$9,Paramètres!$A$1:$I$89,5,0)</f>
        <v>1.383341441396624E-13</v>
      </c>
      <c r="P127" s="13">
        <f t="shared" si="87"/>
        <v>2.0011390722884082E-12</v>
      </c>
      <c r="Q127" s="20">
        <f t="shared" si="107"/>
        <v>3.7262491852788889E-12</v>
      </c>
      <c r="R127" s="59">
        <f t="shared" si="55"/>
        <v>293.33333333333707</v>
      </c>
      <c r="S127" s="59">
        <f ca="1">AVERAGE(OFFSET($R$3,0,0,'Données projet'!$E$9+1,1))-AVERAGE(OFFSET($H$3,0,0,'Données projet'!$E$9+1,1))</f>
        <v>298.96480270023716</v>
      </c>
      <c r="T127" s="59">
        <f t="shared" si="88"/>
        <v>293.11447542333889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34.994081910446617</v>
      </c>
      <c r="AA127" s="21">
        <f>EXP(-LN(2)/25)*AA126+(1-EXP(-LN(2)/25))/(LN(2)/25)*Calculateur!V127*Calculateur!X127*VLOOKUP('Données projet'!$B$9,Paramètres!$A$1:$I$89,3,0)*0.475*44/12</f>
        <v>19.029171799637034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54.023253710083651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2.5913461538461497</v>
      </c>
      <c r="AI127" s="13">
        <f>IF('Données projet'!$A$62&gt;35,AI126+AH127-AQ126,IF(A127&lt;'Données projet'!$A$62,$AF$205^A127,IF(A127='Données projet'!$A$62,'Données projet'!$B$62,AI126+AH127-AQ126)))</f>
        <v>98.030448717948914</v>
      </c>
      <c r="AJ127" s="13">
        <f>AI127*VLOOKUP('Données projet'!$B$10,Paramètres!$A$1:$I$89,3,0)*VLOOKUP('Données projet'!$B$10,Paramètres!$A$1:$I$89,5,0)</f>
        <v>84.110125000000181</v>
      </c>
      <c r="AK127" s="13">
        <f t="shared" si="89"/>
        <v>23.139182087878137</v>
      </c>
      <c r="AL127" s="20">
        <f t="shared" si="58"/>
        <v>186.79254317805476</v>
      </c>
      <c r="AM127" s="59">
        <f t="shared" si="59"/>
        <v>480.12587651138807</v>
      </c>
      <c r="AN127" s="59">
        <f ca="1">AVERAGE(OFFSET($AM$3,0,0,'Données projet'!$E$10+1,1))-AVERAGE(OFFSET($H$3,0,0,'Données projet'!$E$10+1,1))</f>
        <v>335.02113791949211</v>
      </c>
      <c r="AO127" s="59">
        <f t="shared" si="90"/>
        <v>222.06886429435099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73.803469480203148</v>
      </c>
      <c r="AV127" s="21">
        <f>EXP(-LN(2)/25)*AV126+(1-EXP(-LN(2)/25))/(LN(2)/25)*Calculateur!AQ127*Calculateur!AS127*VLOOKUP('Données projet'!$B$10,Paramètres!$A$1:$I$89,3,0)*0.475*44/12</f>
        <v>50.986448072108857</v>
      </c>
      <c r="AW127" s="21">
        <f>EXP(-LN(2)/2)*AW126+(1-EXP(-LN(2)/2))/(LN(2)/2)*AQ127*AT127*VLOOKUP('Données projet'!$B$10,Paramètres!$A$1:$I$89,3,0)*0.475*44/12</f>
        <v>1.4132194930326349</v>
      </c>
      <c r="AX127" s="21">
        <f t="shared" si="60"/>
        <v>126.20313704534465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-3.1036506698001178E-14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207.02306964567629</v>
      </c>
      <c r="BJ127" s="59">
        <f t="shared" si="92"/>
        <v>342.06887933351783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12.777446564091377</v>
      </c>
      <c r="BQ127" s="21">
        <f>EXP(-LN(2)/25)*BQ126+(1-EXP(-LN(2)/25))/(LN(2)/25)*Calculateur!BL127*Calculateur!BN127*VLOOKUP('Données projet'!$B$11,Paramètres!$A$1:$I$89,3,0)*0.475*44/12</f>
        <v>14.601943328010275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27.379389892101653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233.89079999999998</v>
      </c>
      <c r="CA127" s="13">
        <f t="shared" si="93"/>
        <v>57.123140349023068</v>
      </c>
      <c r="CB127" s="20">
        <f t="shared" si="64"/>
        <v>506.84927944121517</v>
      </c>
      <c r="CC127" s="59">
        <f t="shared" si="65"/>
        <v>800.18261277454849</v>
      </c>
      <c r="CD127" s="59">
        <f ca="1">AVERAGE(OFFSET($CC$3,0,0,'Données projet'!$E$12+1,1))-AVERAGE(OFFSET($H$3,0,0,'Données projet'!$E$12+1,1))</f>
        <v>328.55201074501201</v>
      </c>
      <c r="CE127" s="59">
        <f t="shared" si="94"/>
        <v>321.81422611044985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14.007325717039819</v>
      </c>
      <c r="CL127" s="21">
        <f>EXP(-LN(2)/25)*CL126+(1-EXP(-LN(2)/25))/(LN(2)/25)*Calculateur!CG127*Calculateur!CI127*VLOOKUP('Données projet'!$B$12,Paramètres!$A$1:$I$89,3,0)*0.475*44/12</f>
        <v>1.6656741016321204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15.67299981867194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354.24684313982857</v>
      </c>
      <c r="CZ127" s="59">
        <f t="shared" si="96"/>
        <v>322.65043486962185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60.857693900970887</v>
      </c>
      <c r="DG127" s="21">
        <f>EXP(-LN(2)/25)*DG126+(1-EXP(-LN(2)/25))/(LN(2)/25)*Calculateur!DB127*Calculateur!DD127*VLOOKUP('Données projet'!$B$13,Paramètres!$A$1:$I$89,3,0)*0.475*44/12</f>
        <v>17.988434568534828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78.846128469505715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1.7053025658242404E-13</v>
      </c>
      <c r="DP127" s="17">
        <f>DO127*VLOOKUP('Données projet'!$B$14,Paramètres!$A$1:$I$89,3,0)*VLOOKUP('Données projet'!$B$14,Paramètres!$A$1:$I$89,5,0)</f>
        <v>1.3301360013429075E-13</v>
      </c>
      <c r="DQ127" s="13">
        <f t="shared" si="97"/>
        <v>1.9329766731057041E-12</v>
      </c>
      <c r="DR127" s="20">
        <f t="shared" si="70"/>
        <v>3.5982663925596575E-12</v>
      </c>
      <c r="DS127" s="59">
        <f t="shared" si="71"/>
        <v>293.3333333333369</v>
      </c>
      <c r="DT127" s="59">
        <f ca="1">AVERAGE(OFFSET($DS$3,0,0,'Données projet'!$E$14+1,1))-AVERAGE(OFFSET($H$3,0,0,'Données projet'!$E$14+1,1))</f>
        <v>288.80569134263209</v>
      </c>
      <c r="DU127" s="59">
        <f t="shared" si="98"/>
        <v>283.48738729114024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27.299447063664811</v>
      </c>
      <c r="EB127" s="21">
        <f>EXP(-LN(2)/25)*EB126+(1-EXP(-LN(2)/25))/(LN(2)/25)*Calculateur!DW127*Calculateur!DY127*VLOOKUP('Données projet'!$B$14,Paramètres!$A$1:$I$89,3,0)*0.475*44/12</f>
        <v>14.844963486654429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42.144410550319236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-1.1368683772161603E-13</v>
      </c>
      <c r="EK127" s="17">
        <f>EJ127*VLOOKUP('Données projet'!$B$15,Paramètres!$A$1:$I$89,3,0)*VLOOKUP('Données projet'!$B$15,Paramètres!$A$1:$I$89,5,0)</f>
        <v>-6.3550942286383367E-14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335.04906256888819</v>
      </c>
      <c r="EP127" s="59">
        <f t="shared" si="100"/>
        <v>440.84111898279554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57.797647097132199</v>
      </c>
      <c r="EW127" s="21">
        <f>EXP(-LN(2)/25)*EW126+(1-EXP(-LN(2)/25))/(LN(2)/25)*Calculateur!ER127*Calculateur!ET127*VLOOKUP('Données projet'!$B$15,Paramètres!$A$1:$I$89,3,0)*0.475*44/12</f>
        <v>8.5042809725611566</v>
      </c>
      <c r="EX127" s="21">
        <f>EXP(-LN(2)/2)*EX126+(1-EXP(-LN(2)/2))/(LN(2)/2)*ER127*EU127*VLOOKUP('Données projet'!$B$15,Paramètres!$A$1:$I$89,3,0)*0.475*44/12</f>
        <v>1.4060461960897716E-9</v>
      </c>
      <c r="EY127" s="22">
        <f t="shared" si="75"/>
        <v>66.301928071099411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1.7053025658242404E-13</v>
      </c>
      <c r="O128" s="13">
        <f>N128*VLOOKUP('Données projet'!$B$9,Paramètres!$A$1:$I$89,3,0)*VLOOKUP('Données projet'!$B$9,Paramètres!$A$1:$I$89,5,0)</f>
        <v>1.383341441396624E-13</v>
      </c>
      <c r="P128" s="13">
        <f t="shared" si="87"/>
        <v>2.0011390722884082E-12</v>
      </c>
      <c r="Q128" s="20">
        <f t="shared" si="107"/>
        <v>3.7262491852788889E-12</v>
      </c>
      <c r="R128" s="59">
        <f t="shared" si="55"/>
        <v>293.33333333333707</v>
      </c>
      <c r="S128" s="59">
        <f ca="1">AVERAGE(OFFSET($R$3,0,0,'Données projet'!$E$9+1,1))-AVERAGE(OFFSET($H$3,0,0,'Données projet'!$E$9+1,1))</f>
        <v>298.96480270023716</v>
      </c>
      <c r="T128" s="59">
        <f t="shared" si="88"/>
        <v>293.11447542333889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34.30786930846515</v>
      </c>
      <c r="AA128" s="21">
        <f>EXP(-LN(2)/25)*AA127+(1-EXP(-LN(2)/25))/(LN(2)/25)*Calculateur!V128*Calculateur!X128*VLOOKUP('Données projet'!$B$9,Paramètres!$A$1:$I$89,3,0)*0.475*44/12</f>
        <v>18.508818096075306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52.81668740454046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100.62179487179486</v>
      </c>
      <c r="AG128" s="12">
        <f>VLOOKUP(A128,'Données projet'!$A$61:$I$81,9,0)</f>
        <v>2.5913461538461497</v>
      </c>
      <c r="AH128" s="12">
        <f t="array" ref="AH128">INDEX(AG:AG,MIN(IF(ISNUMBER(AG128:AG324),ROW(AG128:AG324),"")))</f>
        <v>2.5913461538461497</v>
      </c>
      <c r="AI128" s="13">
        <f>IF('Données projet'!$A$62&gt;35,AI127+AH128-AQ127,IF(A128&lt;'Données projet'!$A$62,$AF$205^A128,IF(A128='Données projet'!$A$62,'Données projet'!$B$62,AI127+AH128-AQ127)))</f>
        <v>100.62179487179506</v>
      </c>
      <c r="AJ128" s="13">
        <f>AI128*VLOOKUP('Données projet'!$B$10,Paramètres!$A$1:$I$89,3,0)*VLOOKUP('Données projet'!$B$10,Paramètres!$A$1:$I$89,5,0)</f>
        <v>86.333500000000171</v>
      </c>
      <c r="AK128" s="13">
        <f t="shared" si="89"/>
        <v>23.678824384070392</v>
      </c>
      <c r="AL128" s="20">
        <f t="shared" si="58"/>
        <v>191.60479830225623</v>
      </c>
      <c r="AM128" s="59">
        <f t="shared" si="59"/>
        <v>484.93813163558957</v>
      </c>
      <c r="AN128" s="59">
        <f ca="1">AVERAGE(OFFSET($AM$3,0,0,'Données projet'!$E$10+1,1))-AVERAGE(OFFSET($H$3,0,0,'Données projet'!$E$10+1,1))</f>
        <v>335.02113791949211</v>
      </c>
      <c r="AO128" s="59">
        <f t="shared" si="90"/>
        <v>222.06886429435099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100.62179487179486</v>
      </c>
      <c r="AR128" s="16">
        <f>IF(ISNA(VLOOKUP(A128,'Données projet'!$A$61:$I$81,5,0)),0%,VLOOKUP(A128,'Données projet'!$A$61:$I$81,5,0)*VLOOKUP('Données projet'!$B$10,Paramètres!$A$1:$I$89,7,0))</f>
        <v>0.318</v>
      </c>
      <c r="AS128" s="16">
        <f>IF(ISNA(VLOOKUP(A128,'Données projet'!$A$61:$I$81,6,0)),0%,VLOOKUP(A128,'Données projet'!$A$61:$I$81,6,0)*VLOOKUP('Données projet'!$B$10,Paramètres!$A$1:$I$89,7,0))</f>
        <v>0.1855</v>
      </c>
      <c r="AT128" s="16">
        <f>IF(ISNA(VLOOKUP(A128,'Données projet'!$A$61:$I$81,7,0)),0%,VLOOKUP(A128,'Données projet'!$A$61:$I$81,7,0))</f>
        <v>0.05</v>
      </c>
      <c r="AU128" s="21">
        <f>EXP(-LN(2)/35)*AU127+(1-EXP(-LN(2)/35))/(LN(2)/35)*AQ128*AR128*VLOOKUP('Données projet'!$B$10,Paramètres!$A$1:$I$89,3,0)*0.475*44/12</f>
        <v>102.70587084899554</v>
      </c>
      <c r="AV128" s="21">
        <f>EXP(-LN(2)/25)*AV127+(1-EXP(-LN(2)/25))/(LN(2)/25)*Calculateur!AQ128*Calculateur!AS128*VLOOKUP('Données projet'!$B$10,Paramètres!$A$1:$I$89,3,0)*0.475*44/12</f>
        <v>67.226471800310918</v>
      </c>
      <c r="AW128" s="21">
        <f>EXP(-LN(2)/2)*AW127+(1-EXP(-LN(2)/2))/(LN(2)/2)*AQ128*AT128*VLOOKUP('Données projet'!$B$10,Paramètres!$A$1:$I$89,3,0)*0.475*44/12</f>
        <v>5.0721961309326051</v>
      </c>
      <c r="AX128" s="21">
        <f t="shared" si="60"/>
        <v>175.00453878023907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-3.1036506698001178E-14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207.02306964567629</v>
      </c>
      <c r="BJ128" s="59">
        <f t="shared" si="92"/>
        <v>342.06887933351783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12.526888630442409</v>
      </c>
      <c r="BQ128" s="21">
        <f>EXP(-LN(2)/25)*BQ127+(1-EXP(-LN(2)/25))/(LN(2)/25)*Calculateur!BL128*Calculateur!BN128*VLOOKUP('Données projet'!$B$11,Paramètres!$A$1:$I$89,3,0)*0.475*44/12</f>
        <v>14.202652419823007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26.729541050265418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233.89079999999998</v>
      </c>
      <c r="CA128" s="13">
        <f t="shared" si="93"/>
        <v>57.123140349023068</v>
      </c>
      <c r="CB128" s="20">
        <f t="shared" si="64"/>
        <v>506.84927944121517</v>
      </c>
      <c r="CC128" s="59">
        <f t="shared" si="65"/>
        <v>800.18261277454849</v>
      </c>
      <c r="CD128" s="59">
        <f ca="1">AVERAGE(OFFSET($CC$3,0,0,'Données projet'!$E$12+1,1))-AVERAGE(OFFSET($H$3,0,0,'Données projet'!$E$12+1,1))</f>
        <v>328.55201074501201</v>
      </c>
      <c r="CE128" s="59">
        <f t="shared" si="94"/>
        <v>321.81422611044985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13.732650603353743</v>
      </c>
      <c r="CL128" s="21">
        <f>EXP(-LN(2)/25)*CL127+(1-EXP(-LN(2)/25))/(LN(2)/25)*Calculateur!CG128*Calculateur!CI128*VLOOKUP('Données projet'!$B$12,Paramètres!$A$1:$I$89,3,0)*0.475*44/12</f>
        <v>1.6201261557289961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15.35277675908274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354.24684313982857</v>
      </c>
      <c r="CZ128" s="59">
        <f t="shared" si="96"/>
        <v>322.65043486962185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59.664311643100881</v>
      </c>
      <c r="DG128" s="21">
        <f>EXP(-LN(2)/25)*DG127+(1-EXP(-LN(2)/25))/(LN(2)/25)*Calculateur!DB128*Calculateur!DD128*VLOOKUP('Données projet'!$B$13,Paramètres!$A$1:$I$89,3,0)*0.475*44/12</f>
        <v>17.496539879287582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77.160851522388469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1.7053025658242404E-13</v>
      </c>
      <c r="DP128" s="17">
        <f>DO128*VLOOKUP('Données projet'!$B$14,Paramètres!$A$1:$I$89,3,0)*VLOOKUP('Données projet'!$B$14,Paramètres!$A$1:$I$89,5,0)</f>
        <v>1.3301360013429075E-13</v>
      </c>
      <c r="DQ128" s="13">
        <f t="shared" si="97"/>
        <v>1.9329766731057041E-12</v>
      </c>
      <c r="DR128" s="20">
        <f t="shared" si="70"/>
        <v>3.5982663925596575E-12</v>
      </c>
      <c r="DS128" s="59">
        <f t="shared" si="71"/>
        <v>293.3333333333369</v>
      </c>
      <c r="DT128" s="59">
        <f ca="1">AVERAGE(OFFSET($DS$3,0,0,'Données projet'!$E$14+1,1))-AVERAGE(OFFSET($H$3,0,0,'Données projet'!$E$14+1,1))</f>
        <v>288.80569134263209</v>
      </c>
      <c r="DU128" s="59">
        <f t="shared" si="98"/>
        <v>283.48738729114024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26.764121557764902</v>
      </c>
      <c r="EB128" s="21">
        <f>EXP(-LN(2)/25)*EB127+(1-EXP(-LN(2)/25))/(LN(2)/25)*Calculateur!DW128*Calculateur!DY128*VLOOKUP('Données projet'!$B$14,Paramètres!$A$1:$I$89,3,0)*0.475*44/12</f>
        <v>14.439027179449162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41.203148737214065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-1.1368683772161603E-13</v>
      </c>
      <c r="EK128" s="17">
        <f>EJ128*VLOOKUP('Données projet'!$B$15,Paramètres!$A$1:$I$89,3,0)*VLOOKUP('Données projet'!$B$15,Paramètres!$A$1:$I$89,5,0)</f>
        <v>-6.3550942286383367E-14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335.04906256888819</v>
      </c>
      <c r="EP128" s="59">
        <f t="shared" si="100"/>
        <v>440.84111898279554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56.664270490641215</v>
      </c>
      <c r="EW128" s="21">
        <f>EXP(-LN(2)/25)*EW127+(1-EXP(-LN(2)/25))/(LN(2)/25)*Calculateur!ER128*Calculateur!ET128*VLOOKUP('Données projet'!$B$15,Paramètres!$A$1:$I$89,3,0)*0.475*44/12</f>
        <v>8.2717309621457726</v>
      </c>
      <c r="EX128" s="21">
        <f>EXP(-LN(2)/2)*EX127+(1-EXP(-LN(2)/2))/(LN(2)/2)*ER128*EU128*VLOOKUP('Données projet'!$B$15,Paramètres!$A$1:$I$89,3,0)*0.475*44/12</f>
        <v>9.9422479991662762E-10</v>
      </c>
      <c r="EY128" s="22">
        <f t="shared" si="75"/>
        <v>64.936001453781202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1.7053025658242404E-13</v>
      </c>
      <c r="O129" s="13">
        <f>N129*VLOOKUP('Données projet'!$B$9,Paramètres!$A$1:$I$89,3,0)*VLOOKUP('Données projet'!$B$9,Paramètres!$A$1:$I$89,5,0)</f>
        <v>1.383341441396624E-13</v>
      </c>
      <c r="P129" s="13">
        <f t="shared" si="87"/>
        <v>2.0011390722884082E-12</v>
      </c>
      <c r="Q129" s="20">
        <f t="shared" si="107"/>
        <v>3.7262491852788889E-12</v>
      </c>
      <c r="R129" s="59">
        <f t="shared" si="55"/>
        <v>293.33333333333707</v>
      </c>
      <c r="S129" s="59">
        <f ca="1">AVERAGE(OFFSET($R$3,0,0,'Données projet'!$E$9+1,1))-AVERAGE(OFFSET($H$3,0,0,'Données projet'!$E$9+1,1))</f>
        <v>298.96480270023716</v>
      </c>
      <c r="T129" s="59">
        <f t="shared" si="88"/>
        <v>293.11447542333889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33.635112917060184</v>
      </c>
      <c r="AA129" s="21">
        <f>EXP(-LN(2)/25)*AA128+(1-EXP(-LN(2)/25))/(LN(2)/25)*Calculateur!V129*Calculateur!X129*VLOOKUP('Données projet'!$B$9,Paramètres!$A$1:$I$89,3,0)*0.475*44/12</f>
        <v>18.002693491901685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51.637806408961865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1.9895196601282805E-13</v>
      </c>
      <c r="AJ129" s="13">
        <f>AI129*VLOOKUP('Données projet'!$B$10,Paramètres!$A$1:$I$89,3,0)*VLOOKUP('Données projet'!$B$10,Paramètres!$A$1:$I$89,5,0)</f>
        <v>1.707007868390065E-13</v>
      </c>
      <c r="AK129" s="13">
        <f t="shared" si="89"/>
        <v>2.4096578055149408E-12</v>
      </c>
      <c r="AL129" s="20">
        <f t="shared" si="58"/>
        <v>4.4941245483497909E-12</v>
      </c>
      <c r="AM129" s="59">
        <f t="shared" si="59"/>
        <v>293.33333333333781</v>
      </c>
      <c r="AN129" s="59">
        <f ca="1">AVERAGE(OFFSET($AM$3,0,0,'Données projet'!$E$10+1,1))-AVERAGE(OFFSET($H$3,0,0,'Données projet'!$E$10+1,1))</f>
        <v>335.02113791949211</v>
      </c>
      <c r="AO129" s="59">
        <f t="shared" si="90"/>
        <v>222.06886429435099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100.69187136604234</v>
      </c>
      <c r="AV129" s="21">
        <f>EXP(-LN(2)/25)*AV128+(1-EXP(-LN(2)/25))/(LN(2)/25)*Calculateur!AQ129*Calculateur!AS129*VLOOKUP('Données projet'!$B$10,Paramètres!$A$1:$I$89,3,0)*0.475*44/12</f>
        <v>65.38816039364491</v>
      </c>
      <c r="AW129" s="21">
        <f>EXP(-LN(2)/2)*AW128+(1-EXP(-LN(2)/2))/(LN(2)/2)*AQ129*AT129*VLOOKUP('Données projet'!$B$10,Paramètres!$A$1:$I$89,3,0)*0.475*44/12</f>
        <v>3.5865842796906149</v>
      </c>
      <c r="AX129" s="21">
        <f t="shared" si="60"/>
        <v>169.66661603937786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-3.1036506698001178E-14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207.02306964567629</v>
      </c>
      <c r="BJ129" s="59">
        <f t="shared" si="92"/>
        <v>342.06887933351783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12.281243985047047</v>
      </c>
      <c r="BQ129" s="21">
        <f>EXP(-LN(2)/25)*BQ128+(1-EXP(-LN(2)/25))/(LN(2)/25)*Calculateur!BL129*Calculateur!BN129*VLOOKUP('Données projet'!$B$11,Paramètres!$A$1:$I$89,3,0)*0.475*44/12</f>
        <v>13.814280142517918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26.095524127564964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233.89079999999998</v>
      </c>
      <c r="CA129" s="13">
        <f t="shared" si="93"/>
        <v>57.123140349023068</v>
      </c>
      <c r="CB129" s="20">
        <f t="shared" si="64"/>
        <v>506.84927944121517</v>
      </c>
      <c r="CC129" s="59">
        <f t="shared" si="65"/>
        <v>800.18261277454849</v>
      </c>
      <c r="CD129" s="59">
        <f ca="1">AVERAGE(OFFSET($CC$3,0,0,'Données projet'!$E$12+1,1))-AVERAGE(OFFSET($H$3,0,0,'Données projet'!$E$12+1,1))</f>
        <v>328.55201074501201</v>
      </c>
      <c r="CE129" s="59">
        <f t="shared" si="94"/>
        <v>321.81422611044985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13.463361701111774</v>
      </c>
      <c r="CL129" s="21">
        <f>EXP(-LN(2)/25)*CL128+(1-EXP(-LN(2)/25))/(LN(2)/25)*Calculateur!CG129*Calculateur!CI129*VLOOKUP('Données projet'!$B$12,Paramètres!$A$1:$I$89,3,0)*0.475*44/12</f>
        <v>1.5758237208018551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15.039185421913629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354.24684313982857</v>
      </c>
      <c r="CZ129" s="59">
        <f t="shared" si="96"/>
        <v>322.65043486962185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58.494330883416396</v>
      </c>
      <c r="DG129" s="21">
        <f>EXP(-LN(2)/25)*DG128+(1-EXP(-LN(2)/25))/(LN(2)/25)*Calculateur!DB129*Calculateur!DD129*VLOOKUP('Données projet'!$B$13,Paramètres!$A$1:$I$89,3,0)*0.475*44/12</f>
        <v>17.018096076185419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75.512426959601811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1.7053025658242404E-13</v>
      </c>
      <c r="DP129" s="17">
        <f>DO129*VLOOKUP('Données projet'!$B$14,Paramètres!$A$1:$I$89,3,0)*VLOOKUP('Données projet'!$B$14,Paramètres!$A$1:$I$89,5,0)</f>
        <v>1.3301360013429075E-13</v>
      </c>
      <c r="DQ129" s="13">
        <f t="shared" si="97"/>
        <v>1.9329766731057041E-12</v>
      </c>
      <c r="DR129" s="20">
        <f t="shared" si="70"/>
        <v>3.5982663925596575E-12</v>
      </c>
      <c r="DS129" s="59">
        <f t="shared" si="71"/>
        <v>293.3333333333369</v>
      </c>
      <c r="DT129" s="59">
        <f ca="1">AVERAGE(OFFSET($DS$3,0,0,'Données projet'!$E$14+1,1))-AVERAGE(OFFSET($H$3,0,0,'Données projet'!$E$14+1,1))</f>
        <v>288.80569134263209</v>
      </c>
      <c r="DU129" s="59">
        <f t="shared" si="98"/>
        <v>283.48738729114024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26.239293458519374</v>
      </c>
      <c r="EB129" s="21">
        <f>EXP(-LN(2)/25)*EB128+(1-EXP(-LN(2)/25))/(LN(2)/25)*Calculateur!DW129*Calculateur!DY129*VLOOKUP('Données projet'!$B$14,Paramètres!$A$1:$I$89,3,0)*0.475*44/12</f>
        <v>14.044191221911687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40.283484680431059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-1.1368683772161603E-13</v>
      </c>
      <c r="EK129" s="17">
        <f>EJ129*VLOOKUP('Données projet'!$B$15,Paramètres!$A$1:$I$89,3,0)*VLOOKUP('Données projet'!$B$15,Paramètres!$A$1:$I$89,5,0)</f>
        <v>-6.3550942286383367E-14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335.04906256888819</v>
      </c>
      <c r="EP129" s="59">
        <f t="shared" si="100"/>
        <v>440.84111898279554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55.553118708112045</v>
      </c>
      <c r="EW129" s="21">
        <f>EXP(-LN(2)/25)*EW128+(1-EXP(-LN(2)/25))/(LN(2)/25)*Calculateur!ER129*Calculateur!ET129*VLOOKUP('Données projet'!$B$15,Paramètres!$A$1:$I$89,3,0)*0.475*44/12</f>
        <v>8.0455400439944711</v>
      </c>
      <c r="EX129" s="21">
        <f>EXP(-LN(2)/2)*EX128+(1-EXP(-LN(2)/2))/(LN(2)/2)*ER129*EU129*VLOOKUP('Données projet'!$B$15,Paramètres!$A$1:$I$89,3,0)*0.475*44/12</f>
        <v>7.030230980448858E-10</v>
      </c>
      <c r="EY129" s="22">
        <f t="shared" si="75"/>
        <v>63.598658752809541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1.7053025658242404E-13</v>
      </c>
      <c r="O130" s="13">
        <f>N130*VLOOKUP('Données projet'!$B$9,Paramètres!$A$1:$I$89,3,0)*VLOOKUP('Données projet'!$B$9,Paramètres!$A$1:$I$89,5,0)</f>
        <v>1.383341441396624E-13</v>
      </c>
      <c r="P130" s="13">
        <f t="shared" si="87"/>
        <v>2.0011390722884082E-12</v>
      </c>
      <c r="Q130" s="20">
        <f t="shared" si="107"/>
        <v>3.7262491852788889E-12</v>
      </c>
      <c r="R130" s="59">
        <f t="shared" si="55"/>
        <v>293.33333333333707</v>
      </c>
      <c r="S130" s="59">
        <f ca="1">AVERAGE(OFFSET($R$3,0,0,'Données projet'!$E$9+1,1))-AVERAGE(OFFSET($H$3,0,0,'Données projet'!$E$9+1,1))</f>
        <v>298.96480270023716</v>
      </c>
      <c r="T130" s="59">
        <f t="shared" si="88"/>
        <v>293.11447542333889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32.975548868149787</v>
      </c>
      <c r="AA130" s="21">
        <f>EXP(-LN(2)/25)*AA129+(1-EXP(-LN(2)/25))/(LN(2)/25)*Calculateur!V130*Calculateur!X130*VLOOKUP('Données projet'!$B$9,Paramètres!$A$1:$I$89,3,0)*0.475*44/12</f>
        <v>17.510408891645127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50.485957759794914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1.9895196601282805E-13</v>
      </c>
      <c r="AJ130" s="13">
        <f>AI130*VLOOKUP('Données projet'!$B$10,Paramètres!$A$1:$I$89,3,0)*VLOOKUP('Données projet'!$B$10,Paramètres!$A$1:$I$89,5,0)</f>
        <v>1.707007868390065E-13</v>
      </c>
      <c r="AK130" s="13">
        <f t="shared" si="89"/>
        <v>2.4096578055149408E-12</v>
      </c>
      <c r="AL130" s="20">
        <f t="shared" si="58"/>
        <v>4.4941245483497909E-12</v>
      </c>
      <c r="AM130" s="59">
        <f t="shared" si="59"/>
        <v>293.33333333333781</v>
      </c>
      <c r="AN130" s="59">
        <f ca="1">AVERAGE(OFFSET($AM$3,0,0,'Données projet'!$E$10+1,1))-AVERAGE(OFFSET($H$3,0,0,'Données projet'!$E$10+1,1))</f>
        <v>335.02113791949211</v>
      </c>
      <c r="AO130" s="59">
        <f t="shared" si="90"/>
        <v>222.06886429435099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98.717365184531459</v>
      </c>
      <c r="AV130" s="21">
        <f>EXP(-LN(2)/25)*AV129+(1-EXP(-LN(2)/25))/(LN(2)/25)*Calculateur!AQ130*Calculateur!AS130*VLOOKUP('Données projet'!$B$10,Paramètres!$A$1:$I$89,3,0)*0.475*44/12</f>
        <v>63.60011770906678</v>
      </c>
      <c r="AW130" s="21">
        <f>EXP(-LN(2)/2)*AW129+(1-EXP(-LN(2)/2))/(LN(2)/2)*AQ130*AT130*VLOOKUP('Données projet'!$B$10,Paramètres!$A$1:$I$89,3,0)*0.475*44/12</f>
        <v>2.536098065466303</v>
      </c>
      <c r="AX130" s="21">
        <f t="shared" si="60"/>
        <v>164.85358095906454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-3.1036506698001178E-14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207.02306964567629</v>
      </c>
      <c r="BJ130" s="59">
        <f t="shared" si="92"/>
        <v>342.06887933351783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12.040416281319448</v>
      </c>
      <c r="BQ130" s="21">
        <f>EXP(-LN(2)/25)*BQ129+(1-EXP(-LN(2)/25))/(LN(2)/25)*Calculateur!BL130*Calculateur!BN130*VLOOKUP('Données projet'!$B$11,Paramètres!$A$1:$I$89,3,0)*0.475*44/12</f>
        <v>13.436527925559345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25.476944206878791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233.89079999999998</v>
      </c>
      <c r="CA130" s="13">
        <f t="shared" si="93"/>
        <v>57.123140349023068</v>
      </c>
      <c r="CB130" s="20">
        <f t="shared" si="64"/>
        <v>506.84927944121517</v>
      </c>
      <c r="CC130" s="59">
        <f t="shared" si="65"/>
        <v>800.18261277454849</v>
      </c>
      <c r="CD130" s="59">
        <f ca="1">AVERAGE(OFFSET($CC$3,0,0,'Données projet'!$E$12+1,1))-AVERAGE(OFFSET($H$3,0,0,'Données projet'!$E$12+1,1))</f>
        <v>328.55201074501201</v>
      </c>
      <c r="CE130" s="59">
        <f t="shared" si="94"/>
        <v>321.81422611044985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13.199353389992758</v>
      </c>
      <c r="CL130" s="21">
        <f>EXP(-LN(2)/25)*CL129+(1-EXP(-LN(2)/25))/(LN(2)/25)*Calculateur!CG130*Calculateur!CI130*VLOOKUP('Données projet'!$B$12,Paramètres!$A$1:$I$89,3,0)*0.475*44/12</f>
        <v>1.5327327382875604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14.732086128280319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354.24684313982857</v>
      </c>
      <c r="CZ130" s="59">
        <f t="shared" si="96"/>
        <v>322.65043486962185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57.347292732811525</v>
      </c>
      <c r="DG130" s="21">
        <f>EXP(-LN(2)/25)*DG129+(1-EXP(-LN(2)/25))/(LN(2)/25)*Calculateur!DB130*Calculateur!DD130*VLOOKUP('Données projet'!$B$13,Paramètres!$A$1:$I$89,3,0)*0.475*44/12</f>
        <v>16.552735344039352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73.900028076850873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1.7053025658242404E-13</v>
      </c>
      <c r="DP130" s="17">
        <f>DO130*VLOOKUP('Données projet'!$B$14,Paramètres!$A$1:$I$89,3,0)*VLOOKUP('Données projet'!$B$14,Paramètres!$A$1:$I$89,5,0)</f>
        <v>1.3301360013429075E-13</v>
      </c>
      <c r="DQ130" s="13">
        <f t="shared" si="97"/>
        <v>1.9329766731057041E-12</v>
      </c>
      <c r="DR130" s="20">
        <f t="shared" si="70"/>
        <v>3.5982663925596575E-12</v>
      </c>
      <c r="DS130" s="59">
        <f t="shared" si="71"/>
        <v>293.3333333333369</v>
      </c>
      <c r="DT130" s="59">
        <f ca="1">AVERAGE(OFFSET($DS$3,0,0,'Données projet'!$E$14+1,1))-AVERAGE(OFFSET($H$3,0,0,'Données projet'!$E$14+1,1))</f>
        <v>288.80569134263209</v>
      </c>
      <c r="DU130" s="59">
        <f t="shared" si="98"/>
        <v>283.48738729114024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25.724756918186515</v>
      </c>
      <c r="EB130" s="21">
        <f>EXP(-LN(2)/25)*EB129+(1-EXP(-LN(2)/25))/(LN(2)/25)*Calculateur!DW130*Calculateur!DY130*VLOOKUP('Données projet'!$B$14,Paramètres!$A$1:$I$89,3,0)*0.475*44/12</f>
        <v>13.660152074396594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39.384908992583107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-1.1368683772161603E-13</v>
      </c>
      <c r="EK130" s="17">
        <f>EJ130*VLOOKUP('Données projet'!$B$15,Paramètres!$A$1:$I$89,3,0)*VLOOKUP('Données projet'!$B$15,Paramètres!$A$1:$I$89,5,0)</f>
        <v>-6.3550942286383367E-14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335.04906256888819</v>
      </c>
      <c r="EP130" s="59">
        <f t="shared" si="100"/>
        <v>440.84111898279554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54.463755934302604</v>
      </c>
      <c r="EW130" s="21">
        <f>EXP(-LN(2)/25)*EW129+(1-EXP(-LN(2)/25))/(LN(2)/25)*Calculateur!ER130*Calculateur!ET130*VLOOKUP('Données projet'!$B$15,Paramètres!$A$1:$I$89,3,0)*0.475*44/12</f>
        <v>7.8255343283948795</v>
      </c>
      <c r="EX130" s="21">
        <f>EXP(-LN(2)/2)*EX129+(1-EXP(-LN(2)/2))/(LN(2)/2)*ER130*EU130*VLOOKUP('Données projet'!$B$15,Paramètres!$A$1:$I$89,3,0)*0.475*44/12</f>
        <v>4.9711239995831381E-10</v>
      </c>
      <c r="EY130" s="22">
        <f t="shared" si="75"/>
        <v>62.289290263194594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1.7053025658242404E-13</v>
      </c>
      <c r="O131" s="13">
        <f>N131*VLOOKUP('Données projet'!$B$9,Paramètres!$A$1:$I$89,3,0)*VLOOKUP('Données projet'!$B$9,Paramètres!$A$1:$I$89,5,0)</f>
        <v>1.383341441396624E-13</v>
      </c>
      <c r="P131" s="13">
        <f t="shared" si="87"/>
        <v>2.0011390722884082E-12</v>
      </c>
      <c r="Q131" s="20">
        <f t="shared" ref="Q131:Q153" si="108">(O131+P131)*0.475*44/12</f>
        <v>3.7262491852788889E-12</v>
      </c>
      <c r="R131" s="59">
        <f t="shared" ref="R131:R194" si="109">Q131+(I131+J131)*44/12</f>
        <v>293.33333333333707</v>
      </c>
      <c r="S131" s="59">
        <f ca="1">AVERAGE(OFFSET($R$3,0,0,'Données projet'!$E$9+1,1))-AVERAGE(OFFSET($H$3,0,0,'Données projet'!$E$9+1,1))</f>
        <v>298.96480270023716</v>
      </c>
      <c r="T131" s="59">
        <f t="shared" si="88"/>
        <v>293.11447542333889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32.328918467944177</v>
      </c>
      <c r="AA131" s="21">
        <f>EXP(-LN(2)/25)*AA130+(1-EXP(-LN(2)/25))/(LN(2)/25)*Calculateur!V131*Calculateur!X131*VLOOKUP('Données projet'!$B$9,Paramètres!$A$1:$I$89,3,0)*0.475*44/12</f>
        <v>17.031585839670708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49.360504307614889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1.9895196601282805E-13</v>
      </c>
      <c r="AJ131" s="13">
        <f>AI131*VLOOKUP('Données projet'!$B$10,Paramètres!$A$1:$I$89,3,0)*VLOOKUP('Données projet'!$B$10,Paramètres!$A$1:$I$89,5,0)</f>
        <v>1.707007868390065E-13</v>
      </c>
      <c r="AK131" s="13">
        <f t="shared" si="89"/>
        <v>2.4096578055149408E-12</v>
      </c>
      <c r="AL131" s="20">
        <f t="shared" si="58"/>
        <v>4.4941245483497909E-12</v>
      </c>
      <c r="AM131" s="59">
        <f t="shared" si="59"/>
        <v>293.33333333333781</v>
      </c>
      <c r="AN131" s="59">
        <f ca="1">AVERAGE(OFFSET($AM$3,0,0,'Données projet'!$E$10+1,1))-AVERAGE(OFFSET($H$3,0,0,'Données projet'!$E$10+1,1))</f>
        <v>335.02113791949211</v>
      </c>
      <c r="AO131" s="59">
        <f t="shared" si="90"/>
        <v>222.06886429435099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96.781577864910147</v>
      </c>
      <c r="AV131" s="21">
        <f>EXP(-LN(2)/25)*AV130+(1-EXP(-LN(2)/25))/(LN(2)/25)*Calculateur!AQ131*Calculateur!AS131*VLOOKUP('Données projet'!$B$10,Paramètres!$A$1:$I$89,3,0)*0.475*44/12</f>
        <v>61.860969145727516</v>
      </c>
      <c r="AW131" s="21">
        <f>EXP(-LN(2)/2)*AW130+(1-EXP(-LN(2)/2))/(LN(2)/2)*AQ131*AT131*VLOOKUP('Données projet'!$B$10,Paramètres!$A$1:$I$89,3,0)*0.475*44/12</f>
        <v>1.7932921398453077</v>
      </c>
      <c r="AX131" s="21">
        <f t="shared" si="60"/>
        <v>160.43583915048296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-3.1036506698001178E-14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207.02306964567629</v>
      </c>
      <c r="BJ131" s="59">
        <f t="shared" si="92"/>
        <v>342.06887933351783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11.804311061971553</v>
      </c>
      <c r="BQ131" s="21">
        <f>EXP(-LN(2)/25)*BQ130+(1-EXP(-LN(2)/25))/(LN(2)/25)*Calculateur!BL131*Calculateur!BN131*VLOOKUP('Données projet'!$B$11,Paramètres!$A$1:$I$89,3,0)*0.475*44/12</f>
        <v>13.069105362838631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24.873416424810184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233.89079999999998</v>
      </c>
      <c r="CA131" s="13">
        <f t="shared" si="93"/>
        <v>57.123140349023068</v>
      </c>
      <c r="CB131" s="20">
        <f t="shared" si="64"/>
        <v>506.84927944121517</v>
      </c>
      <c r="CC131" s="59">
        <f t="shared" si="65"/>
        <v>800.18261277454849</v>
      </c>
      <c r="CD131" s="59">
        <f ca="1">AVERAGE(OFFSET($CC$3,0,0,'Données projet'!$E$12+1,1))-AVERAGE(OFFSET($H$3,0,0,'Données projet'!$E$12+1,1))</f>
        <v>328.55201074501201</v>
      </c>
      <c r="CE131" s="59">
        <f t="shared" si="94"/>
        <v>321.81422611044985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12.940522120825618</v>
      </c>
      <c r="CL131" s="21">
        <f>EXP(-LN(2)/25)*CL130+(1-EXP(-LN(2)/25))/(LN(2)/25)*Calculateur!CG131*Calculateur!CI131*VLOOKUP('Données projet'!$B$12,Paramètres!$A$1:$I$89,3,0)*0.475*44/12</f>
        <v>1.4908200809561756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14.431342201781794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354.24684313982857</v>
      </c>
      <c r="CZ131" s="59">
        <f t="shared" si="96"/>
        <v>322.65043486962185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56.222747300715831</v>
      </c>
      <c r="DG131" s="21">
        <f>EXP(-LN(2)/25)*DG130+(1-EXP(-LN(2)/25))/(LN(2)/25)*Calculateur!DB131*Calculateur!DD131*VLOOKUP('Données projet'!$B$13,Paramètres!$A$1:$I$89,3,0)*0.475*44/12</f>
        <v>16.100099925586075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72.322847226301903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1.7053025658242404E-13</v>
      </c>
      <c r="DP131" s="17">
        <f>DO131*VLOOKUP('Données projet'!$B$14,Paramètres!$A$1:$I$89,3,0)*VLOOKUP('Données projet'!$B$14,Paramètres!$A$1:$I$89,5,0)</f>
        <v>1.3301360013429075E-13</v>
      </c>
      <c r="DQ131" s="13">
        <f t="shared" si="97"/>
        <v>1.9329766731057041E-12</v>
      </c>
      <c r="DR131" s="20">
        <f t="shared" si="70"/>
        <v>3.5982663925596575E-12</v>
      </c>
      <c r="DS131" s="59">
        <f t="shared" si="71"/>
        <v>293.3333333333369</v>
      </c>
      <c r="DT131" s="59">
        <f ca="1">AVERAGE(OFFSET($DS$3,0,0,'Données projet'!$E$14+1,1))-AVERAGE(OFFSET($H$3,0,0,'Données projet'!$E$14+1,1))</f>
        <v>288.80569134263209</v>
      </c>
      <c r="DU131" s="59">
        <f t="shared" si="98"/>
        <v>283.48738729114024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25.220310125573285</v>
      </c>
      <c r="EB131" s="21">
        <f>EXP(-LN(2)/25)*EB130+(1-EXP(-LN(2)/25))/(LN(2)/25)*Calculateur!DW131*Calculateur!DY131*VLOOKUP('Données projet'!$B$14,Paramètres!$A$1:$I$89,3,0)*0.475*44/12</f>
        <v>13.286614497566042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38.506924623139327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-1.1368683772161603E-13</v>
      </c>
      <c r="EK131" s="17">
        <f>EJ131*VLOOKUP('Données projet'!$B$15,Paramètres!$A$1:$I$89,3,0)*VLOOKUP('Données projet'!$B$15,Paramètres!$A$1:$I$89,5,0)</f>
        <v>-6.3550942286383367E-14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335.04906256888819</v>
      </c>
      <c r="EP131" s="59">
        <f t="shared" si="100"/>
        <v>440.84111898279554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53.395754900041887</v>
      </c>
      <c r="EW131" s="21">
        <f>EXP(-LN(2)/25)*EW130+(1-EXP(-LN(2)/25))/(LN(2)/25)*Calculateur!ER131*Calculateur!ET131*VLOOKUP('Données projet'!$B$15,Paramètres!$A$1:$I$89,3,0)*0.475*44/12</f>
        <v>7.611544680657957</v>
      </c>
      <c r="EX131" s="21">
        <f>EXP(-LN(2)/2)*EX130+(1-EXP(-LN(2)/2))/(LN(2)/2)*ER131*EU131*VLOOKUP('Données projet'!$B$15,Paramètres!$A$1:$I$89,3,0)*0.475*44/12</f>
        <v>3.515115490224429E-10</v>
      </c>
      <c r="EY131" s="22">
        <f t="shared" si="75"/>
        <v>61.007299581051356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1.7053025658242404E-13</v>
      </c>
      <c r="O132" s="13">
        <f>N132*VLOOKUP('Données projet'!$B$9,Paramètres!$A$1:$I$89,3,0)*VLOOKUP('Données projet'!$B$9,Paramètres!$A$1:$I$89,5,0)</f>
        <v>1.383341441396624E-13</v>
      </c>
      <c r="P132" s="13">
        <f t="shared" si="87"/>
        <v>2.0011390722884082E-12</v>
      </c>
      <c r="Q132" s="20">
        <f t="shared" si="108"/>
        <v>3.7262491852788889E-12</v>
      </c>
      <c r="R132" s="59">
        <f t="shared" si="109"/>
        <v>293.33333333333707</v>
      </c>
      <c r="S132" s="59">
        <f ca="1">AVERAGE(OFFSET($R$3,0,0,'Données projet'!$E$9+1,1))-AVERAGE(OFFSET($H$3,0,0,'Données projet'!$E$9+1,1))</f>
        <v>298.96480270023716</v>
      </c>
      <c r="T132" s="59">
        <f t="shared" si="88"/>
        <v>293.11447542333889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31.694968095480998</v>
      </c>
      <c r="AA132" s="21">
        <f>EXP(-LN(2)/25)*AA131+(1-EXP(-LN(2)/25))/(LN(2)/25)*Calculateur!V132*Calculateur!X132*VLOOKUP('Données projet'!$B$9,Paramètres!$A$1:$I$89,3,0)*0.475*44/12</f>
        <v>16.56585622923274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48.260824324713738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1.9895196601282805E-13</v>
      </c>
      <c r="AJ132" s="13">
        <f>AI132*VLOOKUP('Données projet'!$B$10,Paramètres!$A$1:$I$89,3,0)*VLOOKUP('Données projet'!$B$10,Paramètres!$A$1:$I$89,5,0)</f>
        <v>1.707007868390065E-13</v>
      </c>
      <c r="AK132" s="13">
        <f t="shared" si="89"/>
        <v>2.4096578055149408E-12</v>
      </c>
      <c r="AL132" s="20">
        <f t="shared" ref="AL132:AL153" si="112">(AJ132+AK132)*0.475*44/12</f>
        <v>4.4941245483497909E-12</v>
      </c>
      <c r="AM132" s="59">
        <f t="shared" ref="AM132:AM195" si="113">AL132+(AD132+AE132)*44/12</f>
        <v>293.33333333333781</v>
      </c>
      <c r="AN132" s="59">
        <f ca="1">AVERAGE(OFFSET($AM$3,0,0,'Données projet'!$E$10+1,1))-AVERAGE(OFFSET($H$3,0,0,'Données projet'!$E$10+1,1))</f>
        <v>335.02113791949211</v>
      </c>
      <c r="AO132" s="59">
        <f t="shared" si="90"/>
        <v>222.06886429435099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94.883750153912942</v>
      </c>
      <c r="AV132" s="21">
        <f>EXP(-LN(2)/25)*AV131+(1-EXP(-LN(2)/25))/(LN(2)/25)*Calculateur!AQ132*Calculateur!AS132*VLOOKUP('Données projet'!$B$10,Paramètres!$A$1:$I$89,3,0)*0.475*44/12</f>
        <v>60.169377691310615</v>
      </c>
      <c r="AW132" s="21">
        <f>EXP(-LN(2)/2)*AW131+(1-EXP(-LN(2)/2))/(LN(2)/2)*AQ132*AT132*VLOOKUP('Données projet'!$B$10,Paramètres!$A$1:$I$89,3,0)*0.475*44/12</f>
        <v>1.2680490327331517</v>
      </c>
      <c r="AX132" s="21">
        <f t="shared" ref="AX132:AX153" si="114">SUM(AU132:AW132)</f>
        <v>156.32117687795673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-3.1036506698001178E-14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207.02306964567629</v>
      </c>
      <c r="BJ132" s="59">
        <f t="shared" si="92"/>
        <v>342.06887933351783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11.572835721965106</v>
      </c>
      <c r="BQ132" s="21">
        <f>EXP(-LN(2)/25)*BQ131+(1-EXP(-LN(2)/25))/(LN(2)/25)*Calculateur!BL132*Calculateur!BN132*VLOOKUP('Données projet'!$B$11,Paramètres!$A$1:$I$89,3,0)*0.475*44/12</f>
        <v>12.711729989417426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24.284565711382534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233.89079999999998</v>
      </c>
      <c r="CA132" s="13">
        <f t="shared" si="93"/>
        <v>57.123140349023068</v>
      </c>
      <c r="CB132" s="20">
        <f t="shared" ref="CB132:CB153" si="118">(BZ132+CA132)*0.475*44/12</f>
        <v>506.84927944121517</v>
      </c>
      <c r="CC132" s="59">
        <f t="shared" ref="CC132:CC195" si="119">CB132+(BT132+BU132)*44/12</f>
        <v>800.18261277454849</v>
      </c>
      <c r="CD132" s="59">
        <f ca="1">AVERAGE(OFFSET($CC$3,0,0,'Données projet'!$E$12+1,1))-AVERAGE(OFFSET($H$3,0,0,'Données projet'!$E$12+1,1))</f>
        <v>328.55201074501201</v>
      </c>
      <c r="CE132" s="59">
        <f t="shared" si="94"/>
        <v>321.81422611044985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12.686766374975358</v>
      </c>
      <c r="CL132" s="21">
        <f>EXP(-LN(2)/25)*CL131+(1-EXP(-LN(2)/25))/(LN(2)/25)*Calculateur!CG132*Calculateur!CI132*VLOOKUP('Données projet'!$B$12,Paramètres!$A$1:$I$89,3,0)*0.475*44/12</f>
        <v>1.4500535274436082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14.136819902418965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354.24684313982857</v>
      </c>
      <c r="CZ132" s="59">
        <f t="shared" si="96"/>
        <v>322.65043486962185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55.120253518638542</v>
      </c>
      <c r="DG132" s="21">
        <f>EXP(-LN(2)/25)*DG131+(1-EXP(-LN(2)/25))/(LN(2)/25)*Calculateur!DB132*Calculateur!DD132*VLOOKUP('Données projet'!$B$13,Paramètres!$A$1:$I$89,3,0)*0.475*44/12</f>
        <v>15.659841846453466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70.780095365092009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1.7053025658242404E-13</v>
      </c>
      <c r="DP132" s="17">
        <f>DO132*VLOOKUP('Données projet'!$B$14,Paramètres!$A$1:$I$89,3,0)*VLOOKUP('Données projet'!$B$14,Paramètres!$A$1:$I$89,5,0)</f>
        <v>1.3301360013429075E-13</v>
      </c>
      <c r="DQ132" s="13">
        <f t="shared" si="97"/>
        <v>1.9329766731057041E-12</v>
      </c>
      <c r="DR132" s="20">
        <f t="shared" ref="DR132:DR153" si="124">(DP132+DQ132)*0.475*44/12</f>
        <v>3.5982663925596575E-12</v>
      </c>
      <c r="DS132" s="59">
        <f t="shared" ref="DS132:DS195" si="125">DR132+(DJ132+DK132)*44/12</f>
        <v>293.3333333333369</v>
      </c>
      <c r="DT132" s="59">
        <f ca="1">AVERAGE(OFFSET($DS$3,0,0,'Données projet'!$E$14+1,1))-AVERAGE(OFFSET($H$3,0,0,'Données projet'!$E$14+1,1))</f>
        <v>288.80569134263209</v>
      </c>
      <c r="DU132" s="59">
        <f t="shared" si="98"/>
        <v>283.48738729114024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24.725755226881038</v>
      </c>
      <c r="EB132" s="21">
        <f>EXP(-LN(2)/25)*EB131+(1-EXP(-LN(2)/25))/(LN(2)/25)*Calculateur!DW132*Calculateur!DY132*VLOOKUP('Données projet'!$B$14,Paramètres!$A$1:$I$89,3,0)*0.475*44/12</f>
        <v>12.923291325417409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37.649046552298444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-1.1368683772161603E-13</v>
      </c>
      <c r="EK132" s="17">
        <f>EJ132*VLOOKUP('Données projet'!$B$15,Paramètres!$A$1:$I$89,3,0)*VLOOKUP('Données projet'!$B$15,Paramètres!$A$1:$I$89,5,0)</f>
        <v>-6.3550942286383367E-14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335.04906256888819</v>
      </c>
      <c r="EP132" s="59">
        <f t="shared" si="100"/>
        <v>440.84111898279554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52.348696714646714</v>
      </c>
      <c r="EW132" s="21">
        <f>EXP(-LN(2)/25)*EW131+(1-EXP(-LN(2)/25))/(LN(2)/25)*Calculateur!ER132*Calculateur!ET132*VLOOKUP('Données projet'!$B$15,Paramètres!$A$1:$I$89,3,0)*0.475*44/12</f>
        <v>7.4034065910916267</v>
      </c>
      <c r="EX132" s="21">
        <f>EXP(-LN(2)/2)*EX131+(1-EXP(-LN(2)/2))/(LN(2)/2)*ER132*EU132*VLOOKUP('Données projet'!$B$15,Paramètres!$A$1:$I$89,3,0)*0.475*44/12</f>
        <v>2.4855619997915691E-10</v>
      </c>
      <c r="EY132" s="22">
        <f t="shared" ref="EY132:EY153" si="129">SUM(EV132:EX132)</f>
        <v>59.752103305986893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1.7053025658242404E-13</v>
      </c>
      <c r="O133" s="13">
        <f>N133*VLOOKUP('Données projet'!$B$9,Paramètres!$A$1:$I$89,3,0)*VLOOKUP('Données projet'!$B$9,Paramètres!$A$1:$I$89,5,0)</f>
        <v>1.383341441396624E-13</v>
      </c>
      <c r="P133" s="13">
        <f t="shared" ref="P133:P196" si="141">EXP(-1.0587+0.8836*LN(O133)+0.284)</f>
        <v>2.0011390722884082E-12</v>
      </c>
      <c r="Q133" s="20">
        <f t="shared" si="108"/>
        <v>3.7262491852788889E-12</v>
      </c>
      <c r="R133" s="59">
        <f t="shared" si="109"/>
        <v>293.33333333333707</v>
      </c>
      <c r="S133" s="59">
        <f ca="1">AVERAGE(OFFSET($R$3,0,0,'Données projet'!$E$9+1,1))-AVERAGE(OFFSET($H$3,0,0,'Données projet'!$E$9+1,1))</f>
        <v>298.96480270023716</v>
      </c>
      <c r="T133" s="59">
        <f t="shared" ref="T133:T196" si="142">$T$3</f>
        <v>293.11447542333889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31.073449103150274</v>
      </c>
      <c r="AA133" s="21">
        <f>EXP(-LN(2)/25)*AA132+(1-EXP(-LN(2)/25))/(LN(2)/25)*Calculateur!V133*Calculateur!X133*VLOOKUP('Données projet'!$B$9,Paramètres!$A$1:$I$89,3,0)*0.475*44/12</f>
        <v>16.112862019483853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47.186311122634123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1.9895196601282805E-13</v>
      </c>
      <c r="AJ133" s="13">
        <f>AI133*VLOOKUP('Données projet'!$B$10,Paramètres!$A$1:$I$89,3,0)*VLOOKUP('Données projet'!$B$10,Paramètres!$A$1:$I$89,5,0)</f>
        <v>1.707007868390065E-13</v>
      </c>
      <c r="AK133" s="13">
        <f t="shared" ref="AK133:AK153" si="143">EXP(-1.0587+0.8836*LN(AJ133)+0.284)</f>
        <v>2.4096578055149408E-12</v>
      </c>
      <c r="AL133" s="20">
        <f t="shared" si="112"/>
        <v>4.4941245483497909E-12</v>
      </c>
      <c r="AM133" s="59">
        <f t="shared" si="113"/>
        <v>293.33333333333781</v>
      </c>
      <c r="AN133" s="59">
        <f ca="1">AVERAGE(OFFSET($AM$3,0,0,'Données projet'!$E$10+1,1))-AVERAGE(OFFSET($H$3,0,0,'Données projet'!$E$10+1,1))</f>
        <v>335.02113791949211</v>
      </c>
      <c r="AO133" s="59">
        <f t="shared" ref="AO133:AO196" si="144">$AO$3</f>
        <v>222.06886429435099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93.023137686767782</v>
      </c>
      <c r="AV133" s="21">
        <f>EXP(-LN(2)/25)*AV132+(1-EXP(-LN(2)/25))/(LN(2)/25)*Calculateur!AQ133*Calculateur!AS133*VLOOKUP('Données projet'!$B$10,Paramètres!$A$1:$I$89,3,0)*0.475*44/12</f>
        <v>58.524042894171671</v>
      </c>
      <c r="AW133" s="21">
        <f>EXP(-LN(2)/2)*AW132+(1-EXP(-LN(2)/2))/(LN(2)/2)*AQ133*AT133*VLOOKUP('Données projet'!$B$10,Paramètres!$A$1:$I$89,3,0)*0.475*44/12</f>
        <v>0.89664606992265405</v>
      </c>
      <c r="AX133" s="21">
        <f t="shared" si="114"/>
        <v>152.44382665086212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-3.1036506698001178E-14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207.02306964567629</v>
      </c>
      <c r="BJ133" s="59">
        <f t="shared" ref="BJ133:BJ196" si="146">$BJ$3</f>
        <v>342.06887933351783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11.345899472190169</v>
      </c>
      <c r="BQ133" s="21">
        <f>EXP(-LN(2)/25)*BQ132+(1-EXP(-LN(2)/25))/(LN(2)/25)*Calculateur!BL133*Calculateur!BN133*VLOOKUP('Données projet'!$B$11,Paramètres!$A$1:$I$89,3,0)*0.475*44/12</f>
        <v>12.36412706437598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23.710026536566147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233.89079999999998</v>
      </c>
      <c r="CA133" s="13">
        <f t="shared" ref="CA133:CA153" si="147">EXP(-1.0587+0.8836*LN(BZ133)+0.284)</f>
        <v>57.123140349023068</v>
      </c>
      <c r="CB133" s="20">
        <f t="shared" si="118"/>
        <v>506.84927944121517</v>
      </c>
      <c r="CC133" s="59">
        <f t="shared" si="119"/>
        <v>800.18261277454849</v>
      </c>
      <c r="CD133" s="59">
        <f ca="1">AVERAGE(OFFSET($CC$3,0,0,'Données projet'!$E$12+1,1))-AVERAGE(OFFSET($H$3,0,0,'Données projet'!$E$12+1,1))</f>
        <v>328.55201074501201</v>
      </c>
      <c r="CE133" s="59">
        <f t="shared" ref="CE133:CE196" si="148">$CE$3</f>
        <v>321.81422611044985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12.4379866245255</v>
      </c>
      <c r="CL133" s="21">
        <f>EXP(-LN(2)/25)*CL132+(1-EXP(-LN(2)/25))/(LN(2)/25)*Calculateur!CG133*Calculateur!CI133*VLOOKUP('Données projet'!$B$12,Paramètres!$A$1:$I$89,3,0)*0.475*44/12</f>
        <v>1.4104017374806619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13.848388362006162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354.24684313982857</v>
      </c>
      <c r="CZ133" s="59">
        <f t="shared" ref="CZ133:CZ196" si="150">$CZ$3</f>
        <v>322.65043486962185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54.039378967172986</v>
      </c>
      <c r="DG133" s="21">
        <f>EXP(-LN(2)/25)*DG132+(1-EXP(-LN(2)/25))/(LN(2)/25)*Calculateur!DB133*Calculateur!DD133*VLOOKUP('Données projet'!$B$13,Paramètres!$A$1:$I$89,3,0)*0.475*44/12</f>
        <v>15.231622647646905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69.271001614819895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1.7053025658242404E-13</v>
      </c>
      <c r="DP133" s="17">
        <f>DO133*VLOOKUP('Données projet'!$B$14,Paramètres!$A$1:$I$89,3,0)*VLOOKUP('Données projet'!$B$14,Paramètres!$A$1:$I$89,5,0)</f>
        <v>1.3301360013429075E-13</v>
      </c>
      <c r="DQ133" s="13">
        <f t="shared" ref="DQ133:DQ153" si="151">EXP(-1.0587+0.8836*LN(DP133)+0.284)</f>
        <v>1.9329766731057041E-12</v>
      </c>
      <c r="DR133" s="20">
        <f t="shared" si="124"/>
        <v>3.5982663925596575E-12</v>
      </c>
      <c r="DS133" s="59">
        <f t="shared" si="125"/>
        <v>293.3333333333369</v>
      </c>
      <c r="DT133" s="59">
        <f ca="1">AVERAGE(OFFSET($DS$3,0,0,'Données projet'!$E$14+1,1))-AVERAGE(OFFSET($H$3,0,0,'Données projet'!$E$14+1,1))</f>
        <v>288.80569134263209</v>
      </c>
      <c r="DU133" s="59">
        <f t="shared" ref="DU133:DU196" si="152">$DU$3</f>
        <v>283.48738729114024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24.240898248103441</v>
      </c>
      <c r="EB133" s="21">
        <f>EXP(-LN(2)/25)*EB132+(1-EXP(-LN(2)/25))/(LN(2)/25)*Calculateur!DW133*Calculateur!DY133*VLOOKUP('Données projet'!$B$14,Paramètres!$A$1:$I$89,3,0)*0.475*44/12</f>
        <v>12.569903244517516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36.810801492620953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-6.3550942286383367E-14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335.04906256888819</v>
      </c>
      <c r="EP133" s="59">
        <f t="shared" ref="EP133:EP196" si="154">$EP$3</f>
        <v>440.84111898279554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51.322170701624707</v>
      </c>
      <c r="EW133" s="21">
        <f>EXP(-LN(2)/25)*EW132+(1-EXP(-LN(2)/25))/(LN(2)/25)*Calculateur!ER133*Calculateur!ET133*VLOOKUP('Données projet'!$B$15,Paramètres!$A$1:$I$89,3,0)*0.475*44/12</f>
        <v>7.2009600485299945</v>
      </c>
      <c r="EX133" s="21">
        <f>EXP(-LN(2)/2)*EX132+(1-EXP(-LN(2)/2))/(LN(2)/2)*ER133*EU133*VLOOKUP('Données projet'!$B$15,Paramètres!$A$1:$I$89,3,0)*0.475*44/12</f>
        <v>1.7575577451122145E-10</v>
      </c>
      <c r="EY133" s="22">
        <f t="shared" si="129"/>
        <v>58.523130750330452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1.7053025658242404E-13</v>
      </c>
      <c r="O134" s="13">
        <f>N134*VLOOKUP('Données projet'!$B$9,Paramètres!$A$1:$I$89,3,0)*VLOOKUP('Données projet'!$B$9,Paramètres!$A$1:$I$89,5,0)</f>
        <v>1.383341441396624E-13</v>
      </c>
      <c r="P134" s="13">
        <f t="shared" si="141"/>
        <v>2.0011390722884082E-12</v>
      </c>
      <c r="Q134" s="20">
        <f t="shared" si="108"/>
        <v>3.7262491852788889E-12</v>
      </c>
      <c r="R134" s="59">
        <f t="shared" si="109"/>
        <v>293.33333333333707</v>
      </c>
      <c r="S134" s="59">
        <f ca="1">AVERAGE(OFFSET($R$3,0,0,'Données projet'!$E$9+1,1))-AVERAGE(OFFSET($H$3,0,0,'Données projet'!$E$9+1,1))</f>
        <v>298.96480270023716</v>
      </c>
      <c r="T134" s="59">
        <f t="shared" si="142"/>
        <v>293.11447542333889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30.464117719170005</v>
      </c>
      <c r="AA134" s="21">
        <f>EXP(-LN(2)/25)*AA133+(1-EXP(-LN(2)/25))/(LN(2)/25)*Calculateur!V134*Calculateur!X134*VLOOKUP('Données projet'!$B$9,Paramètres!$A$1:$I$89,3,0)*0.475*44/12</f>
        <v>15.67225496022248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46.136372679392487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1.9895196601282805E-13</v>
      </c>
      <c r="AJ134" s="13">
        <f>AI134*VLOOKUP('Données projet'!$B$10,Paramètres!$A$1:$I$89,3,0)*VLOOKUP('Données projet'!$B$10,Paramètres!$A$1:$I$89,5,0)</f>
        <v>1.707007868390065E-13</v>
      </c>
      <c r="AK134" s="13">
        <f t="shared" si="143"/>
        <v>2.4096578055149408E-12</v>
      </c>
      <c r="AL134" s="20">
        <f t="shared" si="112"/>
        <v>4.4941245483497909E-12</v>
      </c>
      <c r="AM134" s="59">
        <f t="shared" si="113"/>
        <v>293.33333333333781</v>
      </c>
      <c r="AN134" s="59">
        <f ca="1">AVERAGE(OFFSET($AM$3,0,0,'Données projet'!$E$10+1,1))-AVERAGE(OFFSET($H$3,0,0,'Données projet'!$E$10+1,1))</f>
        <v>335.02113791949211</v>
      </c>
      <c r="AO134" s="59">
        <f t="shared" si="144"/>
        <v>222.06886429435099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91.199010695241796</v>
      </c>
      <c r="AV134" s="21">
        <f>EXP(-LN(2)/25)*AV133+(1-EXP(-LN(2)/25))/(LN(2)/25)*Calculateur!AQ134*Calculateur!AS134*VLOOKUP('Données projet'!$B$10,Paramètres!$A$1:$I$89,3,0)*0.475*44/12</f>
        <v>56.923699863584886</v>
      </c>
      <c r="AW134" s="21">
        <f>EXP(-LN(2)/2)*AW133+(1-EXP(-LN(2)/2))/(LN(2)/2)*AQ134*AT134*VLOOKUP('Données projet'!$B$10,Paramètres!$A$1:$I$89,3,0)*0.475*44/12</f>
        <v>0.63402451636657597</v>
      </c>
      <c r="AX134" s="21">
        <f t="shared" si="114"/>
        <v>148.75673507519323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-3.1036506698001178E-14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207.02306964567629</v>
      </c>
      <c r="BJ134" s="59">
        <f t="shared" si="146"/>
        <v>342.06887933351783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11.123413303855873</v>
      </c>
      <c r="BQ134" s="21">
        <f>EXP(-LN(2)/25)*BQ133+(1-EXP(-LN(2)/25))/(LN(2)/25)*Calculateur!BL134*Calculateur!BN134*VLOOKUP('Données projet'!$B$11,Paramètres!$A$1:$I$89,3,0)*0.475*44/12</f>
        <v>12.026029359599436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23.149442663455311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233.89079999999998</v>
      </c>
      <c r="CA134" s="13">
        <f t="shared" si="147"/>
        <v>57.123140349023068</v>
      </c>
      <c r="CB134" s="20">
        <f t="shared" si="118"/>
        <v>506.84927944121517</v>
      </c>
      <c r="CC134" s="59">
        <f t="shared" si="119"/>
        <v>800.18261277454849</v>
      </c>
      <c r="CD134" s="59">
        <f ca="1">AVERAGE(OFFSET($CC$3,0,0,'Données projet'!$E$12+1,1))-AVERAGE(OFFSET($H$3,0,0,'Données projet'!$E$12+1,1))</f>
        <v>328.55201074501201</v>
      </c>
      <c r="CE134" s="59">
        <f t="shared" si="148"/>
        <v>321.81422611044985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12.194085293241299</v>
      </c>
      <c r="CL134" s="21">
        <f>EXP(-LN(2)/25)*CL133+(1-EXP(-LN(2)/25))/(LN(2)/25)*Calculateur!CG134*Calculateur!CI134*VLOOKUP('Données projet'!$B$12,Paramètres!$A$1:$I$89,3,0)*0.475*44/12</f>
        <v>1.3718342277994493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13.565919521040747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354.24684313982857</v>
      </c>
      <c r="CZ134" s="59">
        <f t="shared" si="150"/>
        <v>322.65043486962185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52.979699706393291</v>
      </c>
      <c r="DG134" s="21">
        <f>EXP(-LN(2)/25)*DG133+(1-EXP(-LN(2)/25))/(LN(2)/25)*Calculateur!DB134*Calculateur!DD134*VLOOKUP('Données projet'!$B$13,Paramètres!$A$1:$I$89,3,0)*0.475*44/12</f>
        <v>14.815113125350777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67.794812831744068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1.7053025658242404E-13</v>
      </c>
      <c r="DP134" s="17">
        <f>DO134*VLOOKUP('Données projet'!$B$14,Paramètres!$A$1:$I$89,3,0)*VLOOKUP('Données projet'!$B$14,Paramètres!$A$1:$I$89,5,0)</f>
        <v>1.3301360013429075E-13</v>
      </c>
      <c r="DQ134" s="13">
        <f t="shared" si="151"/>
        <v>1.9329766731057041E-12</v>
      </c>
      <c r="DR134" s="20">
        <f t="shared" si="124"/>
        <v>3.5982663925596575E-12</v>
      </c>
      <c r="DS134" s="59">
        <f t="shared" si="125"/>
        <v>293.3333333333369</v>
      </c>
      <c r="DT134" s="59">
        <f ca="1">AVERAGE(OFFSET($DS$3,0,0,'Données projet'!$E$14+1,1))-AVERAGE(OFFSET($H$3,0,0,'Données projet'!$E$14+1,1))</f>
        <v>288.80569134263209</v>
      </c>
      <c r="DU134" s="59">
        <f t="shared" si="152"/>
        <v>283.48738729114024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23.765549018946118</v>
      </c>
      <c r="EB134" s="21">
        <f>EXP(-LN(2)/25)*EB133+(1-EXP(-LN(2)/25))/(LN(2)/25)*Calculateur!DW134*Calculateur!DY134*VLOOKUP('Données projet'!$B$14,Paramètres!$A$1:$I$89,3,0)*0.475*44/12</f>
        <v>12.226178579273702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35.991727598219818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-6.3550942286383367E-14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335.04906256888819</v>
      </c>
      <c r="EP134" s="59">
        <f t="shared" si="154"/>
        <v>440.84111898279554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50.315774237599015</v>
      </c>
      <c r="EW134" s="21">
        <f>EXP(-LN(2)/25)*EW133+(1-EXP(-LN(2)/25))/(LN(2)/25)*Calculateur!ER134*Calculateur!ET134*VLOOKUP('Données projet'!$B$15,Paramètres!$A$1:$I$89,3,0)*0.475*44/12</f>
        <v>7.0040494173209105</v>
      </c>
      <c r="EX134" s="21">
        <f>EXP(-LN(2)/2)*EX133+(1-EXP(-LN(2)/2))/(LN(2)/2)*ER134*EU134*VLOOKUP('Données projet'!$B$15,Paramètres!$A$1:$I$89,3,0)*0.475*44/12</f>
        <v>1.2427809998957845E-10</v>
      </c>
      <c r="EY134" s="22">
        <f t="shared" si="129"/>
        <v>57.31982365504421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1.7053025658242404E-13</v>
      </c>
      <c r="O135" s="13">
        <f>N135*VLOOKUP('Données projet'!$B$9,Paramètres!$A$1:$I$89,3,0)*VLOOKUP('Données projet'!$B$9,Paramètres!$A$1:$I$89,5,0)</f>
        <v>1.383341441396624E-13</v>
      </c>
      <c r="P135" s="13">
        <f t="shared" si="141"/>
        <v>2.0011390722884082E-12</v>
      </c>
      <c r="Q135" s="20">
        <f t="shared" si="108"/>
        <v>3.7262491852788889E-12</v>
      </c>
      <c r="R135" s="59">
        <f t="shared" si="109"/>
        <v>293.33333333333707</v>
      </c>
      <c r="S135" s="59">
        <f ca="1">AVERAGE(OFFSET($R$3,0,0,'Données projet'!$E$9+1,1))-AVERAGE(OFFSET($H$3,0,0,'Données projet'!$E$9+1,1))</f>
        <v>298.96480270023716</v>
      </c>
      <c r="T135" s="59">
        <f t="shared" si="142"/>
        <v>293.11447542333889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29.866734951974141</v>
      </c>
      <c r="AA135" s="21">
        <f>EXP(-LN(2)/25)*AA134+(1-EXP(-LN(2)/25))/(LN(2)/25)*Calculateur!V135*Calculateur!X135*VLOOKUP('Données projet'!$B$9,Paramètres!$A$1:$I$89,3,0)*0.475*44/12</f>
        <v>15.243696324167127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45.11043127614127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1.9895196601282805E-13</v>
      </c>
      <c r="AJ135" s="13">
        <f>AI135*VLOOKUP('Données projet'!$B$10,Paramètres!$A$1:$I$89,3,0)*VLOOKUP('Données projet'!$B$10,Paramètres!$A$1:$I$89,5,0)</f>
        <v>1.707007868390065E-13</v>
      </c>
      <c r="AK135" s="13">
        <f t="shared" si="143"/>
        <v>2.4096578055149408E-12</v>
      </c>
      <c r="AL135" s="20">
        <f t="shared" si="112"/>
        <v>4.4941245483497909E-12</v>
      </c>
      <c r="AM135" s="59">
        <f t="shared" si="113"/>
        <v>293.33333333333781</v>
      </c>
      <c r="AN135" s="59">
        <f ca="1">AVERAGE(OFFSET($AM$3,0,0,'Données projet'!$E$10+1,1))-AVERAGE(OFFSET($H$3,0,0,'Données projet'!$E$10+1,1))</f>
        <v>335.02113791949211</v>
      </c>
      <c r="AO135" s="59">
        <f t="shared" si="144"/>
        <v>222.06886429435099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89.410653721412032</v>
      </c>
      <c r="AV135" s="21">
        <f>EXP(-LN(2)/25)*AV134+(1-EXP(-LN(2)/25))/(LN(2)/25)*Calculateur!AQ135*Calculateur!AS135*VLOOKUP('Données projet'!$B$10,Paramètres!$A$1:$I$89,3,0)*0.475*44/12</f>
        <v>55.367118297327885</v>
      </c>
      <c r="AW135" s="21">
        <f>EXP(-LN(2)/2)*AW134+(1-EXP(-LN(2)/2))/(LN(2)/2)*AQ135*AT135*VLOOKUP('Données projet'!$B$10,Paramètres!$A$1:$I$89,3,0)*0.475*44/12</f>
        <v>0.44832303496132708</v>
      </c>
      <c r="AX135" s="21">
        <f t="shared" si="114"/>
        <v>145.22609505370124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-3.1036506698001178E-14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207.02306964567629</v>
      </c>
      <c r="BJ135" s="59">
        <f t="shared" si="146"/>
        <v>342.06887933351783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10.90528995357945</v>
      </c>
      <c r="BQ135" s="21">
        <f>EXP(-LN(2)/25)*BQ134+(1-EXP(-LN(2)/25))/(LN(2)/25)*Calculateur!BL135*Calculateur!BN135*VLOOKUP('Données projet'!$B$11,Paramètres!$A$1:$I$89,3,0)*0.475*44/12</f>
        <v>11.697176954339792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22.602466907919244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233.89079999999998</v>
      </c>
      <c r="CA135" s="13">
        <f t="shared" si="147"/>
        <v>57.123140349023068</v>
      </c>
      <c r="CB135" s="20">
        <f t="shared" si="118"/>
        <v>506.84927944121517</v>
      </c>
      <c r="CC135" s="59">
        <f t="shared" si="119"/>
        <v>800.18261277454849</v>
      </c>
      <c r="CD135" s="59">
        <f ca="1">AVERAGE(OFFSET($CC$3,0,0,'Données projet'!$E$12+1,1))-AVERAGE(OFFSET($H$3,0,0,'Données projet'!$E$12+1,1))</f>
        <v>328.55201074501201</v>
      </c>
      <c r="CE135" s="59">
        <f t="shared" si="148"/>
        <v>321.81422611044985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11.954966718298458</v>
      </c>
      <c r="CL135" s="21">
        <f>EXP(-LN(2)/25)*CL134+(1-EXP(-LN(2)/25))/(LN(2)/25)*Calculateur!CG135*Calculateur!CI135*VLOOKUP('Données projet'!$B$12,Paramètres!$A$1:$I$89,3,0)*0.475*44/12</f>
        <v>1.3343213486986467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13.289288066997104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354.24684313982857</v>
      </c>
      <c r="CZ135" s="59">
        <f t="shared" si="150"/>
        <v>322.65043486962185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51.940800109576955</v>
      </c>
      <c r="DG135" s="21">
        <f>EXP(-LN(2)/25)*DG134+(1-EXP(-LN(2)/25))/(LN(2)/25)*Calculateur!DB135*Calculateur!DD135*VLOOKUP('Données projet'!$B$13,Paramètres!$A$1:$I$89,3,0)*0.475*44/12</f>
        <v>14.409993077845121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66.35079318742207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1.7053025658242404E-13</v>
      </c>
      <c r="DP135" s="17">
        <f>DO135*VLOOKUP('Données projet'!$B$14,Paramètres!$A$1:$I$89,3,0)*VLOOKUP('Données projet'!$B$14,Paramètres!$A$1:$I$89,5,0)</f>
        <v>1.3301360013429075E-13</v>
      </c>
      <c r="DQ135" s="13">
        <f t="shared" si="151"/>
        <v>1.9329766731057041E-12</v>
      </c>
      <c r="DR135" s="20">
        <f t="shared" si="124"/>
        <v>3.5982663925596575E-12</v>
      </c>
      <c r="DS135" s="59">
        <f t="shared" si="125"/>
        <v>293.3333333333369</v>
      </c>
      <c r="DT135" s="59">
        <f ca="1">AVERAGE(OFFSET($DS$3,0,0,'Données projet'!$E$14+1,1))-AVERAGE(OFFSET($H$3,0,0,'Données projet'!$E$14+1,1))</f>
        <v>288.80569134263209</v>
      </c>
      <c r="DU135" s="59">
        <f t="shared" si="152"/>
        <v>283.48738729114024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23.29952109823817</v>
      </c>
      <c r="EB135" s="21">
        <f>EXP(-LN(2)/25)*EB134+(1-EXP(-LN(2)/25))/(LN(2)/25)*Calculateur!DW135*Calculateur!DY135*VLOOKUP('Données projet'!$B$14,Paramètres!$A$1:$I$89,3,0)*0.475*44/12</f>
        <v>11.891853083076674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35.191374181314842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-6.3550942286383367E-14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335.04906256888819</v>
      </c>
      <c r="EP135" s="59">
        <f t="shared" si="154"/>
        <v>440.84111898279554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49.329112594391638</v>
      </c>
      <c r="EW135" s="21">
        <f>EXP(-LN(2)/25)*EW134+(1-EXP(-LN(2)/25))/(LN(2)/25)*Calculateur!ER135*Calculateur!ET135*VLOOKUP('Données projet'!$B$15,Paramètres!$A$1:$I$89,3,0)*0.475*44/12</f>
        <v>6.8125233176773197</v>
      </c>
      <c r="EX135" s="21">
        <f>EXP(-LN(2)/2)*EX134+(1-EXP(-LN(2)/2))/(LN(2)/2)*ER135*EU135*VLOOKUP('Données projet'!$B$15,Paramètres!$A$1:$I$89,3,0)*0.475*44/12</f>
        <v>8.7877887255610725E-11</v>
      </c>
      <c r="EY135" s="22">
        <f t="shared" si="129"/>
        <v>56.141635912156836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1.7053025658242404E-13</v>
      </c>
      <c r="O136" s="13">
        <f>N136*VLOOKUP('Données projet'!$B$9,Paramètres!$A$1:$I$89,3,0)*VLOOKUP('Données projet'!$B$9,Paramètres!$A$1:$I$89,5,0)</f>
        <v>1.383341441396624E-13</v>
      </c>
      <c r="P136" s="13">
        <f t="shared" si="141"/>
        <v>2.0011390722884082E-12</v>
      </c>
      <c r="Q136" s="20">
        <f t="shared" si="108"/>
        <v>3.7262491852788889E-12</v>
      </c>
      <c r="R136" s="59">
        <f t="shared" si="109"/>
        <v>293.33333333333707</v>
      </c>
      <c r="S136" s="59">
        <f ca="1">AVERAGE(OFFSET($R$3,0,0,'Données projet'!$E$9+1,1))-AVERAGE(OFFSET($H$3,0,0,'Données projet'!$E$9+1,1))</f>
        <v>298.96480270023716</v>
      </c>
      <c r="T136" s="59">
        <f t="shared" si="142"/>
        <v>293.11447542333889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29.281066496475479</v>
      </c>
      <c r="AA136" s="21">
        <f>EXP(-LN(2)/25)*AA135+(1-EXP(-LN(2)/25))/(LN(2)/25)*Calculateur!V136*Calculateur!X136*VLOOKUP('Données projet'!$B$9,Paramètres!$A$1:$I$89,3,0)*0.475*44/12</f>
        <v>14.826856646551628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44.107923143027108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1.9895196601282805E-13</v>
      </c>
      <c r="AJ136" s="13">
        <f>AI136*VLOOKUP('Données projet'!$B$10,Paramètres!$A$1:$I$89,3,0)*VLOOKUP('Données projet'!$B$10,Paramètres!$A$1:$I$89,5,0)</f>
        <v>1.707007868390065E-13</v>
      </c>
      <c r="AK136" s="13">
        <f t="shared" si="143"/>
        <v>2.4096578055149408E-12</v>
      </c>
      <c r="AL136" s="20">
        <f t="shared" si="112"/>
        <v>4.4941245483497909E-12</v>
      </c>
      <c r="AM136" s="59">
        <f t="shared" si="113"/>
        <v>293.33333333333781</v>
      </c>
      <c r="AN136" s="59">
        <f ca="1">AVERAGE(OFFSET($AM$3,0,0,'Données projet'!$E$10+1,1))-AVERAGE(OFFSET($H$3,0,0,'Données projet'!$E$10+1,1))</f>
        <v>335.02113791949211</v>
      </c>
      <c r="AO136" s="59">
        <f t="shared" si="144"/>
        <v>222.06886429435099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87.657365337049015</v>
      </c>
      <c r="AV136" s="21">
        <f>EXP(-LN(2)/25)*AV135+(1-EXP(-LN(2)/25))/(LN(2)/25)*Calculateur!AQ136*Calculateur!AS136*VLOOKUP('Données projet'!$B$10,Paramètres!$A$1:$I$89,3,0)*0.475*44/12</f>
        <v>53.853101535857249</v>
      </c>
      <c r="AW136" s="21">
        <f>EXP(-LN(2)/2)*AW135+(1-EXP(-LN(2)/2))/(LN(2)/2)*AQ136*AT136*VLOOKUP('Données projet'!$B$10,Paramètres!$A$1:$I$89,3,0)*0.475*44/12</f>
        <v>0.31701225818328804</v>
      </c>
      <c r="AX136" s="21">
        <f t="shared" si="114"/>
        <v>141.82747913108955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-3.1036506698001178E-14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207.02306964567629</v>
      </c>
      <c r="BJ136" s="59">
        <f t="shared" si="146"/>
        <v>342.06887933351783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10.691443869159841</v>
      </c>
      <c r="BQ136" s="21">
        <f>EXP(-LN(2)/25)*BQ135+(1-EXP(-LN(2)/25))/(LN(2)/25)*Calculateur!BL136*Calculateur!BN136*VLOOKUP('Données projet'!$B$11,Paramètres!$A$1:$I$89,3,0)*0.475*44/12</f>
        <v>11.377317035395569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22.068760904555411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233.89079999999998</v>
      </c>
      <c r="CA136" s="13">
        <f t="shared" si="147"/>
        <v>57.123140349023068</v>
      </c>
      <c r="CB136" s="20">
        <f t="shared" si="118"/>
        <v>506.84927944121517</v>
      </c>
      <c r="CC136" s="59">
        <f t="shared" si="119"/>
        <v>800.18261277454849</v>
      </c>
      <c r="CD136" s="59">
        <f ca="1">AVERAGE(OFFSET($CC$3,0,0,'Données projet'!$E$12+1,1))-AVERAGE(OFFSET($H$3,0,0,'Données projet'!$E$12+1,1))</f>
        <v>328.55201074501201</v>
      </c>
      <c r="CE136" s="59">
        <f t="shared" si="148"/>
        <v>321.81422611044985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11.720537112762317</v>
      </c>
      <c r="CL136" s="21">
        <f>EXP(-LN(2)/25)*CL135+(1-EXP(-LN(2)/25))/(LN(2)/25)*Calculateur!CG136*Calculateur!CI136*VLOOKUP('Données projet'!$B$12,Paramètres!$A$1:$I$89,3,0)*0.475*44/12</f>
        <v>1.2978342612495721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13.018371374011888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354.24684313982857</v>
      </c>
      <c r="CZ136" s="59">
        <f t="shared" si="150"/>
        <v>322.65043486962185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50.922272700188003</v>
      </c>
      <c r="DG136" s="21">
        <f>EXP(-LN(2)/25)*DG135+(1-EXP(-LN(2)/25))/(LN(2)/25)*Calculateur!DB136*Calculateur!DD136*VLOOKUP('Données projet'!$B$13,Paramètres!$A$1:$I$89,3,0)*0.475*44/12</f>
        <v>14.015951059342845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64.938223759530842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1.7053025658242404E-13</v>
      </c>
      <c r="DP136" s="17">
        <f>DO136*VLOOKUP('Données projet'!$B$14,Paramètres!$A$1:$I$89,3,0)*VLOOKUP('Données projet'!$B$14,Paramètres!$A$1:$I$89,5,0)</f>
        <v>1.3301360013429075E-13</v>
      </c>
      <c r="DQ136" s="13">
        <f t="shared" si="151"/>
        <v>1.9329766731057041E-12</v>
      </c>
      <c r="DR136" s="20">
        <f t="shared" si="124"/>
        <v>3.5982663925596575E-12</v>
      </c>
      <c r="DS136" s="59">
        <f t="shared" si="125"/>
        <v>293.3333333333369</v>
      </c>
      <c r="DT136" s="59">
        <f ca="1">AVERAGE(OFFSET($DS$3,0,0,'Données projet'!$E$14+1,1))-AVERAGE(OFFSET($H$3,0,0,'Données projet'!$E$14+1,1))</f>
        <v>288.80569134263209</v>
      </c>
      <c r="DU136" s="59">
        <f t="shared" si="152"/>
        <v>283.48738729114024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22.84263170080634</v>
      </c>
      <c r="EB136" s="21">
        <f>EXP(-LN(2)/25)*EB135+(1-EXP(-LN(2)/25))/(LN(2)/25)*Calculateur!DW136*Calculateur!DY136*VLOOKUP('Données projet'!$B$14,Paramètres!$A$1:$I$89,3,0)*0.475*44/12</f>
        <v>11.566669735154568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34.409301435960906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-6.3550942286383367E-14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335.04906256888819</v>
      </c>
      <c r="EP136" s="59">
        <f t="shared" si="154"/>
        <v>440.84111898279554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48.36179878420338</v>
      </c>
      <c r="EW136" s="21">
        <f>EXP(-LN(2)/25)*EW135+(1-EXP(-LN(2)/25))/(LN(2)/25)*Calculateur!ER136*Calculateur!ET136*VLOOKUP('Données projet'!$B$15,Paramètres!$A$1:$I$89,3,0)*0.475*44/12</f>
        <v>6.626234509300402</v>
      </c>
      <c r="EX136" s="21">
        <f>EXP(-LN(2)/2)*EX135+(1-EXP(-LN(2)/2))/(LN(2)/2)*ER136*EU136*VLOOKUP('Données projet'!$B$15,Paramètres!$A$1:$I$89,3,0)*0.475*44/12</f>
        <v>6.2139049994789226E-11</v>
      </c>
      <c r="EY136" s="22">
        <f t="shared" si="129"/>
        <v>54.98803329356592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1.7053025658242404E-13</v>
      </c>
      <c r="O137" s="13">
        <f>N137*VLOOKUP('Données projet'!$B$9,Paramètres!$A$1:$I$89,3,0)*VLOOKUP('Données projet'!$B$9,Paramètres!$A$1:$I$89,5,0)</f>
        <v>1.383341441396624E-13</v>
      </c>
      <c r="P137" s="13">
        <f t="shared" si="141"/>
        <v>2.0011390722884082E-12</v>
      </c>
      <c r="Q137" s="20">
        <f t="shared" si="108"/>
        <v>3.7262491852788889E-12</v>
      </c>
      <c r="R137" s="59">
        <f t="shared" si="109"/>
        <v>293.33333333333707</v>
      </c>
      <c r="S137" s="59">
        <f ca="1">AVERAGE(OFFSET($R$3,0,0,'Données projet'!$E$9+1,1))-AVERAGE(OFFSET($H$3,0,0,'Données projet'!$E$9+1,1))</f>
        <v>298.96480270023716</v>
      </c>
      <c r="T137" s="59">
        <f t="shared" si="142"/>
        <v>293.11447542333889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28.706882642166661</v>
      </c>
      <c r="AA137" s="21">
        <f>EXP(-LN(2)/25)*AA136+(1-EXP(-LN(2)/25))/(LN(2)/25)*Calculateur!V137*Calculateur!X137*VLOOKUP('Données projet'!$B$9,Paramètres!$A$1:$I$89,3,0)*0.475*44/12</f>
        <v>14.42141547184117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43.128298114007833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1.9895196601282805E-13</v>
      </c>
      <c r="AJ137" s="13">
        <f>AI137*VLOOKUP('Données projet'!$B$10,Paramètres!$A$1:$I$89,3,0)*VLOOKUP('Données projet'!$B$10,Paramètres!$A$1:$I$89,5,0)</f>
        <v>1.707007868390065E-13</v>
      </c>
      <c r="AK137" s="13">
        <f t="shared" si="143"/>
        <v>2.4096578055149408E-12</v>
      </c>
      <c r="AL137" s="20">
        <f t="shared" si="112"/>
        <v>4.4941245483497909E-12</v>
      </c>
      <c r="AM137" s="59">
        <f t="shared" si="113"/>
        <v>293.33333333333781</v>
      </c>
      <c r="AN137" s="59">
        <f ca="1">AVERAGE(OFFSET($AM$3,0,0,'Données projet'!$E$10+1,1))-AVERAGE(OFFSET($H$3,0,0,'Données projet'!$E$10+1,1))</f>
        <v>335.02113791949211</v>
      </c>
      <c r="AO137" s="59">
        <f t="shared" si="144"/>
        <v>222.06886429435099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85.938457868503036</v>
      </c>
      <c r="AV137" s="21">
        <f>EXP(-LN(2)/25)*AV136+(1-EXP(-LN(2)/25))/(LN(2)/25)*Calculateur!AQ137*Calculateur!AS137*VLOOKUP('Données projet'!$B$10,Paramètres!$A$1:$I$89,3,0)*0.475*44/12</f>
        <v>52.380485642347708</v>
      </c>
      <c r="AW137" s="21">
        <f>EXP(-LN(2)/2)*AW136+(1-EXP(-LN(2)/2))/(LN(2)/2)*AQ137*AT137*VLOOKUP('Données projet'!$B$10,Paramètres!$A$1:$I$89,3,0)*0.475*44/12</f>
        <v>0.2241615174806636</v>
      </c>
      <c r="AX137" s="21">
        <f t="shared" si="114"/>
        <v>138.54310502833141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-3.1036506698001178E-14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207.02306964567629</v>
      </c>
      <c r="BJ137" s="59">
        <f t="shared" si="146"/>
        <v>342.06887933351783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10.481791176022467</v>
      </c>
      <c r="BQ137" s="21">
        <f>EXP(-LN(2)/25)*BQ136+(1-EXP(-LN(2)/25))/(LN(2)/25)*Calculateur!BL137*Calculateur!BN137*VLOOKUP('Données projet'!$B$11,Paramètres!$A$1:$I$89,3,0)*0.475*44/12</f>
        <v>11.066203702755578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21.547994878778045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233.89079999999998</v>
      </c>
      <c r="CA137" s="13">
        <f t="shared" si="147"/>
        <v>57.123140349023068</v>
      </c>
      <c r="CB137" s="20">
        <f t="shared" si="118"/>
        <v>506.84927944121517</v>
      </c>
      <c r="CC137" s="59">
        <f t="shared" si="119"/>
        <v>800.18261277454849</v>
      </c>
      <c r="CD137" s="59">
        <f ca="1">AVERAGE(OFFSET($CC$3,0,0,'Données projet'!$E$12+1,1))-AVERAGE(OFFSET($H$3,0,0,'Données projet'!$E$12+1,1))</f>
        <v>328.55201074501201</v>
      </c>
      <c r="CE137" s="59">
        <f t="shared" si="148"/>
        <v>321.81422611044985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11.4907045288028</v>
      </c>
      <c r="CL137" s="21">
        <f>EXP(-LN(2)/25)*CL136+(1-EXP(-LN(2)/25))/(LN(2)/25)*Calculateur!CG137*Calculateur!CI137*VLOOKUP('Données projet'!$B$12,Paramètres!$A$1:$I$89,3,0)*0.475*44/12</f>
        <v>1.262344915125565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12.753049443928365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354.24684313982857</v>
      </c>
      <c r="CZ137" s="59">
        <f t="shared" si="150"/>
        <v>322.65043486962185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49.923717992056794</v>
      </c>
      <c r="DG137" s="21">
        <f>EXP(-LN(2)/25)*DG136+(1-EXP(-LN(2)/25))/(LN(2)/25)*Calculateur!DB137*Calculateur!DD137*VLOOKUP('Données projet'!$B$13,Paramètres!$A$1:$I$89,3,0)*0.475*44/12</f>
        <v>13.632684140558283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63.556402132615077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1.7053025658242404E-13</v>
      </c>
      <c r="DP137" s="17">
        <f>DO137*VLOOKUP('Données projet'!$B$14,Paramètres!$A$1:$I$89,3,0)*VLOOKUP('Données projet'!$B$14,Paramètres!$A$1:$I$89,5,0)</f>
        <v>1.3301360013429075E-13</v>
      </c>
      <c r="DQ137" s="13">
        <f t="shared" si="151"/>
        <v>1.9329766731057041E-12</v>
      </c>
      <c r="DR137" s="20">
        <f t="shared" si="124"/>
        <v>3.5982663925596575E-12</v>
      </c>
      <c r="DS137" s="59">
        <f t="shared" si="125"/>
        <v>293.3333333333369</v>
      </c>
      <c r="DT137" s="59">
        <f ca="1">AVERAGE(OFFSET($DS$3,0,0,'Données projet'!$E$14+1,1))-AVERAGE(OFFSET($H$3,0,0,'Données projet'!$E$14+1,1))</f>
        <v>288.80569134263209</v>
      </c>
      <c r="DU137" s="59">
        <f t="shared" si="152"/>
        <v>283.48738729114024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22.394701625783132</v>
      </c>
      <c r="EB137" s="21">
        <f>EXP(-LN(2)/25)*EB136+(1-EXP(-LN(2)/25))/(LN(2)/25)*Calculateur!DW137*Calculateur!DY137*VLOOKUP('Données projet'!$B$14,Paramètres!$A$1:$I$89,3,0)*0.475*44/12</f>
        <v>11.250378542982041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33.645080168765176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-6.3550942286383367E-14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335.04906256888819</v>
      </c>
      <c r="EP137" s="59">
        <f t="shared" si="154"/>
        <v>440.84111898279554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47.413453407829749</v>
      </c>
      <c r="EW137" s="21">
        <f>EXP(-LN(2)/25)*EW136+(1-EXP(-LN(2)/25))/(LN(2)/25)*Calculateur!ER137*Calculateur!ET137*VLOOKUP('Données projet'!$B$15,Paramètres!$A$1:$I$89,3,0)*0.475*44/12</f>
        <v>6.4450397781850546</v>
      </c>
      <c r="EX137" s="21">
        <f>EXP(-LN(2)/2)*EX136+(1-EXP(-LN(2)/2))/(LN(2)/2)*ER137*EU137*VLOOKUP('Données projet'!$B$15,Paramètres!$A$1:$I$89,3,0)*0.475*44/12</f>
        <v>4.3938943627805363E-11</v>
      </c>
      <c r="EY137" s="22">
        <f t="shared" si="129"/>
        <v>53.858493186058745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1.7053025658242404E-13</v>
      </c>
      <c r="O138" s="13">
        <f>N138*VLOOKUP('Données projet'!$B$9,Paramètres!$A$1:$I$89,3,0)*VLOOKUP('Données projet'!$B$9,Paramètres!$A$1:$I$89,5,0)</f>
        <v>1.383341441396624E-13</v>
      </c>
      <c r="P138" s="13">
        <f t="shared" si="141"/>
        <v>2.0011390722884082E-12</v>
      </c>
      <c r="Q138" s="20">
        <f t="shared" si="108"/>
        <v>3.7262491852788889E-12</v>
      </c>
      <c r="R138" s="59">
        <f t="shared" si="109"/>
        <v>293.33333333333707</v>
      </c>
      <c r="S138" s="59">
        <f ca="1">AVERAGE(OFFSET($R$3,0,0,'Données projet'!$E$9+1,1))-AVERAGE(OFFSET($H$3,0,0,'Données projet'!$E$9+1,1))</f>
        <v>298.96480270023716</v>
      </c>
      <c r="T138" s="59">
        <f t="shared" si="142"/>
        <v>293.11447542333889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28.143958183023269</v>
      </c>
      <c r="AA138" s="21">
        <f>EXP(-LN(2)/25)*AA137+(1-EXP(-LN(2)/25))/(LN(2)/25)*Calculateur!V138*Calculateur!X138*VLOOKUP('Données projet'!$B$9,Paramètres!$A$1:$I$89,3,0)*0.475*44/12</f>
        <v>14.027061107374394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42.171019290397666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1.9895196601282805E-13</v>
      </c>
      <c r="AJ138" s="13">
        <f>AI138*VLOOKUP('Données projet'!$B$10,Paramètres!$A$1:$I$89,3,0)*VLOOKUP('Données projet'!$B$10,Paramètres!$A$1:$I$89,5,0)</f>
        <v>1.707007868390065E-13</v>
      </c>
      <c r="AK138" s="13">
        <f t="shared" si="143"/>
        <v>2.4096578055149408E-12</v>
      </c>
      <c r="AL138" s="20">
        <f t="shared" si="112"/>
        <v>4.4941245483497909E-12</v>
      </c>
      <c r="AM138" s="59">
        <f t="shared" si="113"/>
        <v>293.33333333333781</v>
      </c>
      <c r="AN138" s="59">
        <f ca="1">AVERAGE(OFFSET($AM$3,0,0,'Données projet'!$E$10+1,1))-AVERAGE(OFFSET($H$3,0,0,'Données projet'!$E$10+1,1))</f>
        <v>335.02113791949211</v>
      </c>
      <c r="AO138" s="59">
        <f t="shared" si="144"/>
        <v>222.06886429435099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84.253257126985218</v>
      </c>
      <c r="AV138" s="21">
        <f>EXP(-LN(2)/25)*AV137+(1-EXP(-LN(2)/25))/(LN(2)/25)*Calculateur!AQ138*Calculateur!AS138*VLOOKUP('Données projet'!$B$10,Paramètres!$A$1:$I$89,3,0)*0.475*44/12</f>
        <v>50.948138507887684</v>
      </c>
      <c r="AW138" s="21">
        <f>EXP(-LN(2)/2)*AW137+(1-EXP(-LN(2)/2))/(LN(2)/2)*AQ138*AT138*VLOOKUP('Données projet'!$B$10,Paramètres!$A$1:$I$89,3,0)*0.475*44/12</f>
        <v>0.15850612909164405</v>
      </c>
      <c r="AX138" s="21">
        <f t="shared" si="114"/>
        <v>135.35990176396456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-3.1036506698001178E-14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207.02306964567629</v>
      </c>
      <c r="BJ138" s="59">
        <f t="shared" si="146"/>
        <v>342.06887933351783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10.276249644322002</v>
      </c>
      <c r="BQ138" s="21">
        <f>EXP(-LN(2)/25)*BQ137+(1-EXP(-LN(2)/25))/(LN(2)/25)*Calculateur!BL138*Calculateur!BN138*VLOOKUP('Données projet'!$B$11,Paramètres!$A$1:$I$89,3,0)*0.475*44/12</f>
        <v>10.763597780557365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21.039847424879369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233.89079999999998</v>
      </c>
      <c r="CA138" s="13">
        <f t="shared" si="147"/>
        <v>57.123140349023068</v>
      </c>
      <c r="CB138" s="20">
        <f t="shared" si="118"/>
        <v>506.84927944121517</v>
      </c>
      <c r="CC138" s="59">
        <f t="shared" si="119"/>
        <v>800.18261277454849</v>
      </c>
      <c r="CD138" s="59">
        <f ca="1">AVERAGE(OFFSET($CC$3,0,0,'Données projet'!$E$12+1,1))-AVERAGE(OFFSET($H$3,0,0,'Données projet'!$E$12+1,1))</f>
        <v>328.55201074501201</v>
      </c>
      <c r="CE138" s="59">
        <f t="shared" si="148"/>
        <v>321.81422611044985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11.265378821630694</v>
      </c>
      <c r="CL138" s="21">
        <f>EXP(-LN(2)/25)*CL137+(1-EXP(-LN(2)/25))/(LN(2)/25)*Calculateur!CG138*Calculateur!CI138*VLOOKUP('Données projet'!$B$12,Paramètres!$A$1:$I$89,3,0)*0.475*44/12</f>
        <v>1.2278260270376224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12.493204848668316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354.24684313982857</v>
      </c>
      <c r="CZ138" s="59">
        <f t="shared" si="150"/>
        <v>322.65043486962185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48.944744332693801</v>
      </c>
      <c r="DG138" s="21">
        <f>EXP(-LN(2)/25)*DG137+(1-EXP(-LN(2)/25))/(LN(2)/25)*Calculateur!DB138*Calculateur!DD138*VLOOKUP('Données projet'!$B$13,Paramètres!$A$1:$I$89,3,0)*0.475*44/12</f>
        <v>13.259897675823016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62.204642008516814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1.7053025658242404E-13</v>
      </c>
      <c r="DP138" s="17">
        <f>DO138*VLOOKUP('Données projet'!$B$14,Paramètres!$A$1:$I$89,3,0)*VLOOKUP('Données projet'!$B$14,Paramètres!$A$1:$I$89,5,0)</f>
        <v>1.3301360013429075E-13</v>
      </c>
      <c r="DQ138" s="13">
        <f t="shared" si="151"/>
        <v>1.9329766731057041E-12</v>
      </c>
      <c r="DR138" s="20">
        <f t="shared" si="124"/>
        <v>3.5982663925596575E-12</v>
      </c>
      <c r="DS138" s="59">
        <f t="shared" si="125"/>
        <v>293.3333333333369</v>
      </c>
      <c r="DT138" s="59">
        <f ca="1">AVERAGE(OFFSET($DS$3,0,0,'Données projet'!$E$14+1,1))-AVERAGE(OFFSET($H$3,0,0,'Données projet'!$E$14+1,1))</f>
        <v>288.80569134263209</v>
      </c>
      <c r="DU138" s="59">
        <f t="shared" si="152"/>
        <v>283.48738729114024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21.955555186320762</v>
      </c>
      <c r="EB138" s="21">
        <f>EXP(-LN(2)/25)*EB137+(1-EXP(-LN(2)/25))/(LN(2)/25)*Calculateur!DW138*Calculateur!DY138*VLOOKUP('Données projet'!$B$14,Paramètres!$A$1:$I$89,3,0)*0.475*44/12</f>
        <v>10.942736350092503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32.898291536413268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-6.3550942286383367E-14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335.04906256888819</v>
      </c>
      <c r="EP138" s="59">
        <f t="shared" si="154"/>
        <v>440.84111898279554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46.48370450585324</v>
      </c>
      <c r="EW138" s="21">
        <f>EXP(-LN(2)/25)*EW137+(1-EXP(-LN(2)/25))/(LN(2)/25)*Calculateur!ER138*Calculateur!ET138*VLOOKUP('Données projet'!$B$15,Paramètres!$A$1:$I$89,3,0)*0.475*44/12</f>
        <v>6.2687998265206728</v>
      </c>
      <c r="EX138" s="21">
        <f>EXP(-LN(2)/2)*EX137+(1-EXP(-LN(2)/2))/(LN(2)/2)*ER138*EU138*VLOOKUP('Données projet'!$B$15,Paramètres!$A$1:$I$89,3,0)*0.475*44/12</f>
        <v>3.1069524997394613E-11</v>
      </c>
      <c r="EY138" s="22">
        <f t="shared" si="129"/>
        <v>52.752504332404982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1.7053025658242404E-13</v>
      </c>
      <c r="O139" s="13">
        <f>N139*VLOOKUP('Données projet'!$B$9,Paramètres!$A$1:$I$89,3,0)*VLOOKUP('Données projet'!$B$9,Paramètres!$A$1:$I$89,5,0)</f>
        <v>1.383341441396624E-13</v>
      </c>
      <c r="P139" s="13">
        <f t="shared" si="141"/>
        <v>2.0011390722884082E-12</v>
      </c>
      <c r="Q139" s="20">
        <f t="shared" si="108"/>
        <v>3.7262491852788889E-12</v>
      </c>
      <c r="R139" s="59">
        <f t="shared" si="109"/>
        <v>293.33333333333707</v>
      </c>
      <c r="S139" s="59">
        <f ca="1">AVERAGE(OFFSET($R$3,0,0,'Données projet'!$E$9+1,1))-AVERAGE(OFFSET($H$3,0,0,'Données projet'!$E$9+1,1))</f>
        <v>298.96480270023716</v>
      </c>
      <c r="T139" s="59">
        <f t="shared" si="142"/>
        <v>293.11447542333889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27.592072329173661</v>
      </c>
      <c r="AA139" s="21">
        <f>EXP(-LN(2)/25)*AA138+(1-EXP(-LN(2)/25))/(LN(2)/25)*Calculateur!V139*Calculateur!X139*VLOOKUP('Données projet'!$B$9,Paramètres!$A$1:$I$89,3,0)*0.475*44/12</f>
        <v>13.643490383742156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41.235562712915815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1.9895196601282805E-13</v>
      </c>
      <c r="AJ139" s="13">
        <f>AI139*VLOOKUP('Données projet'!$B$10,Paramètres!$A$1:$I$89,3,0)*VLOOKUP('Données projet'!$B$10,Paramètres!$A$1:$I$89,5,0)</f>
        <v>1.707007868390065E-13</v>
      </c>
      <c r="AK139" s="13">
        <f t="shared" si="143"/>
        <v>2.4096578055149408E-12</v>
      </c>
      <c r="AL139" s="20">
        <f t="shared" si="112"/>
        <v>4.4941245483497909E-12</v>
      </c>
      <c r="AM139" s="59">
        <f t="shared" si="113"/>
        <v>293.33333333333781</v>
      </c>
      <c r="AN139" s="59">
        <f ca="1">AVERAGE(OFFSET($AM$3,0,0,'Données projet'!$E$10+1,1))-AVERAGE(OFFSET($H$3,0,0,'Données projet'!$E$10+1,1))</f>
        <v>335.02113791949211</v>
      </c>
      <c r="AO139" s="59">
        <f t="shared" si="144"/>
        <v>222.06886429435099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82.601102144137599</v>
      </c>
      <c r="AV139" s="21">
        <f>EXP(-LN(2)/25)*AV138+(1-EXP(-LN(2)/25))/(LN(2)/25)*Calculateur!AQ139*Calculateur!AS139*VLOOKUP('Données projet'!$B$10,Paramètres!$A$1:$I$89,3,0)*0.475*44/12</f>
        <v>49.554958981143336</v>
      </c>
      <c r="AW139" s="21">
        <f>EXP(-LN(2)/2)*AW138+(1-EXP(-LN(2)/2))/(LN(2)/2)*AQ139*AT139*VLOOKUP('Données projet'!$B$10,Paramètres!$A$1:$I$89,3,0)*0.475*44/12</f>
        <v>0.11208075874033181</v>
      </c>
      <c r="AX139" s="21">
        <f t="shared" si="114"/>
        <v>132.26814188402125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-3.1036506698001178E-14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207.02306964567629</v>
      </c>
      <c r="BJ139" s="59">
        <f t="shared" si="146"/>
        <v>342.06887933351783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10.074738656690228</v>
      </c>
      <c r="BQ139" s="21">
        <f>EXP(-LN(2)/25)*BQ138+(1-EXP(-LN(2)/25))/(LN(2)/25)*Calculateur!BL139*Calculateur!BN139*VLOOKUP('Données projet'!$B$11,Paramètres!$A$1:$I$89,3,0)*0.475*44/12</f>
        <v>10.469266633215017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20.544005289905243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233.89079999999998</v>
      </c>
      <c r="CA139" s="13">
        <f t="shared" si="147"/>
        <v>57.123140349023068</v>
      </c>
      <c r="CB139" s="20">
        <f t="shared" si="118"/>
        <v>506.84927944121517</v>
      </c>
      <c r="CC139" s="59">
        <f t="shared" si="119"/>
        <v>800.18261277454849</v>
      </c>
      <c r="CD139" s="59">
        <f ca="1">AVERAGE(OFFSET($CC$3,0,0,'Données projet'!$E$12+1,1))-AVERAGE(OFFSET($H$3,0,0,'Données projet'!$E$12+1,1))</f>
        <v>328.55201074501201</v>
      </c>
      <c r="CE139" s="59">
        <f t="shared" si="148"/>
        <v>321.81422611044985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11.044471614141123</v>
      </c>
      <c r="CL139" s="21">
        <f>EXP(-LN(2)/25)*CL138+(1-EXP(-LN(2)/25))/(LN(2)/25)*Calculateur!CG139*Calculateur!CI139*VLOOKUP('Données projet'!$B$12,Paramètres!$A$1:$I$89,3,0)*0.475*44/12</f>
        <v>1.1942510597597142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12.238722673900838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354.24684313982857</v>
      </c>
      <c r="CZ139" s="59">
        <f t="shared" si="150"/>
        <v>322.65043486962185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47.984967749675945</v>
      </c>
      <c r="DG139" s="21">
        <f>EXP(-LN(2)/25)*DG138+(1-EXP(-LN(2)/25))/(LN(2)/25)*Calculateur!DB139*Calculateur!DD139*VLOOKUP('Données projet'!$B$13,Paramètres!$A$1:$I$89,3,0)*0.475*44/12</f>
        <v>12.897305076569923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60.882272826245867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1.7053025658242404E-13</v>
      </c>
      <c r="DP139" s="17">
        <f>DO139*VLOOKUP('Données projet'!$B$14,Paramètres!$A$1:$I$89,3,0)*VLOOKUP('Données projet'!$B$14,Paramètres!$A$1:$I$89,5,0)</f>
        <v>1.3301360013429075E-13</v>
      </c>
      <c r="DQ139" s="13">
        <f t="shared" si="151"/>
        <v>1.9329766731057041E-12</v>
      </c>
      <c r="DR139" s="20">
        <f t="shared" si="124"/>
        <v>3.5982663925596575E-12</v>
      </c>
      <c r="DS139" s="59">
        <f t="shared" si="125"/>
        <v>293.3333333333369</v>
      </c>
      <c r="DT139" s="59">
        <f ca="1">AVERAGE(OFFSET($DS$3,0,0,'Données projet'!$E$14+1,1))-AVERAGE(OFFSET($H$3,0,0,'Données projet'!$E$14+1,1))</f>
        <v>288.80569134263209</v>
      </c>
      <c r="DU139" s="59">
        <f t="shared" si="152"/>
        <v>283.48738729114024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21.525020140683367</v>
      </c>
      <c r="EB139" s="21">
        <f>EXP(-LN(2)/25)*EB138+(1-EXP(-LN(2)/25))/(LN(2)/25)*Calculateur!DW139*Calculateur!DY139*VLOOKUP('Données projet'!$B$14,Paramètres!$A$1:$I$89,3,0)*0.475*44/12</f>
        <v>10.643506649145728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32.168526789829095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-6.3550942286383367E-14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335.04906256888819</v>
      </c>
      <c r="EP139" s="59">
        <f t="shared" si="154"/>
        <v>440.84111898279554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45.572187412753649</v>
      </c>
      <c r="EW139" s="21">
        <f>EXP(-LN(2)/25)*EW138+(1-EXP(-LN(2)/25))/(LN(2)/25)*Calculateur!ER139*Calculateur!ET139*VLOOKUP('Données projet'!$B$15,Paramètres!$A$1:$I$89,3,0)*0.475*44/12</f>
        <v>6.09737916560261</v>
      </c>
      <c r="EX139" s="21">
        <f>EXP(-LN(2)/2)*EX138+(1-EXP(-LN(2)/2))/(LN(2)/2)*ER139*EU139*VLOOKUP('Données projet'!$B$15,Paramètres!$A$1:$I$89,3,0)*0.475*44/12</f>
        <v>2.1969471813902681E-11</v>
      </c>
      <c r="EY139" s="22">
        <f t="shared" si="129"/>
        <v>51.66956657837823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1.7053025658242404E-13</v>
      </c>
      <c r="O140" s="13">
        <f>N140*VLOOKUP('Données projet'!$B$9,Paramètres!$A$1:$I$89,3,0)*VLOOKUP('Données projet'!$B$9,Paramètres!$A$1:$I$89,5,0)</f>
        <v>1.383341441396624E-13</v>
      </c>
      <c r="P140" s="13">
        <f t="shared" si="141"/>
        <v>2.0011390722884082E-12</v>
      </c>
      <c r="Q140" s="20">
        <f t="shared" si="108"/>
        <v>3.7262491852788889E-12</v>
      </c>
      <c r="R140" s="59">
        <f t="shared" si="109"/>
        <v>293.33333333333707</v>
      </c>
      <c r="S140" s="59">
        <f ca="1">AVERAGE(OFFSET($R$3,0,0,'Données projet'!$E$9+1,1))-AVERAGE(OFFSET($H$3,0,0,'Données projet'!$E$9+1,1))</f>
        <v>298.96480270023716</v>
      </c>
      <c r="T140" s="59">
        <f t="shared" si="142"/>
        <v>293.11447542333889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27.051008620300912</v>
      </c>
      <c r="AA140" s="21">
        <f>EXP(-LN(2)/25)*AA139+(1-EXP(-LN(2)/25))/(LN(2)/25)*Calculateur!V140*Calculateur!X140*VLOOKUP('Données projet'!$B$9,Paramètres!$A$1:$I$89,3,0)*0.475*44/12</f>
        <v>13.27040842171875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40.321417042019661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1.9895196601282805E-13</v>
      </c>
      <c r="AJ140" s="13">
        <f>AI140*VLOOKUP('Données projet'!$B$10,Paramètres!$A$1:$I$89,3,0)*VLOOKUP('Données projet'!$B$10,Paramètres!$A$1:$I$89,5,0)</f>
        <v>1.707007868390065E-13</v>
      </c>
      <c r="AK140" s="13">
        <f t="shared" si="143"/>
        <v>2.4096578055149408E-12</v>
      </c>
      <c r="AL140" s="20">
        <f t="shared" si="112"/>
        <v>4.4941245483497909E-12</v>
      </c>
      <c r="AM140" s="59">
        <f t="shared" si="113"/>
        <v>293.33333333333781</v>
      </c>
      <c r="AN140" s="59">
        <f ca="1">AVERAGE(OFFSET($AM$3,0,0,'Données projet'!$E$10+1,1))-AVERAGE(OFFSET($H$3,0,0,'Données projet'!$E$10+1,1))</f>
        <v>335.02113791949211</v>
      </c>
      <c r="AO140" s="59">
        <f t="shared" si="144"/>
        <v>222.06886429435099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80.981344912788586</v>
      </c>
      <c r="AV140" s="21">
        <f>EXP(-LN(2)/25)*AV139+(1-EXP(-LN(2)/25))/(LN(2)/25)*Calculateur!AQ140*Calculateur!AS140*VLOOKUP('Données projet'!$B$10,Paramètres!$A$1:$I$89,3,0)*0.475*44/12</f>
        <v>48.199876021821936</v>
      </c>
      <c r="AW140" s="21">
        <f>EXP(-LN(2)/2)*AW139+(1-EXP(-LN(2)/2))/(LN(2)/2)*AQ140*AT140*VLOOKUP('Données projet'!$B$10,Paramètres!$A$1:$I$89,3,0)*0.475*44/12</f>
        <v>7.9253064545822038E-2</v>
      </c>
      <c r="AX140" s="21">
        <f t="shared" si="114"/>
        <v>129.26047399915632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-3.1036506698001178E-14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207.02306964567629</v>
      </c>
      <c r="BJ140" s="59">
        <f t="shared" si="146"/>
        <v>342.06887933351783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9.8771791766163464</v>
      </c>
      <c r="BQ140" s="21">
        <f>EXP(-LN(2)/25)*BQ139+(1-EXP(-LN(2)/25))/(LN(2)/25)*Calculateur!BL140*Calculateur!BN140*VLOOKUP('Données projet'!$B$11,Paramètres!$A$1:$I$89,3,0)*0.475*44/12</f>
        <v>10.182983986574948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20.060163163191294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233.89079999999998</v>
      </c>
      <c r="CA140" s="13">
        <f t="shared" si="147"/>
        <v>57.123140349023068</v>
      </c>
      <c r="CB140" s="20">
        <f t="shared" si="118"/>
        <v>506.84927944121517</v>
      </c>
      <c r="CC140" s="59">
        <f t="shared" si="119"/>
        <v>800.18261277454849</v>
      </c>
      <c r="CD140" s="59">
        <f ca="1">AVERAGE(OFFSET($CC$3,0,0,'Données projet'!$E$12+1,1))-AVERAGE(OFFSET($H$3,0,0,'Données projet'!$E$12+1,1))</f>
        <v>328.55201074501201</v>
      </c>
      <c r="CE140" s="59">
        <f t="shared" si="148"/>
        <v>321.81422611044985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10.827896262250331</v>
      </c>
      <c r="CL140" s="21">
        <f>EXP(-LN(2)/25)*CL139+(1-EXP(-LN(2)/25))/(LN(2)/25)*Calculateur!CG140*Calculateur!CI140*VLOOKUP('Données projet'!$B$12,Paramètres!$A$1:$I$89,3,0)*0.475*44/12</f>
        <v>1.161594201727651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11.989490463977981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354.24684313982857</v>
      </c>
      <c r="CZ140" s="59">
        <f t="shared" si="150"/>
        <v>322.65043486962185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47.044011800045162</v>
      </c>
      <c r="DG140" s="21">
        <f>EXP(-LN(2)/25)*DG139+(1-EXP(-LN(2)/25))/(LN(2)/25)*Calculateur!DB140*Calculateur!DD140*VLOOKUP('Données projet'!$B$13,Paramètres!$A$1:$I$89,3,0)*0.475*44/12</f>
        <v>12.544627591011322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59.588639391056482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1.7053025658242404E-13</v>
      </c>
      <c r="DP140" s="17">
        <f>DO140*VLOOKUP('Données projet'!$B$14,Paramètres!$A$1:$I$89,3,0)*VLOOKUP('Données projet'!$B$14,Paramètres!$A$1:$I$89,5,0)</f>
        <v>1.3301360013429075E-13</v>
      </c>
      <c r="DQ140" s="13">
        <f t="shared" si="151"/>
        <v>1.9329766731057041E-12</v>
      </c>
      <c r="DR140" s="20">
        <f t="shared" si="124"/>
        <v>3.5982663925596575E-12</v>
      </c>
      <c r="DS140" s="59">
        <f t="shared" si="125"/>
        <v>293.3333333333369</v>
      </c>
      <c r="DT140" s="59">
        <f ca="1">AVERAGE(OFFSET($DS$3,0,0,'Données projet'!$E$14+1,1))-AVERAGE(OFFSET($H$3,0,0,'Données projet'!$E$14+1,1))</f>
        <v>288.80569134263209</v>
      </c>
      <c r="DU140" s="59">
        <f t="shared" si="152"/>
        <v>283.48738729114024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21.102927624690473</v>
      </c>
      <c r="EB140" s="21">
        <f>EXP(-LN(2)/25)*EB139+(1-EXP(-LN(2)/25))/(LN(2)/25)*Calculateur!DW140*Calculateur!DY140*VLOOKUP('Données projet'!$B$14,Paramètres!$A$1:$I$89,3,0)*0.475*44/12</f>
        <v>10.352459400107149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31.455387024797623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-6.3550942286383367E-14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335.04906256888819</v>
      </c>
      <c r="EP140" s="59">
        <f t="shared" si="154"/>
        <v>440.84111898279554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44.678544613879218</v>
      </c>
      <c r="EW140" s="21">
        <f>EXP(-LN(2)/25)*EW139+(1-EXP(-LN(2)/25))/(LN(2)/25)*Calculateur!ER140*Calculateur!ET140*VLOOKUP('Données projet'!$B$15,Paramètres!$A$1:$I$89,3,0)*0.475*44/12</f>
        <v>5.9306460116719721</v>
      </c>
      <c r="EX140" s="21">
        <f>EXP(-LN(2)/2)*EX139+(1-EXP(-LN(2)/2))/(LN(2)/2)*ER140*EU140*VLOOKUP('Données projet'!$B$15,Paramètres!$A$1:$I$89,3,0)*0.475*44/12</f>
        <v>1.5534762498697307E-11</v>
      </c>
      <c r="EY140" s="22">
        <f t="shared" si="129"/>
        <v>50.609190625566725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1.7053025658242404E-13</v>
      </c>
      <c r="O141" s="13">
        <f>N141*VLOOKUP('Données projet'!$B$9,Paramètres!$A$1:$I$89,3,0)*VLOOKUP('Données projet'!$B$9,Paramètres!$A$1:$I$89,5,0)</f>
        <v>1.383341441396624E-13</v>
      </c>
      <c r="P141" s="13">
        <f t="shared" si="141"/>
        <v>2.0011390722884082E-12</v>
      </c>
      <c r="Q141" s="20">
        <f t="shared" si="108"/>
        <v>3.7262491852788889E-12</v>
      </c>
      <c r="R141" s="59">
        <f t="shared" si="109"/>
        <v>293.33333333333707</v>
      </c>
      <c r="S141" s="59">
        <f ca="1">AVERAGE(OFFSET($R$3,0,0,'Données projet'!$E$9+1,1))-AVERAGE(OFFSET($H$3,0,0,'Données projet'!$E$9+1,1))</f>
        <v>298.96480270023716</v>
      </c>
      <c r="T141" s="59">
        <f t="shared" si="142"/>
        <v>293.11447542333889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26.520554840742882</v>
      </c>
      <c r="AA141" s="21">
        <f>EXP(-LN(2)/25)*AA140+(1-EXP(-LN(2)/25))/(LN(2)/25)*Calculateur!V141*Calculateur!X141*VLOOKUP('Données projet'!$B$9,Paramètres!$A$1:$I$89,3,0)*0.475*44/12</f>
        <v>12.907528405566403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39.428083246309285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1.9895196601282805E-13</v>
      </c>
      <c r="AJ141" s="13">
        <f>AI141*VLOOKUP('Données projet'!$B$10,Paramètres!$A$1:$I$89,3,0)*VLOOKUP('Données projet'!$B$10,Paramètres!$A$1:$I$89,5,0)</f>
        <v>1.707007868390065E-13</v>
      </c>
      <c r="AK141" s="13">
        <f t="shared" si="143"/>
        <v>2.4096578055149408E-12</v>
      </c>
      <c r="AL141" s="20">
        <f t="shared" si="112"/>
        <v>4.4941245483497909E-12</v>
      </c>
      <c r="AM141" s="59">
        <f t="shared" si="113"/>
        <v>293.33333333333781</v>
      </c>
      <c r="AN141" s="59">
        <f ca="1">AVERAGE(OFFSET($AM$3,0,0,'Données projet'!$E$10+1,1))-AVERAGE(OFFSET($H$3,0,0,'Données projet'!$E$10+1,1))</f>
        <v>335.02113791949211</v>
      </c>
      <c r="AO141" s="59">
        <f t="shared" si="144"/>
        <v>222.06886429435099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79.393350132791966</v>
      </c>
      <c r="AV141" s="21">
        <f>EXP(-LN(2)/25)*AV140+(1-EXP(-LN(2)/25))/(LN(2)/25)*Calculateur!AQ141*Calculateur!AS141*VLOOKUP('Données projet'!$B$10,Paramètres!$A$1:$I$89,3,0)*0.475*44/12</f>
        <v>46.881847877283896</v>
      </c>
      <c r="AW141" s="21">
        <f>EXP(-LN(2)/2)*AW140+(1-EXP(-LN(2)/2))/(LN(2)/2)*AQ141*AT141*VLOOKUP('Données projet'!$B$10,Paramètres!$A$1:$I$89,3,0)*0.475*44/12</f>
        <v>5.6040379370165913E-2</v>
      </c>
      <c r="AX141" s="21">
        <f t="shared" si="114"/>
        <v>126.33123838944601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-3.1036506698001178E-14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207.02306964567629</v>
      </c>
      <c r="BJ141" s="59">
        <f t="shared" si="146"/>
        <v>342.06887933351783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9.6834937174473286</v>
      </c>
      <c r="BQ141" s="21">
        <f>EXP(-LN(2)/25)*BQ140+(1-EXP(-LN(2)/25))/(LN(2)/25)*Calculateur!BL141*Calculateur!BN141*VLOOKUP('Données projet'!$B$11,Paramètres!$A$1:$I$89,3,0)*0.475*44/12</f>
        <v>9.9045297539622013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19.588023471409528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233.89079999999998</v>
      </c>
      <c r="CA141" s="13">
        <f t="shared" si="147"/>
        <v>57.123140349023068</v>
      </c>
      <c r="CB141" s="20">
        <f t="shared" si="118"/>
        <v>506.84927944121517</v>
      </c>
      <c r="CC141" s="59">
        <f t="shared" si="119"/>
        <v>800.18261277454849</v>
      </c>
      <c r="CD141" s="59">
        <f ca="1">AVERAGE(OFFSET($CC$3,0,0,'Données projet'!$E$12+1,1))-AVERAGE(OFFSET($H$3,0,0,'Données projet'!$E$12+1,1))</f>
        <v>328.55201074501201</v>
      </c>
      <c r="CE141" s="59">
        <f t="shared" si="148"/>
        <v>321.81422611044985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10.615567820912196</v>
      </c>
      <c r="CL141" s="21">
        <f>EXP(-LN(2)/25)*CL140+(1-EXP(-LN(2)/25))/(LN(2)/25)*Calculateur!CG141*Calculateur!CI141*VLOOKUP('Données projet'!$B$12,Paramètres!$A$1:$I$89,3,0)*0.475*44/12</f>
        <v>1.1298303471958242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11.74539816810802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354.24684313982857</v>
      </c>
      <c r="CZ141" s="59">
        <f t="shared" si="150"/>
        <v>322.65043486962185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46.121507422660173</v>
      </c>
      <c r="DG141" s="21">
        <f>EXP(-LN(2)/25)*DG140+(1-EXP(-LN(2)/25))/(LN(2)/25)*Calculateur!DB141*Calculateur!DD141*VLOOKUP('Données projet'!$B$13,Paramètres!$A$1:$I$89,3,0)*0.475*44/12</f>
        <v>12.201594089841823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58.323101512501992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1.7053025658242404E-13</v>
      </c>
      <c r="DP141" s="17">
        <f>DO141*VLOOKUP('Données projet'!$B$14,Paramètres!$A$1:$I$89,3,0)*VLOOKUP('Données projet'!$B$14,Paramètres!$A$1:$I$89,5,0)</f>
        <v>1.3301360013429075E-13</v>
      </c>
      <c r="DQ141" s="13">
        <f t="shared" si="151"/>
        <v>1.9329766731057041E-12</v>
      </c>
      <c r="DR141" s="20">
        <f t="shared" si="124"/>
        <v>3.5982663925596575E-12</v>
      </c>
      <c r="DS141" s="59">
        <f t="shared" si="125"/>
        <v>293.3333333333369</v>
      </c>
      <c r="DT141" s="59">
        <f ca="1">AVERAGE(OFFSET($DS$3,0,0,'Données projet'!$E$14+1,1))-AVERAGE(OFFSET($H$3,0,0,'Données projet'!$E$14+1,1))</f>
        <v>288.80569134263209</v>
      </c>
      <c r="DU141" s="59">
        <f t="shared" si="152"/>
        <v>283.48738729114024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20.689112085485188</v>
      </c>
      <c r="EB141" s="21">
        <f>EXP(-LN(2)/25)*EB140+(1-EXP(-LN(2)/25))/(LN(2)/25)*Calculateur!DW141*Calculateur!DY141*VLOOKUP('Données projet'!$B$14,Paramètres!$A$1:$I$89,3,0)*0.475*44/12</f>
        <v>10.06937085339904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30.758482938884228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-6.3550942286383367E-14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335.04906256888819</v>
      </c>
      <c r="EP141" s="59">
        <f t="shared" si="154"/>
        <v>440.84111898279554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43.802425605222425</v>
      </c>
      <c r="EW141" s="21">
        <f>EXP(-LN(2)/25)*EW140+(1-EXP(-LN(2)/25))/(LN(2)/25)*Calculateur!ER141*Calculateur!ET141*VLOOKUP('Données projet'!$B$15,Paramètres!$A$1:$I$89,3,0)*0.475*44/12</f>
        <v>5.7684721846036826</v>
      </c>
      <c r="EX141" s="21">
        <f>EXP(-LN(2)/2)*EX140+(1-EXP(-LN(2)/2))/(LN(2)/2)*ER141*EU141*VLOOKUP('Données projet'!$B$15,Paramètres!$A$1:$I$89,3,0)*0.475*44/12</f>
        <v>1.0984735906951341E-11</v>
      </c>
      <c r="EY141" s="22">
        <f t="shared" si="129"/>
        <v>49.57089778983709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1.7053025658242404E-13</v>
      </c>
      <c r="O142" s="13">
        <f>N142*VLOOKUP('Données projet'!$B$9,Paramètres!$A$1:$I$89,3,0)*VLOOKUP('Données projet'!$B$9,Paramètres!$A$1:$I$89,5,0)</f>
        <v>1.383341441396624E-13</v>
      </c>
      <c r="P142" s="13">
        <f t="shared" si="141"/>
        <v>2.0011390722884082E-12</v>
      </c>
      <c r="Q142" s="20">
        <f t="shared" si="108"/>
        <v>3.7262491852788889E-12</v>
      </c>
      <c r="R142" s="59">
        <f t="shared" si="109"/>
        <v>293.33333333333707</v>
      </c>
      <c r="S142" s="59">
        <f ca="1">AVERAGE(OFFSET($R$3,0,0,'Données projet'!$E$9+1,1))-AVERAGE(OFFSET($H$3,0,0,'Données projet'!$E$9+1,1))</f>
        <v>298.96480270023716</v>
      </c>
      <c r="T142" s="59">
        <f t="shared" si="142"/>
        <v>293.11447542333889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26.000502936257124</v>
      </c>
      <c r="AA142" s="21">
        <f>EXP(-LN(2)/25)*AA141+(1-EXP(-LN(2)/25))/(LN(2)/25)*Calculateur!V142*Calculateur!X142*VLOOKUP('Données projet'!$B$9,Paramètres!$A$1:$I$89,3,0)*0.475*44/12</f>
        <v>12.554571362538772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38.555074298795894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1.9895196601282805E-13</v>
      </c>
      <c r="AJ142" s="13">
        <f>AI142*VLOOKUP('Données projet'!$B$10,Paramètres!$A$1:$I$89,3,0)*VLOOKUP('Données projet'!$B$10,Paramètres!$A$1:$I$89,5,0)</f>
        <v>1.707007868390065E-13</v>
      </c>
      <c r="AK142" s="13">
        <f t="shared" si="143"/>
        <v>2.4096578055149408E-12</v>
      </c>
      <c r="AL142" s="20">
        <f t="shared" si="112"/>
        <v>4.4941245483497909E-12</v>
      </c>
      <c r="AM142" s="59">
        <f t="shared" si="113"/>
        <v>293.33333333333781</v>
      </c>
      <c r="AN142" s="59">
        <f ca="1">AVERAGE(OFFSET($AM$3,0,0,'Données projet'!$E$10+1,1))-AVERAGE(OFFSET($H$3,0,0,'Données projet'!$E$10+1,1))</f>
        <v>335.02113791949211</v>
      </c>
      <c r="AO142" s="59">
        <f t="shared" si="144"/>
        <v>222.06886429435099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77.836494961849908</v>
      </c>
      <c r="AV142" s="21">
        <f>EXP(-LN(2)/25)*AV141+(1-EXP(-LN(2)/25))/(LN(2)/25)*Calculateur!AQ142*Calculateur!AS142*VLOOKUP('Données projet'!$B$10,Paramètres!$A$1:$I$89,3,0)*0.475*44/12</f>
        <v>45.599861281670336</v>
      </c>
      <c r="AW142" s="21">
        <f>EXP(-LN(2)/2)*AW141+(1-EXP(-LN(2)/2))/(LN(2)/2)*AQ142*AT142*VLOOKUP('Données projet'!$B$10,Paramètres!$A$1:$I$89,3,0)*0.475*44/12</f>
        <v>3.9626532272911026E-2</v>
      </c>
      <c r="AX142" s="21">
        <f t="shared" si="114"/>
        <v>123.47598277579314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-3.1036506698001178E-14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207.02306964567629</v>
      </c>
      <c r="BJ142" s="59">
        <f t="shared" si="146"/>
        <v>342.06887933351783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9.4936063119961513</v>
      </c>
      <c r="BQ142" s="21">
        <f>EXP(-LN(2)/25)*BQ141+(1-EXP(-LN(2)/25))/(LN(2)/25)*Calculateur!BL142*Calculateur!BN142*VLOOKUP('Données projet'!$B$11,Paramètres!$A$1:$I$89,3,0)*0.475*44/12</f>
        <v>9.6336898669835218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19.127296178979673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233.89079999999998</v>
      </c>
      <c r="CA142" s="13">
        <f t="shared" si="147"/>
        <v>57.123140349023068</v>
      </c>
      <c r="CB142" s="20">
        <f t="shared" si="118"/>
        <v>506.84927944121517</v>
      </c>
      <c r="CC142" s="59">
        <f t="shared" si="119"/>
        <v>800.18261277454849</v>
      </c>
      <c r="CD142" s="59">
        <f ca="1">AVERAGE(OFFSET($CC$3,0,0,'Données projet'!$E$12+1,1))-AVERAGE(OFFSET($H$3,0,0,'Données projet'!$E$12+1,1))</f>
        <v>328.55201074501201</v>
      </c>
      <c r="CE142" s="59">
        <f t="shared" si="148"/>
        <v>321.81422611044985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10.40740301080114</v>
      </c>
      <c r="CL142" s="21">
        <f>EXP(-LN(2)/25)*CL141+(1-EXP(-LN(2)/25))/(LN(2)/25)*Calculateur!CG142*Calculateur!CI142*VLOOKUP('Données projet'!$B$12,Paramètres!$A$1:$I$89,3,0)*0.475*44/12</f>
        <v>1.0989350769365587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11.506338087737699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354.24684313982857</v>
      </c>
      <c r="CZ142" s="59">
        <f t="shared" si="150"/>
        <v>322.65043486962185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45.217092793443598</v>
      </c>
      <c r="DG142" s="21">
        <f>EXP(-LN(2)/25)*DG141+(1-EXP(-LN(2)/25))/(LN(2)/25)*Calculateur!DB142*Calculateur!DD142*VLOOKUP('Données projet'!$B$13,Paramètres!$A$1:$I$89,3,0)*0.475*44/12</f>
        <v>11.867940857801152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57.08503365124475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1.7053025658242404E-13</v>
      </c>
      <c r="DP142" s="17">
        <f>DO142*VLOOKUP('Données projet'!$B$14,Paramètres!$A$1:$I$89,3,0)*VLOOKUP('Données projet'!$B$14,Paramètres!$A$1:$I$89,5,0)</f>
        <v>1.3301360013429075E-13</v>
      </c>
      <c r="DQ142" s="13">
        <f t="shared" si="151"/>
        <v>1.9329766731057041E-12</v>
      </c>
      <c r="DR142" s="20">
        <f t="shared" si="124"/>
        <v>3.5982663925596575E-12</v>
      </c>
      <c r="DS142" s="59">
        <f t="shared" si="125"/>
        <v>293.3333333333369</v>
      </c>
      <c r="DT142" s="59">
        <f ca="1">AVERAGE(OFFSET($DS$3,0,0,'Données projet'!$E$14+1,1))-AVERAGE(OFFSET($H$3,0,0,'Données projet'!$E$14+1,1))</f>
        <v>288.80569134263209</v>
      </c>
      <c r="DU142" s="59">
        <f t="shared" si="152"/>
        <v>283.48738729114024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20.283411216601163</v>
      </c>
      <c r="EB142" s="21">
        <f>EXP(-LN(2)/25)*EB141+(1-EXP(-LN(2)/25))/(LN(2)/25)*Calculateur!DW142*Calculateur!DY142*VLOOKUP('Données projet'!$B$14,Paramètres!$A$1:$I$89,3,0)*0.475*44/12</f>
        <v>9.794023377887644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30.077434594488807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-6.3550942286383367E-14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335.04906256888819</v>
      </c>
      <c r="EP142" s="59">
        <f t="shared" si="154"/>
        <v>440.84111898279554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42.943486755945564</v>
      </c>
      <c r="EW142" s="21">
        <f>EXP(-LN(2)/25)*EW141+(1-EXP(-LN(2)/25))/(LN(2)/25)*Calculateur!ER142*Calculateur!ET142*VLOOKUP('Données projet'!$B$15,Paramètres!$A$1:$I$89,3,0)*0.475*44/12</f>
        <v>5.6107330093649264</v>
      </c>
      <c r="EX142" s="21">
        <f>EXP(-LN(2)/2)*EX141+(1-EXP(-LN(2)/2))/(LN(2)/2)*ER142*EU142*VLOOKUP('Données projet'!$B$15,Paramètres!$A$1:$I$89,3,0)*0.475*44/12</f>
        <v>7.7673812493486533E-12</v>
      </c>
      <c r="EY142" s="22">
        <f t="shared" si="129"/>
        <v>48.554219765318258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1.7053025658242404E-13</v>
      </c>
      <c r="O143" s="13">
        <f>N143*VLOOKUP('Données projet'!$B$9,Paramètres!$A$1:$I$89,3,0)*VLOOKUP('Données projet'!$B$9,Paramètres!$A$1:$I$89,5,0)</f>
        <v>1.383341441396624E-13</v>
      </c>
      <c r="P143" s="13">
        <f t="shared" si="141"/>
        <v>2.0011390722884082E-12</v>
      </c>
      <c r="Q143" s="20">
        <f t="shared" si="108"/>
        <v>3.7262491852788889E-12</v>
      </c>
      <c r="R143" s="59">
        <f t="shared" si="109"/>
        <v>293.33333333333707</v>
      </c>
      <c r="S143" s="59">
        <f ca="1">AVERAGE(OFFSET($R$3,0,0,'Données projet'!$E$9+1,1))-AVERAGE(OFFSET($H$3,0,0,'Données projet'!$E$9+1,1))</f>
        <v>298.96480270023716</v>
      </c>
      <c r="T143" s="59">
        <f t="shared" si="142"/>
        <v>293.11447542333889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25.490648932417994</v>
      </c>
      <c r="AA143" s="21">
        <f>EXP(-LN(2)/25)*AA142+(1-EXP(-LN(2)/25))/(LN(2)/25)*Calculateur!V143*Calculateur!X143*VLOOKUP('Données projet'!$B$9,Paramètres!$A$1:$I$89,3,0)*0.475*44/12</f>
        <v>12.211265948413935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37.701914880831929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1.9895196601282805E-13</v>
      </c>
      <c r="AJ143" s="13">
        <f>AI143*VLOOKUP('Données projet'!$B$10,Paramètres!$A$1:$I$89,3,0)*VLOOKUP('Données projet'!$B$10,Paramètres!$A$1:$I$89,5,0)</f>
        <v>1.707007868390065E-13</v>
      </c>
      <c r="AK143" s="13">
        <f t="shared" si="143"/>
        <v>2.4096578055149408E-12</v>
      </c>
      <c r="AL143" s="20">
        <f t="shared" si="112"/>
        <v>4.4941245483497909E-12</v>
      </c>
      <c r="AM143" s="59">
        <f t="shared" si="113"/>
        <v>293.33333333333781</v>
      </c>
      <c r="AN143" s="59">
        <f ca="1">AVERAGE(OFFSET($AM$3,0,0,'Données projet'!$E$10+1,1))-AVERAGE(OFFSET($H$3,0,0,'Données projet'!$E$10+1,1))</f>
        <v>335.02113791949211</v>
      </c>
      <c r="AO143" s="59">
        <f t="shared" si="144"/>
        <v>222.06886429435099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76.310168771222138</v>
      </c>
      <c r="AV143" s="21">
        <f>EXP(-LN(2)/25)*AV142+(1-EXP(-LN(2)/25))/(LN(2)/25)*Calculateur!AQ143*Calculateur!AS143*VLOOKUP('Données projet'!$B$10,Paramètres!$A$1:$I$89,3,0)*0.475*44/12</f>
        <v>44.352930676930576</v>
      </c>
      <c r="AW143" s="21">
        <f>EXP(-LN(2)/2)*AW142+(1-EXP(-LN(2)/2))/(LN(2)/2)*AQ143*AT143*VLOOKUP('Données projet'!$B$10,Paramètres!$A$1:$I$89,3,0)*0.475*44/12</f>
        <v>2.8020189685082963E-2</v>
      </c>
      <c r="AX143" s="21">
        <f t="shared" si="114"/>
        <v>120.69111963783779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-3.1036506698001178E-14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207.02306964567629</v>
      </c>
      <c r="BJ143" s="59">
        <f t="shared" si="146"/>
        <v>342.06887933351783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9.3074424827459907</v>
      </c>
      <c r="BQ143" s="21">
        <f>EXP(-LN(2)/25)*BQ142+(1-EXP(-LN(2)/25))/(LN(2)/25)*Calculateur!BL143*Calculateur!BN143*VLOOKUP('Données projet'!$B$11,Paramètres!$A$1:$I$89,3,0)*0.475*44/12</f>
        <v>9.3702561109571256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18.677698593703116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233.89079999999998</v>
      </c>
      <c r="CA143" s="13">
        <f t="shared" si="147"/>
        <v>57.123140349023068</v>
      </c>
      <c r="CB143" s="20">
        <f t="shared" si="118"/>
        <v>506.84927944121517</v>
      </c>
      <c r="CC143" s="59">
        <f t="shared" si="119"/>
        <v>800.18261277454849</v>
      </c>
      <c r="CD143" s="59">
        <f ca="1">AVERAGE(OFFSET($CC$3,0,0,'Données projet'!$E$12+1,1))-AVERAGE(OFFSET($H$3,0,0,'Données projet'!$E$12+1,1))</f>
        <v>328.55201074501201</v>
      </c>
      <c r="CE143" s="59">
        <f t="shared" si="148"/>
        <v>321.81422611044985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10.203320185648364</v>
      </c>
      <c r="CL143" s="21">
        <f>EXP(-LN(2)/25)*CL142+(1-EXP(-LN(2)/25))/(LN(2)/25)*Calculateur!CG143*Calculateur!CI143*VLOOKUP('Données projet'!$B$12,Paramètres!$A$1:$I$89,3,0)*0.475*44/12</f>
        <v>1.0688846394672444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11.272204825115608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354.24684313982857</v>
      </c>
      <c r="CZ143" s="59">
        <f t="shared" si="150"/>
        <v>322.65043486962185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44.330413183467506</v>
      </c>
      <c r="DG143" s="21">
        <f>EXP(-LN(2)/25)*DG142+(1-EXP(-LN(2)/25))/(LN(2)/25)*Calculateur!DB143*Calculateur!DD143*VLOOKUP('Données projet'!$B$13,Paramètres!$A$1:$I$89,3,0)*0.475*44/12</f>
        <v>11.543411390936694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55.873824574404196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1.7053025658242404E-13</v>
      </c>
      <c r="DP143" s="17">
        <f>DO143*VLOOKUP('Données projet'!$B$14,Paramètres!$A$1:$I$89,3,0)*VLOOKUP('Données projet'!$B$14,Paramètres!$A$1:$I$89,5,0)</f>
        <v>1.3301360013429075E-13</v>
      </c>
      <c r="DQ143" s="13">
        <f t="shared" si="151"/>
        <v>1.9329766731057041E-12</v>
      </c>
      <c r="DR143" s="20">
        <f t="shared" si="124"/>
        <v>3.5982663925596575E-12</v>
      </c>
      <c r="DS143" s="59">
        <f t="shared" si="125"/>
        <v>293.3333333333369</v>
      </c>
      <c r="DT143" s="59">
        <f ca="1">AVERAGE(OFFSET($DS$3,0,0,'Données projet'!$E$14+1,1))-AVERAGE(OFFSET($H$3,0,0,'Données projet'!$E$14+1,1))</f>
        <v>288.80569134263209</v>
      </c>
      <c r="DU143" s="59">
        <f t="shared" si="152"/>
        <v>283.48738729114024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19.885665894302857</v>
      </c>
      <c r="EB143" s="21">
        <f>EXP(-LN(2)/25)*EB142+(1-EXP(-LN(2)/25))/(LN(2)/25)*Calculateur!DW143*Calculateur!DY143*VLOOKUP('Données projet'!$B$14,Paramètres!$A$1:$I$89,3,0)*0.475*44/12</f>
        <v>9.5262052935740016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29.411871187876859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-6.3550942286383367E-14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335.04906256888819</v>
      </c>
      <c r="EP143" s="59">
        <f t="shared" si="154"/>
        <v>440.84111898279554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42.101391173602053</v>
      </c>
      <c r="EW143" s="21">
        <f>EXP(-LN(2)/25)*EW142+(1-EXP(-LN(2)/25))/(LN(2)/25)*Calculateur!ER143*Calculateur!ET143*VLOOKUP('Données projet'!$B$15,Paramètres!$A$1:$I$89,3,0)*0.475*44/12</f>
        <v>5.4573072201682171</v>
      </c>
      <c r="EX143" s="21">
        <f>EXP(-LN(2)/2)*EX142+(1-EXP(-LN(2)/2))/(LN(2)/2)*ER143*EU143*VLOOKUP('Données projet'!$B$15,Paramètres!$A$1:$I$89,3,0)*0.475*44/12</f>
        <v>5.4923679534756703E-12</v>
      </c>
      <c r="EY143" s="22">
        <f t="shared" si="129"/>
        <v>47.558698393775764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1.7053025658242404E-13</v>
      </c>
      <c r="O144" s="13">
        <f>N144*VLOOKUP('Données projet'!$B$9,Paramètres!$A$1:$I$89,3,0)*VLOOKUP('Données projet'!$B$9,Paramètres!$A$1:$I$89,5,0)</f>
        <v>1.383341441396624E-13</v>
      </c>
      <c r="P144" s="13">
        <f t="shared" si="141"/>
        <v>2.0011390722884082E-12</v>
      </c>
      <c r="Q144" s="20">
        <f t="shared" si="108"/>
        <v>3.7262491852788889E-12</v>
      </c>
      <c r="R144" s="59">
        <f t="shared" si="109"/>
        <v>293.33333333333707</v>
      </c>
      <c r="S144" s="59">
        <f ca="1">AVERAGE(OFFSET($R$3,0,0,'Données projet'!$E$9+1,1))-AVERAGE(OFFSET($H$3,0,0,'Données projet'!$E$9+1,1))</f>
        <v>298.96480270023716</v>
      </c>
      <c r="T144" s="59">
        <f t="shared" si="142"/>
        <v>293.11447542333889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24.990792854613911</v>
      </c>
      <c r="AA144" s="21">
        <f>EXP(-LN(2)/25)*AA143+(1-EXP(-LN(2)/25))/(LN(2)/25)*Calculateur!V144*Calculateur!X144*VLOOKUP('Données projet'!$B$9,Paramètres!$A$1:$I$89,3,0)*0.475*44/12</f>
        <v>11.877348238891988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36.868141093505898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1.9895196601282805E-13</v>
      </c>
      <c r="AJ144" s="13">
        <f>AI144*VLOOKUP('Données projet'!$B$10,Paramètres!$A$1:$I$89,3,0)*VLOOKUP('Données projet'!$B$10,Paramètres!$A$1:$I$89,5,0)</f>
        <v>1.707007868390065E-13</v>
      </c>
      <c r="AK144" s="13">
        <f t="shared" si="143"/>
        <v>2.4096578055149408E-12</v>
      </c>
      <c r="AL144" s="20">
        <f t="shared" si="112"/>
        <v>4.4941245483497909E-12</v>
      </c>
      <c r="AM144" s="59">
        <f t="shared" si="113"/>
        <v>293.33333333333781</v>
      </c>
      <c r="AN144" s="59">
        <f ca="1">AVERAGE(OFFSET($AM$3,0,0,'Données projet'!$E$10+1,1))-AVERAGE(OFFSET($H$3,0,0,'Données projet'!$E$10+1,1))</f>
        <v>335.02113791949211</v>
      </c>
      <c r="AO144" s="59">
        <f t="shared" si="144"/>
        <v>222.06886429435099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74.813772906225523</v>
      </c>
      <c r="AV144" s="21">
        <f>EXP(-LN(2)/25)*AV143+(1-EXP(-LN(2)/25))/(LN(2)/25)*Calculateur!AQ144*Calculateur!AS144*VLOOKUP('Données projet'!$B$10,Paramètres!$A$1:$I$89,3,0)*0.475*44/12</f>
        <v>43.140097455150652</v>
      </c>
      <c r="AW144" s="21">
        <f>EXP(-LN(2)/2)*AW143+(1-EXP(-LN(2)/2))/(LN(2)/2)*AQ144*AT144*VLOOKUP('Données projet'!$B$10,Paramètres!$A$1:$I$89,3,0)*0.475*44/12</f>
        <v>1.9813266136455517E-2</v>
      </c>
      <c r="AX144" s="21">
        <f t="shared" si="114"/>
        <v>117.97368362751263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-3.1036506698001178E-14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207.02306964567629</v>
      </c>
      <c r="BJ144" s="59">
        <f t="shared" si="146"/>
        <v>342.06887933351783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9.1249292126387012</v>
      </c>
      <c r="BQ144" s="21">
        <f>EXP(-LN(2)/25)*BQ143+(1-EXP(-LN(2)/25))/(LN(2)/25)*Calculateur!BL144*Calculateur!BN144*VLOOKUP('Données projet'!$B$11,Paramètres!$A$1:$I$89,3,0)*0.475*44/12</f>
        <v>9.11402596484265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18.238955177481351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233.89079999999998</v>
      </c>
      <c r="CA144" s="13">
        <f t="shared" si="147"/>
        <v>57.123140349023068</v>
      </c>
      <c r="CB144" s="20">
        <f t="shared" si="118"/>
        <v>506.84927944121517</v>
      </c>
      <c r="CC144" s="59">
        <f t="shared" si="119"/>
        <v>800.18261277454849</v>
      </c>
      <c r="CD144" s="59">
        <f ca="1">AVERAGE(OFFSET($CC$3,0,0,'Données projet'!$E$12+1,1))-AVERAGE(OFFSET($H$3,0,0,'Données projet'!$E$12+1,1))</f>
        <v>328.55201074501201</v>
      </c>
      <c r="CE144" s="59">
        <f t="shared" si="148"/>
        <v>321.81422611044985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10.003239300218603</v>
      </c>
      <c r="CL144" s="21">
        <f>EXP(-LN(2)/25)*CL143+(1-EXP(-LN(2)/25))/(LN(2)/25)*Calculateur!CG144*Calculateur!CI144*VLOOKUP('Données projet'!$B$12,Paramètres!$A$1:$I$89,3,0)*0.475*44/12</f>
        <v>1.0396559327908124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11.042895233009414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354.24684313982857</v>
      </c>
      <c r="CZ144" s="59">
        <f t="shared" si="150"/>
        <v>322.65043486962185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43.461120819821879</v>
      </c>
      <c r="DG144" s="21">
        <f>EXP(-LN(2)/25)*DG143+(1-EXP(-LN(2)/25))/(LN(2)/25)*Calculateur!DB144*Calculateur!DD144*VLOOKUP('Données projet'!$B$13,Paramètres!$A$1:$I$89,3,0)*0.475*44/12</f>
        <v>11.227756199409907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54.688877019231782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1.7053025658242404E-13</v>
      </c>
      <c r="DP144" s="17">
        <f>DO144*VLOOKUP('Données projet'!$B$14,Paramètres!$A$1:$I$89,3,0)*VLOOKUP('Données projet'!$B$14,Paramètres!$A$1:$I$89,5,0)</f>
        <v>1.3301360013429075E-13</v>
      </c>
      <c r="DQ144" s="13">
        <f t="shared" si="151"/>
        <v>1.9329766731057041E-12</v>
      </c>
      <c r="DR144" s="20">
        <f t="shared" si="124"/>
        <v>3.5982663925596575E-12</v>
      </c>
      <c r="DS144" s="59">
        <f t="shared" si="125"/>
        <v>293.3333333333369</v>
      </c>
      <c r="DT144" s="59">
        <f ca="1">AVERAGE(OFFSET($DS$3,0,0,'Données projet'!$E$14+1,1))-AVERAGE(OFFSET($H$3,0,0,'Données projet'!$E$14+1,1))</f>
        <v>288.80569134263209</v>
      </c>
      <c r="DU144" s="59">
        <f t="shared" si="152"/>
        <v>283.48738729114024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19.49572011517413</v>
      </c>
      <c r="EB144" s="21">
        <f>EXP(-LN(2)/25)*EB143+(1-EXP(-LN(2)/25))/(LN(2)/25)*Calculateur!DW144*Calculateur!DY144*VLOOKUP('Données projet'!$B$14,Paramètres!$A$1:$I$89,3,0)*0.475*44/12</f>
        <v>9.2657107088598565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28.761430824033987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-6.3550942286383367E-14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335.04906256888819</v>
      </c>
      <c r="EP144" s="59">
        <f t="shared" si="154"/>
        <v>440.84111898279554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41.275808572000713</v>
      </c>
      <c r="EW144" s="21">
        <f>EXP(-LN(2)/25)*EW143+(1-EXP(-LN(2)/25))/(LN(2)/25)*Calculateur!ER144*Calculateur!ET144*VLOOKUP('Données projet'!$B$15,Paramètres!$A$1:$I$89,3,0)*0.475*44/12</f>
        <v>5.3080768672454033</v>
      </c>
      <c r="EX144" s="21">
        <f>EXP(-LN(2)/2)*EX143+(1-EXP(-LN(2)/2))/(LN(2)/2)*ER144*EU144*VLOOKUP('Données projet'!$B$15,Paramètres!$A$1:$I$89,3,0)*0.475*44/12</f>
        <v>3.8836906246743267E-12</v>
      </c>
      <c r="EY144" s="22">
        <f t="shared" si="129"/>
        <v>46.583885439250004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1.7053025658242404E-13</v>
      </c>
      <c r="O145" s="13">
        <f>N145*VLOOKUP('Données projet'!$B$9,Paramètres!$A$1:$I$89,3,0)*VLOOKUP('Données projet'!$B$9,Paramètres!$A$1:$I$89,5,0)</f>
        <v>1.383341441396624E-13</v>
      </c>
      <c r="P145" s="13">
        <f t="shared" si="141"/>
        <v>2.0011390722884082E-12</v>
      </c>
      <c r="Q145" s="20">
        <f t="shared" si="108"/>
        <v>3.7262491852788889E-12</v>
      </c>
      <c r="R145" s="59">
        <f t="shared" si="109"/>
        <v>293.33333333333707</v>
      </c>
      <c r="S145" s="59">
        <f ca="1">AVERAGE(OFFSET($R$3,0,0,'Données projet'!$E$9+1,1))-AVERAGE(OFFSET($H$3,0,0,'Données projet'!$E$9+1,1))</f>
        <v>298.96480270023716</v>
      </c>
      <c r="T145" s="59">
        <f t="shared" si="142"/>
        <v>293.11447542333889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24.500738649613464</v>
      </c>
      <c r="AA145" s="21">
        <f>EXP(-LN(2)/25)*AA144+(1-EXP(-LN(2)/25))/(LN(2)/25)*Calculateur!V145*Calculateur!X145*VLOOKUP('Données projet'!$B$9,Paramètres!$A$1:$I$89,3,0)*0.475*44/12</f>
        <v>11.55256152669689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36.053300176310351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1.9895196601282805E-13</v>
      </c>
      <c r="AJ145" s="13">
        <f>AI145*VLOOKUP('Données projet'!$B$10,Paramètres!$A$1:$I$89,3,0)*VLOOKUP('Données projet'!$B$10,Paramètres!$A$1:$I$89,5,0)</f>
        <v>1.707007868390065E-13</v>
      </c>
      <c r="AK145" s="13">
        <f t="shared" si="143"/>
        <v>2.4096578055149408E-12</v>
      </c>
      <c r="AL145" s="20">
        <f t="shared" si="112"/>
        <v>4.4941245483497909E-12</v>
      </c>
      <c r="AM145" s="59">
        <f t="shared" si="113"/>
        <v>293.33333333333781</v>
      </c>
      <c r="AN145" s="59">
        <f ca="1">AVERAGE(OFFSET($AM$3,0,0,'Données projet'!$E$10+1,1))-AVERAGE(OFFSET($H$3,0,0,'Données projet'!$E$10+1,1))</f>
        <v>335.02113791949211</v>
      </c>
      <c r="AO145" s="59">
        <f t="shared" si="144"/>
        <v>222.06886429435099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73.346720451430144</v>
      </c>
      <c r="AV145" s="21">
        <f>EXP(-LN(2)/25)*AV144+(1-EXP(-LN(2)/25))/(LN(2)/25)*Calculateur!AQ145*Calculateur!AS145*VLOOKUP('Données projet'!$B$10,Paramètres!$A$1:$I$89,3,0)*0.475*44/12</f>
        <v>41.960429221600428</v>
      </c>
      <c r="AW145" s="21">
        <f>EXP(-LN(2)/2)*AW144+(1-EXP(-LN(2)/2))/(LN(2)/2)*AQ145*AT145*VLOOKUP('Données projet'!$B$10,Paramètres!$A$1:$I$89,3,0)*0.475*44/12</f>
        <v>1.4010094842541483E-2</v>
      </c>
      <c r="AX145" s="21">
        <f t="shared" si="114"/>
        <v>115.32115976787313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-3.1036506698001178E-14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207.02306964567629</v>
      </c>
      <c r="BJ145" s="59">
        <f t="shared" si="146"/>
        <v>342.06887933351783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8.9459949164361134</v>
      </c>
      <c r="BQ145" s="21">
        <f>EXP(-LN(2)/25)*BQ144+(1-EXP(-LN(2)/25))/(LN(2)/25)*Calculateur!BL145*Calculateur!BN145*VLOOKUP('Données projet'!$B$11,Paramètres!$A$1:$I$89,3,0)*0.475*44/12</f>
        <v>8.8648024455482322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17.810797361984346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233.89079999999998</v>
      </c>
      <c r="CA145" s="13">
        <f t="shared" si="147"/>
        <v>57.123140349023068</v>
      </c>
      <c r="CB145" s="20">
        <f t="shared" si="118"/>
        <v>506.84927944121517</v>
      </c>
      <c r="CC145" s="59">
        <f t="shared" si="119"/>
        <v>800.18261277454849</v>
      </c>
      <c r="CD145" s="59">
        <f ca="1">AVERAGE(OFFSET($CC$3,0,0,'Données projet'!$E$12+1,1))-AVERAGE(OFFSET($H$3,0,0,'Données projet'!$E$12+1,1))</f>
        <v>328.55201074501201</v>
      </c>
      <c r="CE145" s="59">
        <f t="shared" si="148"/>
        <v>321.81422611044985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9.8070818789148291</v>
      </c>
      <c r="CL145" s="21">
        <f>EXP(-LN(2)/25)*CL144+(1-EXP(-LN(2)/25))/(LN(2)/25)*Calculateur!CG145*Calculateur!CI145*VLOOKUP('Données projet'!$B$12,Paramètres!$A$1:$I$89,3,0)*0.475*44/12</f>
        <v>1.0112264866355183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10.818308365550347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354.24684313982857</v>
      </c>
      <c r="CZ145" s="59">
        <f t="shared" si="150"/>
        <v>322.65043486962185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42.60887474921136</v>
      </c>
      <c r="DG145" s="21">
        <f>EXP(-LN(2)/25)*DG144+(1-EXP(-LN(2)/25))/(LN(2)/25)*Calculateur!DB145*Calculateur!DD145*VLOOKUP('Données projet'!$B$13,Paramètres!$A$1:$I$89,3,0)*0.475*44/12</f>
        <v>10.920732615695005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53.529607364906369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1.7053025658242404E-13</v>
      </c>
      <c r="DP145" s="17">
        <f>DO145*VLOOKUP('Données projet'!$B$14,Paramètres!$A$1:$I$89,3,0)*VLOOKUP('Données projet'!$B$14,Paramètres!$A$1:$I$89,5,0)</f>
        <v>1.3301360013429075E-13</v>
      </c>
      <c r="DQ145" s="13">
        <f t="shared" si="151"/>
        <v>1.9329766731057041E-12</v>
      </c>
      <c r="DR145" s="20">
        <f t="shared" si="124"/>
        <v>3.5982663925596575E-12</v>
      </c>
      <c r="DS145" s="59">
        <f t="shared" si="125"/>
        <v>293.3333333333369</v>
      </c>
      <c r="DT145" s="59">
        <f ca="1">AVERAGE(OFFSET($DS$3,0,0,'Données projet'!$E$14+1,1))-AVERAGE(OFFSET($H$3,0,0,'Données projet'!$E$14+1,1))</f>
        <v>288.80569134263209</v>
      </c>
      <c r="DU145" s="59">
        <f t="shared" si="152"/>
        <v>283.48738729114024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19.113420934930677</v>
      </c>
      <c r="EB145" s="21">
        <f>EXP(-LN(2)/25)*EB144+(1-EXP(-LN(2)/25))/(LN(2)/25)*Calculateur!DW145*Calculateur!DY145*VLOOKUP('Données projet'!$B$14,Paramètres!$A$1:$I$89,3,0)*0.475*44/12</f>
        <v>9.0123393622635337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28.125760297194212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-6.3550942286383367E-14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335.04906256888819</v>
      </c>
      <c r="EP145" s="59">
        <f t="shared" si="154"/>
        <v>440.84111898279554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40.466415141661109</v>
      </c>
      <c r="EW145" s="21">
        <f>EXP(-LN(2)/25)*EW144+(1-EXP(-LN(2)/25))/(LN(2)/25)*Calculateur!ER145*Calculateur!ET145*VLOOKUP('Données projet'!$B$15,Paramètres!$A$1:$I$89,3,0)*0.475*44/12</f>
        <v>5.1629272261709467</v>
      </c>
      <c r="EX145" s="21">
        <f>EXP(-LN(2)/2)*EX144+(1-EXP(-LN(2)/2))/(LN(2)/2)*ER145*EU145*VLOOKUP('Données projet'!$B$15,Paramètres!$A$1:$I$89,3,0)*0.475*44/12</f>
        <v>2.7461839767378352E-12</v>
      </c>
      <c r="EY145" s="22">
        <f t="shared" si="129"/>
        <v>45.629342367834795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1.7053025658242404E-13</v>
      </c>
      <c r="O146" s="13">
        <f>N146*VLOOKUP('Données projet'!$B$9,Paramètres!$A$1:$I$89,3,0)*VLOOKUP('Données projet'!$B$9,Paramètres!$A$1:$I$89,5,0)</f>
        <v>1.383341441396624E-13</v>
      </c>
      <c r="P146" s="13">
        <f t="shared" si="141"/>
        <v>2.0011390722884082E-12</v>
      </c>
      <c r="Q146" s="20">
        <f t="shared" si="108"/>
        <v>3.7262491852788889E-12</v>
      </c>
      <c r="R146" s="59">
        <f t="shared" si="109"/>
        <v>293.33333333333707</v>
      </c>
      <c r="S146" s="59">
        <f ca="1">AVERAGE(OFFSET($R$3,0,0,'Données projet'!$E$9+1,1))-AVERAGE(OFFSET($H$3,0,0,'Données projet'!$E$9+1,1))</f>
        <v>298.96480270023716</v>
      </c>
      <c r="T146" s="59">
        <f t="shared" si="142"/>
        <v>293.11447542333889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24.020294108669525</v>
      </c>
      <c r="AA146" s="21">
        <f>EXP(-LN(2)/25)*AA145+(1-EXP(-LN(2)/25))/(LN(2)/25)*Calculateur!V146*Calculateur!X146*VLOOKUP('Données projet'!$B$9,Paramètres!$A$1:$I$89,3,0)*0.475*44/12</f>
        <v>11.236656124226556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35.256950232896081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1.9895196601282805E-13</v>
      </c>
      <c r="AJ146" s="13">
        <f>AI146*VLOOKUP('Données projet'!$B$10,Paramètres!$A$1:$I$89,3,0)*VLOOKUP('Données projet'!$B$10,Paramètres!$A$1:$I$89,5,0)</f>
        <v>1.707007868390065E-13</v>
      </c>
      <c r="AK146" s="13">
        <f t="shared" si="143"/>
        <v>2.4096578055149408E-12</v>
      </c>
      <c r="AL146" s="20">
        <f t="shared" si="112"/>
        <v>4.4941245483497909E-12</v>
      </c>
      <c r="AM146" s="59">
        <f t="shared" si="113"/>
        <v>293.33333333333781</v>
      </c>
      <c r="AN146" s="59">
        <f ca="1">AVERAGE(OFFSET($AM$3,0,0,'Données projet'!$E$10+1,1))-AVERAGE(OFFSET($H$3,0,0,'Données projet'!$E$10+1,1))</f>
        <v>335.02113791949211</v>
      </c>
      <c r="AO146" s="59">
        <f t="shared" si="144"/>
        <v>222.06886429435099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71.908436000459659</v>
      </c>
      <c r="AV146" s="21">
        <f>EXP(-LN(2)/25)*AV145+(1-EXP(-LN(2)/25))/(LN(2)/25)*Calculateur!AQ146*Calculateur!AS146*VLOOKUP('Données projet'!$B$10,Paramètres!$A$1:$I$89,3,0)*0.475*44/12</f>
        <v>40.813019077932694</v>
      </c>
      <c r="AW146" s="21">
        <f>EXP(-LN(2)/2)*AW145+(1-EXP(-LN(2)/2))/(LN(2)/2)*AQ146*AT146*VLOOKUP('Données projet'!$B$10,Paramètres!$A$1:$I$89,3,0)*0.475*44/12</f>
        <v>9.90663306822776E-3</v>
      </c>
      <c r="AX146" s="21">
        <f t="shared" si="114"/>
        <v>112.73136171146058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-3.1036506698001178E-14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207.02306964567629</v>
      </c>
      <c r="BJ146" s="59">
        <f t="shared" si="146"/>
        <v>342.06887933351783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8.7705694126429137</v>
      </c>
      <c r="BQ146" s="21">
        <f>EXP(-LN(2)/25)*BQ145+(1-EXP(-LN(2)/25))/(LN(2)/25)*Calculateur!BL146*Calculateur!BN146*VLOOKUP('Données projet'!$B$11,Paramètres!$A$1:$I$89,3,0)*0.475*44/12</f>
        <v>8.6223939564950154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17.392963369137931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233.89079999999998</v>
      </c>
      <c r="CA146" s="13">
        <f t="shared" si="147"/>
        <v>57.123140349023068</v>
      </c>
      <c r="CB146" s="20">
        <f t="shared" si="118"/>
        <v>506.84927944121517</v>
      </c>
      <c r="CC146" s="59">
        <f t="shared" si="119"/>
        <v>800.18261277454849</v>
      </c>
      <c r="CD146" s="59">
        <f ca="1">AVERAGE(OFFSET($CC$3,0,0,'Données projet'!$E$12+1,1))-AVERAGE(OFFSET($H$3,0,0,'Données projet'!$E$12+1,1))</f>
        <v>328.55201074501201</v>
      </c>
      <c r="CE146" s="59">
        <f t="shared" si="148"/>
        <v>321.81422611044985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9.6147709849986089</v>
      </c>
      <c r="CL146" s="21">
        <f>EXP(-LN(2)/25)*CL145+(1-EXP(-LN(2)/25))/(LN(2)/25)*Calculateur!CG146*Calculateur!CI146*VLOOKUP('Données projet'!$B$12,Paramètres!$A$1:$I$89,3,0)*0.475*44/12</f>
        <v>0.98357444518038029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10.598345430178989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354.24684313982857</v>
      </c>
      <c r="CZ146" s="59">
        <f t="shared" si="150"/>
        <v>322.65043486962185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41.773340704226733</v>
      </c>
      <c r="DG146" s="21">
        <f>EXP(-LN(2)/25)*DG145+(1-EXP(-LN(2)/25))/(LN(2)/25)*Calculateur!DB146*Calculateur!DD146*VLOOKUP('Données projet'!$B$13,Paramètres!$A$1:$I$89,3,0)*0.475*44/12</f>
        <v>10.622104608022457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52.395445312249194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1.7053025658242404E-13</v>
      </c>
      <c r="DP146" s="17">
        <f>DO146*VLOOKUP('Données projet'!$B$14,Paramètres!$A$1:$I$89,3,0)*VLOOKUP('Données projet'!$B$14,Paramètres!$A$1:$I$89,5,0)</f>
        <v>1.3301360013429075E-13</v>
      </c>
      <c r="DQ146" s="13">
        <f t="shared" si="151"/>
        <v>1.9329766731057041E-12</v>
      </c>
      <c r="DR146" s="20">
        <f t="shared" si="124"/>
        <v>3.5982663925596575E-12</v>
      </c>
      <c r="DS146" s="59">
        <f t="shared" si="125"/>
        <v>293.3333333333369</v>
      </c>
      <c r="DT146" s="59">
        <f ca="1">AVERAGE(OFFSET($DS$3,0,0,'Données projet'!$E$14+1,1))-AVERAGE(OFFSET($H$3,0,0,'Données projet'!$E$14+1,1))</f>
        <v>288.80569134263209</v>
      </c>
      <c r="DU146" s="59">
        <f t="shared" si="152"/>
        <v>283.48738729114024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18.73861840843232</v>
      </c>
      <c r="EB146" s="21">
        <f>EXP(-LN(2)/25)*EB145+(1-EXP(-LN(2)/25))/(LN(2)/25)*Calculateur!DW146*Calculateur!DY146*VLOOKUP('Données projet'!$B$14,Paramètres!$A$1:$I$89,3,0)*0.475*44/12</f>
        <v>8.7658964684641081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27.50451487689643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-6.3550942286383367E-14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335.04906256888819</v>
      </c>
      <c r="EP146" s="59">
        <f t="shared" si="154"/>
        <v>440.84111898279554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39.672893422809217</v>
      </c>
      <c r="EW146" s="21">
        <f>EXP(-LN(2)/25)*EW145+(1-EXP(-LN(2)/25))/(LN(2)/25)*Calculateur!ER146*Calculateur!ET146*VLOOKUP('Données projet'!$B$15,Paramètres!$A$1:$I$89,3,0)*0.475*44/12</f>
        <v>5.0217467096647592</v>
      </c>
      <c r="EX146" s="21">
        <f>EXP(-LN(2)/2)*EX145+(1-EXP(-LN(2)/2))/(LN(2)/2)*ER146*EU146*VLOOKUP('Données projet'!$B$15,Paramètres!$A$1:$I$89,3,0)*0.475*44/12</f>
        <v>1.9418453123371633E-12</v>
      </c>
      <c r="EY146" s="22">
        <f t="shared" si="129"/>
        <v>44.694640132475918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1.7053025658242404E-13</v>
      </c>
      <c r="O147" s="13">
        <f>N147*VLOOKUP('Données projet'!$B$9,Paramètres!$A$1:$I$89,3,0)*VLOOKUP('Données projet'!$B$9,Paramètres!$A$1:$I$89,5,0)</f>
        <v>1.383341441396624E-13</v>
      </c>
      <c r="P147" s="13">
        <f t="shared" si="141"/>
        <v>2.0011390722884082E-12</v>
      </c>
      <c r="Q147" s="20">
        <f t="shared" si="108"/>
        <v>3.7262491852788889E-12</v>
      </c>
      <c r="R147" s="59">
        <f t="shared" si="109"/>
        <v>293.33333333333707</v>
      </c>
      <c r="S147" s="59">
        <f ca="1">AVERAGE(OFFSET($R$3,0,0,'Données projet'!$E$9+1,1))-AVERAGE(OFFSET($H$3,0,0,'Données projet'!$E$9+1,1))</f>
        <v>298.96480270023716</v>
      </c>
      <c r="T147" s="59">
        <f t="shared" si="142"/>
        <v>293.11447542333889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23.549270792131264</v>
      </c>
      <c r="AA147" s="21">
        <f>EXP(-LN(2)/25)*AA146+(1-EXP(-LN(2)/25))/(LN(2)/25)*Calculateur!V147*Calculateur!X147*VLOOKUP('Données projet'!$B$9,Paramètres!$A$1:$I$89,3,0)*0.475*44/12</f>
        <v>10.929389171599517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34.478659963730777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1.9895196601282805E-13</v>
      </c>
      <c r="AJ147" s="13">
        <f>AI147*VLOOKUP('Données projet'!$B$10,Paramètres!$A$1:$I$89,3,0)*VLOOKUP('Données projet'!$B$10,Paramètres!$A$1:$I$89,5,0)</f>
        <v>1.707007868390065E-13</v>
      </c>
      <c r="AK147" s="13">
        <f t="shared" si="143"/>
        <v>2.4096578055149408E-12</v>
      </c>
      <c r="AL147" s="20">
        <f t="shared" si="112"/>
        <v>4.4941245483497909E-12</v>
      </c>
      <c r="AM147" s="59">
        <f t="shared" si="113"/>
        <v>293.33333333333781</v>
      </c>
      <c r="AN147" s="59">
        <f ca="1">AVERAGE(OFFSET($AM$3,0,0,'Données projet'!$E$10+1,1))-AVERAGE(OFFSET($H$3,0,0,'Données projet'!$E$10+1,1))</f>
        <v>335.02113791949211</v>
      </c>
      <c r="AO147" s="59">
        <f t="shared" si="144"/>
        <v>222.06886429435099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70.498355430305807</v>
      </c>
      <c r="AV147" s="21">
        <f>EXP(-LN(2)/25)*AV146+(1-EXP(-LN(2)/25))/(LN(2)/25)*Calculateur!AQ147*Calculateur!AS147*VLOOKUP('Données projet'!$B$10,Paramètres!$A$1:$I$89,3,0)*0.475*44/12</f>
        <v>39.696984924983234</v>
      </c>
      <c r="AW147" s="21">
        <f>EXP(-LN(2)/2)*AW146+(1-EXP(-LN(2)/2))/(LN(2)/2)*AQ147*AT147*VLOOKUP('Données projet'!$B$10,Paramètres!$A$1:$I$89,3,0)*0.475*44/12</f>
        <v>7.0050474212707435E-3</v>
      </c>
      <c r="AX147" s="21">
        <f t="shared" si="114"/>
        <v>110.20234540271031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-3.1036506698001178E-14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207.02306964567629</v>
      </c>
      <c r="BJ147" s="59">
        <f t="shared" si="146"/>
        <v>342.06887933351783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8.5985838959801075</v>
      </c>
      <c r="BQ147" s="21">
        <f>EXP(-LN(2)/25)*BQ146+(1-EXP(-LN(2)/25))/(LN(2)/25)*Calculateur!BL147*Calculateur!BN147*VLOOKUP('Données projet'!$B$11,Paramètres!$A$1:$I$89,3,0)*0.475*44/12</f>
        <v>8.3866141403226671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16.985198036302776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233.89079999999998</v>
      </c>
      <c r="CA147" s="13">
        <f t="shared" si="147"/>
        <v>57.123140349023068</v>
      </c>
      <c r="CB147" s="20">
        <f t="shared" si="118"/>
        <v>506.84927944121517</v>
      </c>
      <c r="CC147" s="59">
        <f t="shared" si="119"/>
        <v>800.18261277454849</v>
      </c>
      <c r="CD147" s="59">
        <f ca="1">AVERAGE(OFFSET($CC$3,0,0,'Données projet'!$E$12+1,1))-AVERAGE(OFFSET($H$3,0,0,'Données projet'!$E$12+1,1))</f>
        <v>328.55201074501201</v>
      </c>
      <c r="CE147" s="59">
        <f t="shared" si="148"/>
        <v>321.81422611044985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9.4262311904140219</v>
      </c>
      <c r="CL147" s="21">
        <f>EXP(-LN(2)/25)*CL146+(1-EXP(-LN(2)/25))/(LN(2)/25)*Calculateur!CG147*Calculateur!CI147*VLOOKUP('Données projet'!$B$12,Paramètres!$A$1:$I$89,3,0)*0.475*44/12</f>
        <v>0.95667855025299076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10.382909740667012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354.24684313982857</v>
      </c>
      <c r="CZ147" s="59">
        <f t="shared" si="150"/>
        <v>322.65043486962185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40.954190972238813</v>
      </c>
      <c r="DG147" s="21">
        <f>EXP(-LN(2)/25)*DG146+(1-EXP(-LN(2)/25))/(LN(2)/25)*Calculateur!DB147*Calculateur!DD147*VLOOKUP('Données projet'!$B$13,Paramètres!$A$1:$I$89,3,0)*0.475*44/12</f>
        <v>10.33164259892388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51.285833571162691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1.7053025658242404E-13</v>
      </c>
      <c r="DP147" s="17">
        <f>DO147*VLOOKUP('Données projet'!$B$14,Paramètres!$A$1:$I$89,3,0)*VLOOKUP('Données projet'!$B$14,Paramètres!$A$1:$I$89,5,0)</f>
        <v>1.3301360013429075E-13</v>
      </c>
      <c r="DQ147" s="13">
        <f t="shared" si="151"/>
        <v>1.9329766731057041E-12</v>
      </c>
      <c r="DR147" s="20">
        <f t="shared" si="124"/>
        <v>3.5982663925596575E-12</v>
      </c>
      <c r="DS147" s="59">
        <f t="shared" si="125"/>
        <v>293.3333333333369</v>
      </c>
      <c r="DT147" s="59">
        <f ca="1">AVERAGE(OFFSET($DS$3,0,0,'Données projet'!$E$14+1,1))-AVERAGE(OFFSET($H$3,0,0,'Données projet'!$E$14+1,1))</f>
        <v>288.80569134263209</v>
      </c>
      <c r="DU147" s="59">
        <f t="shared" si="152"/>
        <v>283.48738729114024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18.371165530871629</v>
      </c>
      <c r="EB147" s="21">
        <f>EXP(-LN(2)/25)*EB146+(1-EXP(-LN(2)/25))/(LN(2)/25)*Calculateur!DW147*Calculateur!DY147*VLOOKUP('Données projet'!$B$14,Paramètres!$A$1:$I$89,3,0)*0.475*44/12</f>
        <v>8.526192568555496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26.897358099427123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-6.3550942286383367E-14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335.04906256888819</v>
      </c>
      <c r="EP147" s="59">
        <f t="shared" si="154"/>
        <v>440.84111898279554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38.894932180863556</v>
      </c>
      <c r="EW147" s="21">
        <f>EXP(-LN(2)/25)*EW146+(1-EXP(-LN(2)/25))/(LN(2)/25)*Calculateur!ER147*Calculateur!ET147*VLOOKUP('Données projet'!$B$15,Paramètres!$A$1:$I$89,3,0)*0.475*44/12</f>
        <v>4.8844267818067939</v>
      </c>
      <c r="EX147" s="21">
        <f>EXP(-LN(2)/2)*EX146+(1-EXP(-LN(2)/2))/(LN(2)/2)*ER147*EU147*VLOOKUP('Données projet'!$B$15,Paramètres!$A$1:$I$89,3,0)*0.475*44/12</f>
        <v>1.3730919883689176E-12</v>
      </c>
      <c r="EY147" s="22">
        <f t="shared" si="129"/>
        <v>43.779358962671722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1.7053025658242404E-13</v>
      </c>
      <c r="O148" s="13">
        <f>N148*VLOOKUP('Données projet'!$B$9,Paramètres!$A$1:$I$89,3,0)*VLOOKUP('Données projet'!$B$9,Paramètres!$A$1:$I$89,5,0)</f>
        <v>1.383341441396624E-13</v>
      </c>
      <c r="P148" s="13">
        <f t="shared" si="141"/>
        <v>2.0011390722884082E-12</v>
      </c>
      <c r="Q148" s="20">
        <f t="shared" si="108"/>
        <v>3.7262491852788889E-12</v>
      </c>
      <c r="R148" s="59">
        <f t="shared" si="109"/>
        <v>293.33333333333707</v>
      </c>
      <c r="S148" s="59">
        <f ca="1">AVERAGE(OFFSET($R$3,0,0,'Données projet'!$E$9+1,1))-AVERAGE(OFFSET($H$3,0,0,'Données projet'!$E$9+1,1))</f>
        <v>298.96480270023716</v>
      </c>
      <c r="T148" s="59">
        <f t="shared" si="142"/>
        <v>293.11447542333889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23.087483955534463</v>
      </c>
      <c r="AA148" s="21">
        <f>EXP(-LN(2)/25)*AA147+(1-EXP(-LN(2)/25))/(LN(2)/25)*Calculateur!V148*Calculateur!X148*VLOOKUP('Données projet'!$B$9,Paramètres!$A$1:$I$89,3,0)*0.475*44/12</f>
        <v>10.630524449950531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33.718008405484994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1.9895196601282805E-13</v>
      </c>
      <c r="AJ148" s="13">
        <f>AI148*VLOOKUP('Données projet'!$B$10,Paramètres!$A$1:$I$89,3,0)*VLOOKUP('Données projet'!$B$10,Paramètres!$A$1:$I$89,5,0)</f>
        <v>1.707007868390065E-13</v>
      </c>
      <c r="AK148" s="13">
        <f t="shared" si="143"/>
        <v>2.4096578055149408E-12</v>
      </c>
      <c r="AL148" s="20">
        <f t="shared" si="112"/>
        <v>4.4941245483497909E-12</v>
      </c>
      <c r="AM148" s="59">
        <f t="shared" si="113"/>
        <v>293.33333333333781</v>
      </c>
      <c r="AN148" s="59">
        <f ca="1">AVERAGE(OFFSET($AM$3,0,0,'Données projet'!$E$10+1,1))-AVERAGE(OFFSET($H$3,0,0,'Données projet'!$E$10+1,1))</f>
        <v>335.02113791949211</v>
      </c>
      <c r="AO148" s="59">
        <f t="shared" si="144"/>
        <v>222.06886429435099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69.115925680068443</v>
      </c>
      <c r="AV148" s="21">
        <f>EXP(-LN(2)/25)*AV147+(1-EXP(-LN(2)/25))/(LN(2)/25)*Calculateur!AQ148*Calculateur!AS148*VLOOKUP('Données projet'!$B$10,Paramètres!$A$1:$I$89,3,0)*0.475*44/12</f>
        <v>38.611468784635861</v>
      </c>
      <c r="AW148" s="21">
        <f>EXP(-LN(2)/2)*AW147+(1-EXP(-LN(2)/2))/(LN(2)/2)*AQ148*AT148*VLOOKUP('Données projet'!$B$10,Paramètres!$A$1:$I$89,3,0)*0.475*44/12</f>
        <v>4.9533165341138809E-3</v>
      </c>
      <c r="AX148" s="21">
        <f t="shared" si="114"/>
        <v>107.73234778123842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-3.1036506698001178E-14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207.02306964567629</v>
      </c>
      <c r="BJ148" s="59">
        <f t="shared" si="146"/>
        <v>342.06887933351783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8.4299709103982519</v>
      </c>
      <c r="BQ148" s="21">
        <f>EXP(-LN(2)/25)*BQ147+(1-EXP(-LN(2)/25))/(LN(2)/25)*Calculateur!BL148*Calculateur!BN148*VLOOKUP('Données projet'!$B$11,Paramètres!$A$1:$I$89,3,0)*0.475*44/12</f>
        <v>8.1572817356226732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16.587252646020925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233.89079999999998</v>
      </c>
      <c r="CA148" s="13">
        <f t="shared" si="147"/>
        <v>57.123140349023068</v>
      </c>
      <c r="CB148" s="20">
        <f t="shared" si="118"/>
        <v>506.84927944121517</v>
      </c>
      <c r="CC148" s="59">
        <f t="shared" si="119"/>
        <v>800.18261277454849</v>
      </c>
      <c r="CD148" s="59">
        <f ca="1">AVERAGE(OFFSET($CC$3,0,0,'Données projet'!$E$12+1,1))-AVERAGE(OFFSET($H$3,0,0,'Données projet'!$E$12+1,1))</f>
        <v>328.55201074501201</v>
      </c>
      <c r="CE148" s="59">
        <f t="shared" si="148"/>
        <v>321.81422611044985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9.2413885462033196</v>
      </c>
      <c r="CL148" s="21">
        <f>EXP(-LN(2)/25)*CL147+(1-EXP(-LN(2)/25))/(LN(2)/25)*Calculateur!CG148*Calculateur!CI148*VLOOKUP('Données projet'!$B$12,Paramètres!$A$1:$I$89,3,0)*0.475*44/12</f>
        <v>0.93051812498678432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10.171906671190104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354.24684313982857</v>
      </c>
      <c r="CZ148" s="59">
        <f t="shared" si="150"/>
        <v>322.65043486962185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40.151104266863172</v>
      </c>
      <c r="DG148" s="21">
        <f>EXP(-LN(2)/25)*DG147+(1-EXP(-LN(2)/25))/(LN(2)/25)*Calculateur!DB148*Calculateur!DD148*VLOOKUP('Données projet'!$B$13,Paramètres!$A$1:$I$89,3,0)*0.475*44/12</f>
        <v>10.049123288738835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50.200227555602005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1.7053025658242404E-13</v>
      </c>
      <c r="DP148" s="17">
        <f>DO148*VLOOKUP('Données projet'!$B$14,Paramètres!$A$1:$I$89,3,0)*VLOOKUP('Données projet'!$B$14,Paramètres!$A$1:$I$89,5,0)</f>
        <v>1.3301360013429075E-13</v>
      </c>
      <c r="DQ148" s="13">
        <f t="shared" si="151"/>
        <v>1.9329766731057041E-12</v>
      </c>
      <c r="DR148" s="20">
        <f t="shared" si="124"/>
        <v>3.5982663925596575E-12</v>
      </c>
      <c r="DS148" s="59">
        <f t="shared" si="125"/>
        <v>293.3333333333369</v>
      </c>
      <c r="DT148" s="59">
        <f ca="1">AVERAGE(OFFSET($DS$3,0,0,'Données projet'!$E$14+1,1))-AVERAGE(OFFSET($H$3,0,0,'Données projet'!$E$14+1,1))</f>
        <v>288.80569134263209</v>
      </c>
      <c r="DU148" s="59">
        <f t="shared" si="152"/>
        <v>283.48738729114024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18.010918180115777</v>
      </c>
      <c r="EB148" s="21">
        <f>EXP(-LN(2)/25)*EB147+(1-EXP(-LN(2)/25))/(LN(2)/25)*Calculateur!DW148*Calculateur!DY148*VLOOKUP('Données projet'!$B$14,Paramètres!$A$1:$I$89,3,0)*0.475*44/12</f>
        <v>8.2930433843953661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26.303961564511141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-6.3550942286383367E-14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335.04906256888819</v>
      </c>
      <c r="EP148" s="59">
        <f t="shared" si="154"/>
        <v>440.84111898279554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38.132226284362943</v>
      </c>
      <c r="EW148" s="21">
        <f>EXP(-LN(2)/25)*EW147+(1-EXP(-LN(2)/25))/(LN(2)/25)*Calculateur!ER148*Calculateur!ET148*VLOOKUP('Données projet'!$B$15,Paramètres!$A$1:$I$89,3,0)*0.475*44/12</f>
        <v>4.7508618745974465</v>
      </c>
      <c r="EX148" s="21">
        <f>EXP(-LN(2)/2)*EX147+(1-EXP(-LN(2)/2))/(LN(2)/2)*ER148*EU148*VLOOKUP('Données projet'!$B$15,Paramètres!$A$1:$I$89,3,0)*0.475*44/12</f>
        <v>9.7092265616858166E-13</v>
      </c>
      <c r="EY148" s="22">
        <f t="shared" si="129"/>
        <v>42.883088158961364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1.7053025658242404E-13</v>
      </c>
      <c r="O149" s="13">
        <f>N149*VLOOKUP('Données projet'!$B$9,Paramètres!$A$1:$I$89,3,0)*VLOOKUP('Données projet'!$B$9,Paramètres!$A$1:$I$89,5,0)</f>
        <v>1.383341441396624E-13</v>
      </c>
      <c r="P149" s="13">
        <f t="shared" si="141"/>
        <v>2.0011390722884082E-12</v>
      </c>
      <c r="Q149" s="20">
        <f t="shared" si="108"/>
        <v>3.7262491852788889E-12</v>
      </c>
      <c r="R149" s="59">
        <f t="shared" si="109"/>
        <v>293.33333333333707</v>
      </c>
      <c r="S149" s="59">
        <f ca="1">AVERAGE(OFFSET($R$3,0,0,'Données projet'!$E$9+1,1))-AVERAGE(OFFSET($H$3,0,0,'Données projet'!$E$9+1,1))</f>
        <v>298.96480270023716</v>
      </c>
      <c r="T149" s="59">
        <f t="shared" si="142"/>
        <v>293.11447542333889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22.634752477141166</v>
      </c>
      <c r="AA149" s="21">
        <f>EXP(-LN(2)/25)*AA148+(1-EXP(-LN(2)/25))/(LN(2)/25)*Calculateur!V149*Calculateur!X149*VLOOKUP('Données projet'!$B$9,Paramètres!$A$1:$I$89,3,0)*0.475*44/12</f>
        <v>10.339832199831649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32.974584676972817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1.9895196601282805E-13</v>
      </c>
      <c r="AJ149" s="13">
        <f>AI149*VLOOKUP('Données projet'!$B$10,Paramètres!$A$1:$I$89,3,0)*VLOOKUP('Données projet'!$B$10,Paramètres!$A$1:$I$89,5,0)</f>
        <v>1.707007868390065E-13</v>
      </c>
      <c r="AK149" s="13">
        <f t="shared" si="143"/>
        <v>2.4096578055149408E-12</v>
      </c>
      <c r="AL149" s="20">
        <f t="shared" si="112"/>
        <v>4.4941245483497909E-12</v>
      </c>
      <c r="AM149" s="59">
        <f t="shared" si="113"/>
        <v>293.33333333333781</v>
      </c>
      <c r="AN149" s="59">
        <f ca="1">AVERAGE(OFFSET($AM$3,0,0,'Données projet'!$E$10+1,1))-AVERAGE(OFFSET($H$3,0,0,'Données projet'!$E$10+1,1))</f>
        <v>335.02113791949211</v>
      </c>
      <c r="AO149" s="59">
        <f t="shared" si="144"/>
        <v>222.06886429435099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67.760604534034357</v>
      </c>
      <c r="AV149" s="21">
        <f>EXP(-LN(2)/25)*AV148+(1-EXP(-LN(2)/25))/(LN(2)/25)*Calculateur!AQ149*Calculateur!AS149*VLOOKUP('Données projet'!$B$10,Paramètres!$A$1:$I$89,3,0)*0.475*44/12</f>
        <v>37.555636140231094</v>
      </c>
      <c r="AW149" s="21">
        <f>EXP(-LN(2)/2)*AW148+(1-EXP(-LN(2)/2))/(LN(2)/2)*AQ149*AT149*VLOOKUP('Données projet'!$B$10,Paramètres!$A$1:$I$89,3,0)*0.475*44/12</f>
        <v>3.5025237106353722E-3</v>
      </c>
      <c r="AX149" s="21">
        <f t="shared" si="114"/>
        <v>105.31974319797609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-3.1036506698001178E-14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207.02306964567629</v>
      </c>
      <c r="BJ149" s="59">
        <f t="shared" si="146"/>
        <v>342.06887933351783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8.2646643226198897</v>
      </c>
      <c r="BQ149" s="21">
        <f>EXP(-LN(2)/25)*BQ148+(1-EXP(-LN(2)/25))/(LN(2)/25)*Calculateur!BL149*Calculateur!BN149*VLOOKUP('Données projet'!$B$11,Paramètres!$A$1:$I$89,3,0)*0.475*44/12</f>
        <v>7.9342204375892686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16.198884760209157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233.89079999999998</v>
      </c>
      <c r="CA149" s="13">
        <f t="shared" si="147"/>
        <v>57.123140349023068</v>
      </c>
      <c r="CB149" s="20">
        <f t="shared" si="118"/>
        <v>506.84927944121517</v>
      </c>
      <c r="CC149" s="59">
        <f t="shared" si="119"/>
        <v>800.18261277454849</v>
      </c>
      <c r="CD149" s="59">
        <f ca="1">AVERAGE(OFFSET($CC$3,0,0,'Données projet'!$E$12+1,1))-AVERAGE(OFFSET($H$3,0,0,'Données projet'!$E$12+1,1))</f>
        <v>328.55201074501201</v>
      </c>
      <c r="CE149" s="59">
        <f t="shared" si="148"/>
        <v>321.81422611044985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9.0601705535027079</v>
      </c>
      <c r="CL149" s="21">
        <f>EXP(-LN(2)/25)*CL148+(1-EXP(-LN(2)/25))/(LN(2)/25)*Calculateur!CG149*Calculateur!CI149*VLOOKUP('Données projet'!$B$12,Paramètres!$A$1:$I$89,3,0)*0.475*44/12</f>
        <v>0.90507305792519921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9.9652436114279066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354.24684313982857</v>
      </c>
      <c r="CZ149" s="59">
        <f t="shared" si="150"/>
        <v>322.65043486962185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39.363765601945424</v>
      </c>
      <c r="DG149" s="21">
        <f>EXP(-LN(2)/25)*DG148+(1-EXP(-LN(2)/25))/(LN(2)/25)*Calculateur!DB149*Calculateur!DD149*VLOOKUP('Données projet'!$B$13,Paramètres!$A$1:$I$89,3,0)*0.475*44/12</f>
        <v>9.7743294839478452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49.138095085893269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1.7053025658242404E-13</v>
      </c>
      <c r="DP149" s="17">
        <f>DO149*VLOOKUP('Données projet'!$B$14,Paramètres!$A$1:$I$89,3,0)*VLOOKUP('Données projet'!$B$14,Paramètres!$A$1:$I$89,5,0)</f>
        <v>1.3301360013429075E-13</v>
      </c>
      <c r="DQ149" s="13">
        <f t="shared" si="151"/>
        <v>1.9329766731057041E-12</v>
      </c>
      <c r="DR149" s="20">
        <f t="shared" si="124"/>
        <v>3.5982663925596575E-12</v>
      </c>
      <c r="DS149" s="59">
        <f t="shared" si="125"/>
        <v>293.3333333333369</v>
      </c>
      <c r="DT149" s="59">
        <f ca="1">AVERAGE(OFFSET($DS$3,0,0,'Données projet'!$E$14+1,1))-AVERAGE(OFFSET($H$3,0,0,'Données projet'!$E$14+1,1))</f>
        <v>288.80569134263209</v>
      </c>
      <c r="DU149" s="59">
        <f t="shared" si="152"/>
        <v>283.48738729114024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17.657735060179061</v>
      </c>
      <c r="EB149" s="21">
        <f>EXP(-LN(2)/25)*EB148+(1-EXP(-LN(2)/25))/(LN(2)/25)*Calculateur!DW149*Calculateur!DY149*VLOOKUP('Données projet'!$B$14,Paramètres!$A$1:$I$89,3,0)*0.475*44/12</f>
        <v>8.0662696769368765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25.724004737115937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-6.3550942286383367E-14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335.04906256888819</v>
      </c>
      <c r="EP149" s="59">
        <f t="shared" si="154"/>
        <v>440.84111898279554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37.384476585288049</v>
      </c>
      <c r="EW149" s="21">
        <f>EXP(-LN(2)/25)*EW148+(1-EXP(-LN(2)/25))/(LN(2)/25)*Calculateur!ER149*Calculateur!ET149*VLOOKUP('Données projet'!$B$15,Paramètres!$A$1:$I$89,3,0)*0.475*44/12</f>
        <v>4.6209493067996119</v>
      </c>
      <c r="EX149" s="21">
        <f>EXP(-LN(2)/2)*EX148+(1-EXP(-LN(2)/2))/(LN(2)/2)*ER149*EU149*VLOOKUP('Données projet'!$B$15,Paramètres!$A$1:$I$89,3,0)*0.475*44/12</f>
        <v>6.8654599418445879E-13</v>
      </c>
      <c r="EY149" s="22">
        <f t="shared" si="129"/>
        <v>42.005425892088347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1.7053025658242404E-13</v>
      </c>
      <c r="O150" s="13">
        <f>N150*VLOOKUP('Données projet'!$B$9,Paramètres!$A$1:$I$89,3,0)*VLOOKUP('Données projet'!$B$9,Paramètres!$A$1:$I$89,5,0)</f>
        <v>1.383341441396624E-13</v>
      </c>
      <c r="P150" s="13">
        <f t="shared" si="141"/>
        <v>2.0011390722884082E-12</v>
      </c>
      <c r="Q150" s="20">
        <f t="shared" si="108"/>
        <v>3.7262491852788889E-12</v>
      </c>
      <c r="R150" s="59">
        <f t="shared" si="109"/>
        <v>293.33333333333707</v>
      </c>
      <c r="S150" s="59">
        <f ca="1">AVERAGE(OFFSET($R$3,0,0,'Données projet'!$E$9+1,1))-AVERAGE(OFFSET($H$3,0,0,'Données projet'!$E$9+1,1))</f>
        <v>298.96480270023716</v>
      </c>
      <c r="T150" s="59">
        <f t="shared" si="142"/>
        <v>293.11447542333889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22.190898786900227</v>
      </c>
      <c r="AA150" s="21">
        <f>EXP(-LN(2)/25)*AA149+(1-EXP(-LN(2)/25))/(LN(2)/25)*Calculateur!V150*Calculateur!X150*VLOOKUP('Données projet'!$B$9,Paramètres!$A$1:$I$89,3,0)*0.475*44/12</f>
        <v>10.05708894457911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32.247987731479341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1.9895196601282805E-13</v>
      </c>
      <c r="AJ150" s="13">
        <f>AI150*VLOOKUP('Données projet'!$B$10,Paramètres!$A$1:$I$89,3,0)*VLOOKUP('Données projet'!$B$10,Paramètres!$A$1:$I$89,5,0)</f>
        <v>1.707007868390065E-13</v>
      </c>
      <c r="AK150" s="13">
        <f t="shared" si="143"/>
        <v>2.4096578055149408E-12</v>
      </c>
      <c r="AL150" s="20">
        <f t="shared" si="112"/>
        <v>4.4941245483497909E-12</v>
      </c>
      <c r="AM150" s="59">
        <f t="shared" si="113"/>
        <v>293.33333333333781</v>
      </c>
      <c r="AN150" s="59">
        <f ca="1">AVERAGE(OFFSET($AM$3,0,0,'Données projet'!$E$10+1,1))-AVERAGE(OFFSET($H$3,0,0,'Données projet'!$E$10+1,1))</f>
        <v>335.02113791949211</v>
      </c>
      <c r="AO150" s="59">
        <f t="shared" si="144"/>
        <v>222.06886429435099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66.431860409009715</v>
      </c>
      <c r="AV150" s="21">
        <f>EXP(-LN(2)/25)*AV149+(1-EXP(-LN(2)/25))/(LN(2)/25)*Calculateur!AQ150*Calculateur!AS150*VLOOKUP('Données projet'!$B$10,Paramètres!$A$1:$I$89,3,0)*0.475*44/12</f>
        <v>36.528675295011404</v>
      </c>
      <c r="AW150" s="21">
        <f>EXP(-LN(2)/2)*AW149+(1-EXP(-LN(2)/2))/(LN(2)/2)*AQ150*AT150*VLOOKUP('Données projet'!$B$10,Paramètres!$A$1:$I$89,3,0)*0.475*44/12</f>
        <v>2.4766582670569409E-3</v>
      </c>
      <c r="AX150" s="21">
        <f t="shared" si="114"/>
        <v>102.96301236228817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-3.1036506698001178E-14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207.02306964567629</v>
      </c>
      <c r="BJ150" s="59">
        <f t="shared" si="146"/>
        <v>342.06887933351783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8.1025992962007987</v>
      </c>
      <c r="BQ150" s="21">
        <f>EXP(-LN(2)/25)*BQ149+(1-EXP(-LN(2)/25))/(LN(2)/25)*Calculateur!BL150*Calculateur!BN150*VLOOKUP('Données projet'!$B$11,Paramètres!$A$1:$I$89,3,0)*0.475*44/12</f>
        <v>7.7172587624808715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15.819858058681671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233.89079999999998</v>
      </c>
      <c r="CA150" s="13">
        <f t="shared" si="147"/>
        <v>57.123140349023068</v>
      </c>
      <c r="CB150" s="20">
        <f t="shared" si="118"/>
        <v>506.84927944121517</v>
      </c>
      <c r="CC150" s="59">
        <f t="shared" si="119"/>
        <v>800.18261277454849</v>
      </c>
      <c r="CD150" s="59">
        <f ca="1">AVERAGE(OFFSET($CC$3,0,0,'Données projet'!$E$12+1,1))-AVERAGE(OFFSET($H$3,0,0,'Données projet'!$E$12+1,1))</f>
        <v>328.55201074501201</v>
      </c>
      <c r="CE150" s="59">
        <f t="shared" si="148"/>
        <v>321.81422611044985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8.8825061351068939</v>
      </c>
      <c r="CL150" s="21">
        <f>EXP(-LN(2)/25)*CL149+(1-EXP(-LN(2)/25))/(LN(2)/25)*Calculateur!CG150*Calculateur!CI150*VLOOKUP('Données projet'!$B$12,Paramètres!$A$1:$I$89,3,0)*0.475*44/12</f>
        <v>0.88032378756051111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9.7628299226674056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354.24684313982857</v>
      </c>
      <c r="CZ150" s="59">
        <f t="shared" si="150"/>
        <v>322.65043486962185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38.591866168017546</v>
      </c>
      <c r="DG150" s="21">
        <f>EXP(-LN(2)/25)*DG149+(1-EXP(-LN(2)/25))/(LN(2)/25)*Calculateur!DB150*Calculateur!DD150*VLOOKUP('Données projet'!$B$13,Paramètres!$A$1:$I$89,3,0)*0.475*44/12</f>
        <v>9.5070499301996438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48.098916098217188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1.7053025658242404E-13</v>
      </c>
      <c r="DP150" s="17">
        <f>DO150*VLOOKUP('Données projet'!$B$14,Paramètres!$A$1:$I$89,3,0)*VLOOKUP('Données projet'!$B$14,Paramètres!$A$1:$I$89,5,0)</f>
        <v>1.3301360013429075E-13</v>
      </c>
      <c r="DQ150" s="13">
        <f t="shared" si="151"/>
        <v>1.9329766731057041E-12</v>
      </c>
      <c r="DR150" s="20">
        <f t="shared" si="124"/>
        <v>3.5982663925596575E-12</v>
      </c>
      <c r="DS150" s="59">
        <f t="shared" si="125"/>
        <v>293.3333333333369</v>
      </c>
      <c r="DT150" s="59">
        <f ca="1">AVERAGE(OFFSET($DS$3,0,0,'Données projet'!$E$14+1,1))-AVERAGE(OFFSET($H$3,0,0,'Données projet'!$E$14+1,1))</f>
        <v>288.80569134263209</v>
      </c>
      <c r="DU150" s="59">
        <f t="shared" si="152"/>
        <v>283.48738729114024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17.311477645803873</v>
      </c>
      <c r="EB150" s="21">
        <f>EXP(-LN(2)/25)*EB149+(1-EXP(-LN(2)/25))/(LN(2)/25)*Calculateur!DW150*Calculateur!DY150*VLOOKUP('Données projet'!$B$14,Paramètres!$A$1:$I$89,3,0)*0.475*44/12</f>
        <v>7.8456971084343508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25.157174754238223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-6.3550942286383367E-14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335.04906256888819</v>
      </c>
      <c r="EP150" s="59">
        <f t="shared" si="154"/>
        <v>440.84111898279554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36.651389801729728</v>
      </c>
      <c r="EW150" s="21">
        <f>EXP(-LN(2)/25)*EW149+(1-EXP(-LN(2)/25))/(LN(2)/25)*Calculateur!ER150*Calculateur!ET150*VLOOKUP('Données projet'!$B$15,Paramètres!$A$1:$I$89,3,0)*0.475*44/12</f>
        <v>4.4945892050000138</v>
      </c>
      <c r="EX150" s="21">
        <f>EXP(-LN(2)/2)*EX149+(1-EXP(-LN(2)/2))/(LN(2)/2)*ER150*EU150*VLOOKUP('Données projet'!$B$15,Paramètres!$A$1:$I$89,3,0)*0.475*44/12</f>
        <v>4.8546132808429083E-13</v>
      </c>
      <c r="EY150" s="22">
        <f t="shared" si="129"/>
        <v>41.145979006730222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1.7053025658242404E-13</v>
      </c>
      <c r="O151" s="13">
        <f>N151*VLOOKUP('Données projet'!$B$9,Paramètres!$A$1:$I$89,3,0)*VLOOKUP('Données projet'!$B$9,Paramètres!$A$1:$I$89,5,0)</f>
        <v>1.383341441396624E-13</v>
      </c>
      <c r="P151" s="13">
        <f t="shared" si="141"/>
        <v>2.0011390722884082E-12</v>
      </c>
      <c r="Q151" s="20">
        <f t="shared" si="108"/>
        <v>3.7262491852788889E-12</v>
      </c>
      <c r="R151" s="59">
        <f t="shared" si="109"/>
        <v>293.33333333333707</v>
      </c>
      <c r="S151" s="59">
        <f ca="1">AVERAGE(OFFSET($R$3,0,0,'Données projet'!$E$9+1,1))-AVERAGE(OFFSET($H$3,0,0,'Données projet'!$E$9+1,1))</f>
        <v>298.96480270023716</v>
      </c>
      <c r="T151" s="59">
        <f t="shared" si="142"/>
        <v>293.11447542333889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21.755748796800894</v>
      </c>
      <c r="AA151" s="21">
        <f>EXP(-LN(2)/25)*AA150+(1-EXP(-LN(2)/25))/(LN(2)/25)*Calculateur!V151*Calculateur!X151*VLOOKUP('Données projet'!$B$9,Paramètres!$A$1:$I$89,3,0)*0.475*44/12</f>
        <v>9.7820773185102734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31.537826115311169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1.9895196601282805E-13</v>
      </c>
      <c r="AJ151" s="13">
        <f>AI151*VLOOKUP('Données projet'!$B$10,Paramètres!$A$1:$I$89,3,0)*VLOOKUP('Données projet'!$B$10,Paramètres!$A$1:$I$89,5,0)</f>
        <v>1.707007868390065E-13</v>
      </c>
      <c r="AK151" s="13">
        <f t="shared" si="143"/>
        <v>2.4096578055149408E-12</v>
      </c>
      <c r="AL151" s="20">
        <f t="shared" si="112"/>
        <v>4.4941245483497909E-12</v>
      </c>
      <c r="AM151" s="59">
        <f t="shared" si="113"/>
        <v>293.33333333333781</v>
      </c>
      <c r="AN151" s="59">
        <f ca="1">AVERAGE(OFFSET($AM$3,0,0,'Données projet'!$E$10+1,1))-AVERAGE(OFFSET($H$3,0,0,'Données projet'!$E$10+1,1))</f>
        <v>335.02113791949211</v>
      </c>
      <c r="AO151" s="59">
        <f t="shared" si="144"/>
        <v>222.06886429435099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65.12917214582292</v>
      </c>
      <c r="AV151" s="21">
        <f>EXP(-LN(2)/25)*AV150+(1-EXP(-LN(2)/25))/(LN(2)/25)*Calculateur!AQ151*Calculateur!AS151*VLOOKUP('Données projet'!$B$10,Paramètres!$A$1:$I$89,3,0)*0.475*44/12</f>
        <v>35.529796748109767</v>
      </c>
      <c r="AW151" s="21">
        <f>EXP(-LN(2)/2)*AW150+(1-EXP(-LN(2)/2))/(LN(2)/2)*AQ151*AT151*VLOOKUP('Données projet'!$B$10,Paramètres!$A$1:$I$89,3,0)*0.475*44/12</f>
        <v>1.7512618553176863E-3</v>
      </c>
      <c r="AX151" s="21">
        <f t="shared" si="114"/>
        <v>100.66072015578801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-3.1036506698001178E-14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207.02306964567629</v>
      </c>
      <c r="BJ151" s="59">
        <f t="shared" si="146"/>
        <v>342.06887933351783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7.9437122660998805</v>
      </c>
      <c r="BQ151" s="21">
        <f>EXP(-LN(2)/25)*BQ150+(1-EXP(-LN(2)/25))/(LN(2)/25)*Calculateur!BL151*Calculateur!BN151*VLOOKUP('Données projet'!$B$11,Paramètres!$A$1:$I$89,3,0)*0.475*44/12</f>
        <v>7.5062299157878316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15.449942181887712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233.89079999999998</v>
      </c>
      <c r="CA151" s="13">
        <f t="shared" si="147"/>
        <v>57.123140349023068</v>
      </c>
      <c r="CB151" s="20">
        <f t="shared" si="118"/>
        <v>506.84927944121517</v>
      </c>
      <c r="CC151" s="59">
        <f t="shared" si="119"/>
        <v>800.18261277454849</v>
      </c>
      <c r="CD151" s="59">
        <f ca="1">AVERAGE(OFFSET($CC$3,0,0,'Données projet'!$E$12+1,1))-AVERAGE(OFFSET($H$3,0,0,'Données projet'!$E$12+1,1))</f>
        <v>328.55201074501201</v>
      </c>
      <c r="CE151" s="59">
        <f t="shared" si="148"/>
        <v>321.81422611044985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8.7083256075912274</v>
      </c>
      <c r="CL151" s="21">
        <f>EXP(-LN(2)/25)*CL150+(1-EXP(-LN(2)/25))/(LN(2)/25)*Calculateur!CG151*Calculateur!CI151*VLOOKUP('Données projet'!$B$12,Paramètres!$A$1:$I$89,3,0)*0.475*44/12</f>
        <v>0.85625128729545297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9.5645768948866809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354.24684313982857</v>
      </c>
      <c r="CZ151" s="59">
        <f t="shared" si="150"/>
        <v>322.65043486962185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37.835103211176829</v>
      </c>
      <c r="DG151" s="21">
        <f>EXP(-LN(2)/25)*DG150+(1-EXP(-LN(2)/25))/(LN(2)/25)*Calculateur!DB151*Calculateur!DD151*VLOOKUP('Données projet'!$B$13,Paramètres!$A$1:$I$89,3,0)*0.475*44/12</f>
        <v>9.247079149904307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47.082182361081138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1.7053025658242404E-13</v>
      </c>
      <c r="DP151" s="17">
        <f>DO151*VLOOKUP('Données projet'!$B$14,Paramètres!$A$1:$I$89,3,0)*VLOOKUP('Données projet'!$B$14,Paramètres!$A$1:$I$89,5,0)</f>
        <v>1.3301360013429075E-13</v>
      </c>
      <c r="DQ151" s="13">
        <f t="shared" si="151"/>
        <v>1.9329766731057041E-12</v>
      </c>
      <c r="DR151" s="20">
        <f t="shared" si="124"/>
        <v>3.5982663925596575E-12</v>
      </c>
      <c r="DS151" s="59">
        <f t="shared" si="125"/>
        <v>293.3333333333369</v>
      </c>
      <c r="DT151" s="59">
        <f ca="1">AVERAGE(OFFSET($DS$3,0,0,'Données projet'!$E$14+1,1))-AVERAGE(OFFSET($H$3,0,0,'Données projet'!$E$14+1,1))</f>
        <v>288.80569134263209</v>
      </c>
      <c r="DU151" s="59">
        <f t="shared" si="152"/>
        <v>283.48738729114024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16.972010128128414</v>
      </c>
      <c r="EB151" s="21">
        <f>EXP(-LN(2)/25)*EB150+(1-EXP(-LN(2)/25))/(LN(2)/25)*Calculateur!DW151*Calculateur!DY151*VLOOKUP('Données projet'!$B$14,Paramètres!$A$1:$I$89,3,0)*0.475*44/12</f>
        <v>7.6311561084169339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24.603166236545349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-6.3550942286383367E-14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335.04906256888819</v>
      </c>
      <c r="EP151" s="59">
        <f t="shared" si="154"/>
        <v>440.84111898279554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35.932678402858201</v>
      </c>
      <c r="EW151" s="21">
        <f>EXP(-LN(2)/25)*EW150+(1-EXP(-LN(2)/25))/(LN(2)/25)*Calculateur!ER151*Calculateur!ET151*VLOOKUP('Données projet'!$B$15,Paramètres!$A$1:$I$89,3,0)*0.475*44/12</f>
        <v>4.3716844268291144</v>
      </c>
      <c r="EX151" s="21">
        <f>EXP(-LN(2)/2)*EX150+(1-EXP(-LN(2)/2))/(LN(2)/2)*ER151*EU151*VLOOKUP('Données projet'!$B$15,Paramètres!$A$1:$I$89,3,0)*0.475*44/12</f>
        <v>3.432729970922294E-13</v>
      </c>
      <c r="EY151" s="22">
        <f t="shared" si="129"/>
        <v>40.304362829687655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1.7053025658242404E-13</v>
      </c>
      <c r="O152" s="13">
        <f>N152*VLOOKUP('Données projet'!$B$9,Paramètres!$A$1:$I$89,3,0)*VLOOKUP('Données projet'!$B$9,Paramètres!$A$1:$I$89,5,0)</f>
        <v>1.383341441396624E-13</v>
      </c>
      <c r="P152" s="13">
        <f t="shared" si="141"/>
        <v>2.0011390722884082E-12</v>
      </c>
      <c r="Q152" s="20">
        <f t="shared" si="108"/>
        <v>3.7262491852788889E-12</v>
      </c>
      <c r="R152" s="59">
        <f t="shared" si="109"/>
        <v>293.33333333333707</v>
      </c>
      <c r="S152" s="59">
        <f ca="1">AVERAGE(OFFSET($R$3,0,0,'Données projet'!$E$9+1,1))-AVERAGE(OFFSET($H$3,0,0,'Données projet'!$E$9+1,1))</f>
        <v>298.96480270023716</v>
      </c>
      <c r="T152" s="59">
        <f t="shared" si="142"/>
        <v>293.11447542333889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21.329131832592122</v>
      </c>
      <c r="AA152" s="21">
        <f>EXP(-LN(2)/25)*AA151+(1-EXP(-LN(2)/25))/(LN(2)/25)*Calculateur!V152*Calculateur!X152*VLOOKUP('Données projet'!$B$9,Paramètres!$A$1:$I$89,3,0)*0.475*44/12</f>
        <v>9.5145858998185204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30.843717732410642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1.9895196601282805E-13</v>
      </c>
      <c r="AJ152" s="13">
        <f>AI152*VLOOKUP('Données projet'!$B$10,Paramètres!$A$1:$I$89,3,0)*VLOOKUP('Données projet'!$B$10,Paramètres!$A$1:$I$89,5,0)</f>
        <v>1.707007868390065E-13</v>
      </c>
      <c r="AK152" s="13">
        <f t="shared" si="143"/>
        <v>2.4096578055149408E-12</v>
      </c>
      <c r="AL152" s="20">
        <f t="shared" si="112"/>
        <v>4.4941245483497909E-12</v>
      </c>
      <c r="AM152" s="59">
        <f t="shared" si="113"/>
        <v>293.33333333333781</v>
      </c>
      <c r="AN152" s="59">
        <f ca="1">AVERAGE(OFFSET($AM$3,0,0,'Données projet'!$E$10+1,1))-AVERAGE(OFFSET($H$3,0,0,'Données projet'!$E$10+1,1))</f>
        <v>335.02113791949211</v>
      </c>
      <c r="AO152" s="59">
        <f t="shared" si="144"/>
        <v>222.06886429435099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63.85202880491584</v>
      </c>
      <c r="AV152" s="21">
        <f>EXP(-LN(2)/25)*AV151+(1-EXP(-LN(2)/25))/(LN(2)/25)*Calculateur!AQ152*Calculateur!AS152*VLOOKUP('Données projet'!$B$10,Paramètres!$A$1:$I$89,3,0)*0.475*44/12</f>
        <v>34.5582325876019</v>
      </c>
      <c r="AW152" s="21">
        <f>EXP(-LN(2)/2)*AW151+(1-EXP(-LN(2)/2))/(LN(2)/2)*AQ152*AT152*VLOOKUP('Données projet'!$B$10,Paramètres!$A$1:$I$89,3,0)*0.475*44/12</f>
        <v>1.2383291335284704E-3</v>
      </c>
      <c r="AX152" s="21">
        <f t="shared" si="114"/>
        <v>98.411499721651268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-3.1036506698001178E-14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207.02306964567629</v>
      </c>
      <c r="BJ152" s="59">
        <f t="shared" si="146"/>
        <v>342.06887933351783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7.7879409137477218</v>
      </c>
      <c r="BQ152" s="21">
        <f>EXP(-LN(2)/25)*BQ151+(1-EXP(-LN(2)/25))/(LN(2)/25)*Calculateur!BL152*Calculateur!BN152*VLOOKUP('Données projet'!$B$11,Paramètres!$A$1:$I$89,3,0)*0.475*44/12</f>
        <v>7.3009716640051376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15.088912577752859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233.89079999999998</v>
      </c>
      <c r="CA152" s="13">
        <f t="shared" si="147"/>
        <v>57.123140349023068</v>
      </c>
      <c r="CB152" s="20">
        <f t="shared" si="118"/>
        <v>506.84927944121517</v>
      </c>
      <c r="CC152" s="59">
        <f t="shared" si="119"/>
        <v>800.18261277454849</v>
      </c>
      <c r="CD152" s="59">
        <f ca="1">AVERAGE(OFFSET($CC$3,0,0,'Données projet'!$E$12+1,1))-AVERAGE(OFFSET($H$3,0,0,'Données projet'!$E$12+1,1))</f>
        <v>328.55201074501201</v>
      </c>
      <c r="CE152" s="59">
        <f t="shared" si="148"/>
        <v>321.81422611044985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8.5375606539805116</v>
      </c>
      <c r="CL152" s="21">
        <f>EXP(-LN(2)/25)*CL151+(1-EXP(-LN(2)/25))/(LN(2)/25)*Calculateur!CG152*Calculateur!CI152*VLOOKUP('Données projet'!$B$12,Paramètres!$A$1:$I$89,3,0)*0.475*44/12</f>
        <v>0.83283705081606063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9.3703977047965719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354.24684313982857</v>
      </c>
      <c r="CZ152" s="59">
        <f t="shared" si="150"/>
        <v>322.65043486962185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37.093179914339935</v>
      </c>
      <c r="DG152" s="21">
        <f>EXP(-LN(2)/25)*DG151+(1-EXP(-LN(2)/25))/(LN(2)/25)*Calculateur!DB152*Calculateur!DD152*VLOOKUP('Données projet'!$B$13,Paramètres!$A$1:$I$89,3,0)*0.475*44/12</f>
        <v>8.9942172842674157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46.087397198607349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1.7053025658242404E-13</v>
      </c>
      <c r="DP152" s="17">
        <f>DO152*VLOOKUP('Données projet'!$B$14,Paramètres!$A$1:$I$89,3,0)*VLOOKUP('Données projet'!$B$14,Paramètres!$A$1:$I$89,5,0)</f>
        <v>1.3301360013429075E-13</v>
      </c>
      <c r="DQ152" s="13">
        <f t="shared" si="151"/>
        <v>1.9329766731057041E-12</v>
      </c>
      <c r="DR152" s="20">
        <f t="shared" si="124"/>
        <v>3.5982663925596575E-12</v>
      </c>
      <c r="DS152" s="59">
        <f t="shared" si="125"/>
        <v>293.3333333333369</v>
      </c>
      <c r="DT152" s="59">
        <f ca="1">AVERAGE(OFFSET($DS$3,0,0,'Données projet'!$E$14+1,1))-AVERAGE(OFFSET($H$3,0,0,'Données projet'!$E$14+1,1))</f>
        <v>288.80569134263209</v>
      </c>
      <c r="DU152" s="59">
        <f t="shared" si="152"/>
        <v>283.48738729114024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16.639199361419827</v>
      </c>
      <c r="EB152" s="21">
        <f>EXP(-LN(2)/25)*EB151+(1-EXP(-LN(2)/25))/(LN(2)/25)*Calculateur!DW152*Calculateur!DY152*VLOOKUP('Données projet'!$B$14,Paramètres!$A$1:$I$89,3,0)*0.475*44/12</f>
        <v>7.4224817433272143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24.061681104747041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-6.3550942286383367E-14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335.04906256888819</v>
      </c>
      <c r="EP152" s="59">
        <f t="shared" si="154"/>
        <v>440.84111898279554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35.228060496147876</v>
      </c>
      <c r="EW152" s="21">
        <f>EXP(-LN(2)/25)*EW151+(1-EXP(-LN(2)/25))/(LN(2)/25)*Calculateur!ER152*Calculateur!ET152*VLOOKUP('Données projet'!$B$15,Paramètres!$A$1:$I$89,3,0)*0.475*44/12</f>
        <v>4.2521404862805801</v>
      </c>
      <c r="EX152" s="21">
        <f>EXP(-LN(2)/2)*EX151+(1-EXP(-LN(2)/2))/(LN(2)/2)*ER152*EU152*VLOOKUP('Données projet'!$B$15,Paramètres!$A$1:$I$89,3,0)*0.475*44/12</f>
        <v>2.4273066404214542E-13</v>
      </c>
      <c r="EY152" s="22">
        <f t="shared" si="129"/>
        <v>39.480200982428698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1.7053025658242404E-13</v>
      </c>
      <c r="O153" s="13">
        <f>N153*VLOOKUP('Données projet'!$B$9,Paramètres!$A$1:$I$89,3,0)*VLOOKUP('Données projet'!$B$9,Paramètres!$A$1:$I$89,5,0)</f>
        <v>1.383341441396624E-13</v>
      </c>
      <c r="P153" s="13">
        <f t="shared" si="141"/>
        <v>2.0011390722884082E-12</v>
      </c>
      <c r="Q153" s="20">
        <f t="shared" si="108"/>
        <v>3.7262491852788889E-12</v>
      </c>
      <c r="R153" s="59">
        <f t="shared" si="109"/>
        <v>293.33333333333707</v>
      </c>
      <c r="S153" s="59">
        <f ca="1">AVERAGE(OFFSET($R$3,0,0,'Données projet'!$E$9+1,1))-AVERAGE(OFFSET($H$3,0,0,'Données projet'!$E$9+1,1))</f>
        <v>298.96480270023716</v>
      </c>
      <c r="T153" s="59">
        <f t="shared" si="142"/>
        <v>293.11447542333889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20.910880566840827</v>
      </c>
      <c r="AA153" s="21">
        <f>EXP(-LN(2)/25)*AA152+(1-EXP(-LN(2)/25))/(LN(2)/25)*Calculateur!V153*Calculateur!X153*VLOOKUP('Données projet'!$B$9,Paramètres!$A$1:$I$89,3,0)*0.475*44/12</f>
        <v>9.2544090480376564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30.165289614878482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1.9895196601282805E-13</v>
      </c>
      <c r="AJ153" s="13">
        <f>AI153*VLOOKUP('Données projet'!$B$10,Paramètres!$A$1:$I$89,3,0)*VLOOKUP('Données projet'!$B$10,Paramètres!$A$1:$I$89,5,0)</f>
        <v>1.707007868390065E-13</v>
      </c>
      <c r="AK153" s="13">
        <f t="shared" si="143"/>
        <v>2.4096578055149408E-12</v>
      </c>
      <c r="AL153" s="20">
        <f t="shared" si="112"/>
        <v>4.4941245483497909E-12</v>
      </c>
      <c r="AM153" s="59">
        <f t="shared" si="113"/>
        <v>293.33333333333781</v>
      </c>
      <c r="AN153" s="59">
        <f ca="1">AVERAGE(OFFSET($AM$3,0,0,'Données projet'!$E$10+1,1))-AVERAGE(OFFSET($H$3,0,0,'Données projet'!$E$10+1,1))</f>
        <v>335.02113791949211</v>
      </c>
      <c r="AO153" s="59">
        <f t="shared" si="144"/>
        <v>222.06886429435099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62.599929465943426</v>
      </c>
      <c r="AV153" s="21">
        <f>EXP(-LN(2)/25)*AV152+(1-EXP(-LN(2)/25))/(LN(2)/25)*Calculateur!AQ153*Calculateur!AS153*VLOOKUP('Données projet'!$B$10,Paramètres!$A$1:$I$89,3,0)*0.475*44/12</f>
        <v>33.613235900155459</v>
      </c>
      <c r="AW153" s="21">
        <f>EXP(-LN(2)/2)*AW152+(1-EXP(-LN(2)/2))/(LN(2)/2)*AQ153*AT153*VLOOKUP('Données projet'!$B$10,Paramètres!$A$1:$I$89,3,0)*0.475*44/12</f>
        <v>8.7563092765884315E-4</v>
      </c>
      <c r="AX153" s="21">
        <f t="shared" si="114"/>
        <v>96.21404099702653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-3.1036506698001178E-14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207.02306964567629</v>
      </c>
      <c r="BJ153" s="59">
        <f t="shared" si="146"/>
        <v>342.06887933351783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7.6352241426040459</v>
      </c>
      <c r="BQ153" s="21">
        <f>EXP(-LN(2)/25)*BQ152+(1-EXP(-LN(2)/25))/(LN(2)/25)*Calculateur!BL153*Calculateur!BN153*VLOOKUP('Données projet'!$B$11,Paramètres!$A$1:$I$89,3,0)*0.475*44/12</f>
        <v>7.1013262099115035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14.73655035251555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233.89079999999998</v>
      </c>
      <c r="CA153" s="13">
        <f t="shared" si="147"/>
        <v>57.123140349023068</v>
      </c>
      <c r="CB153" s="20">
        <f t="shared" si="118"/>
        <v>506.84927944121517</v>
      </c>
      <c r="CC153" s="59">
        <f t="shared" si="119"/>
        <v>800.18261277454849</v>
      </c>
      <c r="CD153" s="59">
        <f ca="1">AVERAGE(OFFSET($CC$3,0,0,'Données projet'!$E$12+1,1))-AVERAGE(OFFSET($H$3,0,0,'Données projet'!$E$12+1,1))</f>
        <v>328.55201074501201</v>
      </c>
      <c r="CE153" s="59">
        <f t="shared" si="148"/>
        <v>321.81422611044985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8.3701442969537645</v>
      </c>
      <c r="CL153" s="21">
        <f>EXP(-LN(2)/25)*CL152+(1-EXP(-LN(2)/25))/(LN(2)/25)*Calculateur!CG153*Calculateur!CI153*VLOOKUP('Données projet'!$B$12,Paramètres!$A$1:$I$89,3,0)*0.475*44/12</f>
        <v>0.81006307786449838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9.1802073748182629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354.24684313982857</v>
      </c>
      <c r="CZ153" s="59">
        <f t="shared" si="150"/>
        <v>322.65043486962185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36.365805280825484</v>
      </c>
      <c r="DG153" s="21">
        <f>EXP(-LN(2)/25)*DG152+(1-EXP(-LN(2)/25))/(LN(2)/25)*Calculateur!DB153*Calculateur!DD153*VLOOKUP('Données projet'!$B$13,Paramètres!$A$1:$I$89,3,0)*0.475*44/12</f>
        <v>8.7482699396437926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45.114075220469275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1.7053025658242404E-13</v>
      </c>
      <c r="DP153" s="17">
        <f>DO153*VLOOKUP('Données projet'!$B$14,Paramètres!$A$1:$I$89,3,0)*VLOOKUP('Données projet'!$B$14,Paramètres!$A$1:$I$89,5,0)</f>
        <v>1.3301360013429075E-13</v>
      </c>
      <c r="DQ153" s="13">
        <f t="shared" si="151"/>
        <v>1.9329766731057041E-12</v>
      </c>
      <c r="DR153" s="20">
        <f t="shared" si="124"/>
        <v>3.5982663925596575E-12</v>
      </c>
      <c r="DS153" s="59">
        <f t="shared" si="125"/>
        <v>293.3333333333369</v>
      </c>
      <c r="DT153" s="59">
        <f ca="1">AVERAGE(OFFSET($DS$3,0,0,'Données projet'!$E$14+1,1))-AVERAGE(OFFSET($H$3,0,0,'Données projet'!$E$14+1,1))</f>
        <v>288.80569134263209</v>
      </c>
      <c r="DU153" s="59">
        <f t="shared" si="152"/>
        <v>283.48738729114024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16.312914810851872</v>
      </c>
      <c r="EB153" s="21">
        <f>EXP(-LN(2)/25)*EB152+(1-EXP(-LN(2)/25))/(LN(2)/25)*Calculateur!DW153*Calculateur!DY153*VLOOKUP('Données projet'!$B$14,Paramètres!$A$1:$I$89,3,0)*0.475*44/12</f>
        <v>7.2195135897245812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23.532428400576453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-6.3550942286383367E-14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335.04906256888819</v>
      </c>
      <c r="EP153" s="59">
        <f t="shared" si="154"/>
        <v>440.84111898279554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34.537259716813651</v>
      </c>
      <c r="EW153" s="21">
        <f>EXP(-LN(2)/25)*EW152+(1-EXP(-LN(2)/25))/(LN(2)/25)*Calculateur!ER153*Calculateur!ET153*VLOOKUP('Données projet'!$B$15,Paramètres!$A$1:$I$89,3,0)*0.475*44/12</f>
        <v>4.1358654810728881</v>
      </c>
      <c r="EX153" s="21">
        <f>EXP(-LN(2)/2)*EX152+(1-EXP(-LN(2)/2))/(LN(2)/2)*ER153*EU153*VLOOKUP('Données projet'!$B$15,Paramètres!$A$1:$I$89,3,0)*0.475*44/12</f>
        <v>1.716364985461147E-13</v>
      </c>
      <c r="EY153" s="22">
        <f t="shared" si="129"/>
        <v>38.673125197886712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1.7053025658242404E-13</v>
      </c>
      <c r="O154" s="13">
        <f>N154*VLOOKUP('Données projet'!$B$9,Paramètres!$A$1:$I$89,3,0)*VLOOKUP('Données projet'!$B$9,Paramètres!$A$1:$I$89,5,0)</f>
        <v>1.383341441396624E-13</v>
      </c>
      <c r="P154" s="13">
        <f t="shared" si="141"/>
        <v>2.0011390722884082E-12</v>
      </c>
      <c r="Q154" s="20">
        <f t="shared" ref="Q154:Q203" si="162">(O154+P154)*0.475*44/12</f>
        <v>3.7262491852788889E-12</v>
      </c>
      <c r="R154" s="59">
        <f t="shared" si="109"/>
        <v>293.33333333333707</v>
      </c>
      <c r="S154" s="59">
        <f ca="1">AVERAGE(OFFSET($R$3,0,0,'Données projet'!$E$9+1,1))-AVERAGE(OFFSET($H$3,0,0,'Données projet'!$E$9+1,1))</f>
        <v>298.96480270023716</v>
      </c>
      <c r="T154" s="59">
        <f t="shared" si="142"/>
        <v>293.11447542333889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20.500830953302835</v>
      </c>
      <c r="AA154" s="21">
        <f>EXP(-LN(2)/25)*AA153+(1-EXP(-LN(2)/25))/(LN(2)/25)*Calculateur!V154*Calculateur!X154*VLOOKUP('Données projet'!$B$9,Paramètres!$A$1:$I$89,3,0)*0.475*44/12</f>
        <v>9.0013467459508458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29.502177699253679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1.9895196601282805E-13</v>
      </c>
      <c r="AJ154" s="13">
        <f>AI154*VLOOKUP('Données projet'!$B$10,Paramètres!$A$1:$I$89,3,0)*VLOOKUP('Données projet'!$B$10,Paramètres!$A$1:$I$89,5,0)</f>
        <v>1.707007868390065E-13</v>
      </c>
      <c r="AK154" s="13">
        <f t="shared" ref="AK154:AK203" si="164">EXP(-1.0587+0.8836*LN(AJ154)+0.284)</f>
        <v>2.4096578055149408E-12</v>
      </c>
      <c r="AL154" s="20">
        <f t="shared" ref="AL154:AL203" si="165">(AJ154+AK154)*0.475*44/12</f>
        <v>4.4941245483497909E-12</v>
      </c>
      <c r="AM154" s="59">
        <f t="shared" si="113"/>
        <v>293.33333333333781</v>
      </c>
      <c r="AN154" s="59">
        <f ca="1">AVERAGE(OFFSET($AM$3,0,0,'Données projet'!$E$10+1,1))-AVERAGE(OFFSET($H$3,0,0,'Données projet'!$E$10+1,1))</f>
        <v>335.02113791949211</v>
      </c>
      <c r="AO154" s="59">
        <f t="shared" si="144"/>
        <v>222.06886429435099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61.372383031303073</v>
      </c>
      <c r="AV154" s="21">
        <f>EXP(-LN(2)/25)*AV153+(1-EXP(-LN(2)/25))/(LN(2)/25)*Calculateur!AQ154*Calculateur!AS154*VLOOKUP('Données projet'!$B$10,Paramètres!$A$1:$I$89,3,0)*0.475*44/12</f>
        <v>32.694080196822455</v>
      </c>
      <c r="AW154" s="21">
        <f>EXP(-LN(2)/2)*AW153+(1-EXP(-LN(2)/2))/(LN(2)/2)*AQ154*AT154*VLOOKUP('Données projet'!$B$10,Paramètres!$A$1:$I$89,3,0)*0.475*44/12</f>
        <v>6.1916456676423522E-4</v>
      </c>
      <c r="AX154" s="21">
        <f t="shared" ref="AX154:AX203" si="166">SUM(AU154:AW154)</f>
        <v>94.067082392692299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-3.1036506698001178E-14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207.02306964567629</v>
      </c>
      <c r="BJ154" s="59">
        <f t="shared" si="146"/>
        <v>342.06887933351783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7.4855020541944643</v>
      </c>
      <c r="BQ154" s="21">
        <f>EXP(-LN(2)/25)*BQ153+(1-EXP(-LN(2)/25))/(LN(2)/25)*Calculateur!BL154*Calculateur!BN154*VLOOKUP('Données projet'!$B$11,Paramètres!$A$1:$I$89,3,0)*0.475*44/12</f>
        <v>6.9071400712589588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14.392642125453424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233.89079999999998</v>
      </c>
      <c r="CA154" s="13">
        <f t="shared" ref="CA154:CA203" si="170">EXP(-1.0587+0.8836*LN(BZ154)+0.284)</f>
        <v>57.123140349023068</v>
      </c>
      <c r="CB154" s="20">
        <f t="shared" ref="CB154:CB203" si="171">(BZ154+CA154)*0.475*44/12</f>
        <v>506.84927944121517</v>
      </c>
      <c r="CC154" s="59">
        <f t="shared" si="119"/>
        <v>800.18261277454849</v>
      </c>
      <c r="CD154" s="59">
        <f ca="1">AVERAGE(OFFSET($CC$3,0,0,'Données projet'!$E$12+1,1))-AVERAGE(OFFSET($H$3,0,0,'Données projet'!$E$12+1,1))</f>
        <v>328.55201074501201</v>
      </c>
      <c r="CE154" s="59">
        <f t="shared" si="148"/>
        <v>321.81422611044985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8.2060108725744172</v>
      </c>
      <c r="CL154" s="21">
        <f>EXP(-LN(2)/25)*CL153+(1-EXP(-LN(2)/25))/(LN(2)/25)*Calculateur!CG154*Calculateur!CI154*VLOOKUP('Données projet'!$B$12,Paramètres!$A$1:$I$89,3,0)*0.475*44/12</f>
        <v>0.78791186040092787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8.9939227329753457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354.24684313982857</v>
      </c>
      <c r="CZ154" s="59">
        <f t="shared" si="150"/>
        <v>322.65043486962185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35.652694020219528</v>
      </c>
      <c r="DG154" s="21">
        <f>EXP(-LN(2)/25)*DG153+(1-EXP(-LN(2)/25))/(LN(2)/25)*Calculateur!DB154*Calculateur!DD154*VLOOKUP('Données projet'!$B$13,Paramètres!$A$1:$I$89,3,0)*0.475*44/12</f>
        <v>8.5090480380927112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44.161742058312242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1.7053025658242404E-13</v>
      </c>
      <c r="DP154" s="17">
        <f>DO154*VLOOKUP('Données projet'!$B$14,Paramètres!$A$1:$I$89,3,0)*VLOOKUP('Données projet'!$B$14,Paramètres!$A$1:$I$89,5,0)</f>
        <v>1.3301360013429075E-13</v>
      </c>
      <c r="DQ154" s="13">
        <f t="shared" ref="DQ154:DQ203" si="176">EXP(-1.0587+0.8836*LN(DP154)+0.284)</f>
        <v>1.9329766731057041E-12</v>
      </c>
      <c r="DR154" s="20">
        <f t="shared" ref="DR154:DR203" si="177">(DP154+DQ154)*0.475*44/12</f>
        <v>3.5982663925596575E-12</v>
      </c>
      <c r="DS154" s="59">
        <f t="shared" si="125"/>
        <v>293.3333333333369</v>
      </c>
      <c r="DT154" s="59">
        <f ca="1">AVERAGE(OFFSET($DS$3,0,0,'Données projet'!$E$14+1,1))-AVERAGE(OFFSET($H$3,0,0,'Données projet'!$E$14+1,1))</f>
        <v>288.80569134263209</v>
      </c>
      <c r="DU154" s="59">
        <f t="shared" si="152"/>
        <v>283.48738729114024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15.993028501306631</v>
      </c>
      <c r="EB154" s="21">
        <f>EXP(-LN(2)/25)*EB153+(1-EXP(-LN(2)/25))/(LN(2)/25)*Calculateur!DW154*Calculateur!DY154*VLOOKUP('Données projet'!$B$14,Paramètres!$A$1:$I$89,3,0)*0.475*44/12</f>
        <v>7.0220956109558434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23.015124112262473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-6.3550942286383367E-14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335.04906256888819</v>
      </c>
      <c r="EP154" s="59">
        <f t="shared" si="154"/>
        <v>440.84111898279554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33.860005119415305</v>
      </c>
      <c r="EW154" s="21">
        <f>EXP(-LN(2)/25)*EW153+(1-EXP(-LN(2)/25))/(LN(2)/25)*Calculateur!ER154*Calculateur!ET154*VLOOKUP('Données projet'!$B$15,Paramètres!$A$1:$I$89,3,0)*0.475*44/12</f>
        <v>4.0227700219972373</v>
      </c>
      <c r="EX154" s="21">
        <f>EXP(-LN(2)/2)*EX153+(1-EXP(-LN(2)/2))/(LN(2)/2)*ER154*EU154*VLOOKUP('Données projet'!$B$15,Paramètres!$A$1:$I$89,3,0)*0.475*44/12</f>
        <v>1.2136533202107271E-13</v>
      </c>
      <c r="EY154" s="22">
        <f t="shared" ref="EY154:EY203" si="181">SUM(EV154:EX154)</f>
        <v>37.882775141412665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1.7053025658242404E-13</v>
      </c>
      <c r="O155" s="13">
        <f>N155*VLOOKUP('Données projet'!$B$9,Paramètres!$A$1:$I$89,3,0)*VLOOKUP('Données projet'!$B$9,Paramètres!$A$1:$I$89,5,0)</f>
        <v>1.383341441396624E-13</v>
      </c>
      <c r="P155" s="13">
        <f t="shared" si="141"/>
        <v>2.0011390722884082E-12</v>
      </c>
      <c r="Q155" s="20">
        <f t="shared" si="162"/>
        <v>3.7262491852788889E-12</v>
      </c>
      <c r="R155" s="59">
        <f t="shared" si="109"/>
        <v>293.33333333333707</v>
      </c>
      <c r="S155" s="59">
        <f ca="1">AVERAGE(OFFSET($R$3,0,0,'Données projet'!$E$9+1,1))-AVERAGE(OFFSET($H$3,0,0,'Données projet'!$E$9+1,1))</f>
        <v>298.96480270023716</v>
      </c>
      <c r="T155" s="59">
        <f t="shared" si="142"/>
        <v>293.11447542333889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20.098822162580753</v>
      </c>
      <c r="AA155" s="21">
        <f>EXP(-LN(2)/25)*AA154+(1-EXP(-LN(2)/25))/(LN(2)/25)*Calculateur!V155*Calculateur!X155*VLOOKUP('Données projet'!$B$9,Paramètres!$A$1:$I$89,3,0)*0.475*44/12</f>
        <v>8.7552044458225673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28.85402660840332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1.9895196601282805E-13</v>
      </c>
      <c r="AJ155" s="13">
        <f>AI155*VLOOKUP('Données projet'!$B$10,Paramètres!$A$1:$I$89,3,0)*VLOOKUP('Données projet'!$B$10,Paramètres!$A$1:$I$89,5,0)</f>
        <v>1.707007868390065E-13</v>
      </c>
      <c r="AK155" s="13">
        <f t="shared" si="164"/>
        <v>2.4096578055149408E-12</v>
      </c>
      <c r="AL155" s="20">
        <f t="shared" si="165"/>
        <v>4.4941245483497909E-12</v>
      </c>
      <c r="AM155" s="59">
        <f t="shared" si="113"/>
        <v>293.33333333333781</v>
      </c>
      <c r="AN155" s="59">
        <f ca="1">AVERAGE(OFFSET($AM$3,0,0,'Données projet'!$E$10+1,1))-AVERAGE(OFFSET($H$3,0,0,'Données projet'!$E$10+1,1))</f>
        <v>335.02113791949211</v>
      </c>
      <c r="AO155" s="59">
        <f t="shared" si="144"/>
        <v>222.06886429435099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60.168908033516622</v>
      </c>
      <c r="AV155" s="21">
        <f>EXP(-LN(2)/25)*AV154+(1-EXP(-LN(2)/25))/(LN(2)/25)*Calculateur!AQ155*Calculateur!AS155*VLOOKUP('Données projet'!$B$10,Paramètres!$A$1:$I$89,3,0)*0.475*44/12</f>
        <v>31.80005885453339</v>
      </c>
      <c r="AW155" s="21">
        <f>EXP(-LN(2)/2)*AW154+(1-EXP(-LN(2)/2))/(LN(2)/2)*AQ155*AT155*VLOOKUP('Données projet'!$B$10,Paramètres!$A$1:$I$89,3,0)*0.475*44/12</f>
        <v>4.3781546382942158E-4</v>
      </c>
      <c r="AX155" s="21">
        <f t="shared" si="166"/>
        <v>91.969404703513831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-3.1036506698001178E-14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207.02306964567629</v>
      </c>
      <c r="BJ155" s="59">
        <f t="shared" si="146"/>
        <v>342.06887933351783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7.3387159246171381</v>
      </c>
      <c r="BQ155" s="21">
        <f>EXP(-LN(2)/25)*BQ154+(1-EXP(-LN(2)/25))/(LN(2)/25)*Calculateur!BL155*Calculateur!BN155*VLOOKUP('Données projet'!$B$11,Paramètres!$A$1:$I$89,3,0)*0.475*44/12</f>
        <v>6.7182639627796723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14.05697988739681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233.89079999999998</v>
      </c>
      <c r="CA155" s="13">
        <f t="shared" si="170"/>
        <v>57.123140349023068</v>
      </c>
      <c r="CB155" s="20">
        <f t="shared" si="171"/>
        <v>506.84927944121517</v>
      </c>
      <c r="CC155" s="59">
        <f t="shared" si="119"/>
        <v>800.18261277454849</v>
      </c>
      <c r="CD155" s="59">
        <f ca="1">AVERAGE(OFFSET($CC$3,0,0,'Données projet'!$E$12+1,1))-AVERAGE(OFFSET($H$3,0,0,'Données projet'!$E$12+1,1))</f>
        <v>328.55201074501201</v>
      </c>
      <c r="CE155" s="59">
        <f t="shared" si="148"/>
        <v>321.81422611044985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8.0450960045356457</v>
      </c>
      <c r="CL155" s="21">
        <f>EXP(-LN(2)/25)*CL154+(1-EXP(-LN(2)/25))/(LN(2)/25)*Calculateur!CG155*Calculateur!CI155*VLOOKUP('Données projet'!$B$12,Paramètres!$A$1:$I$89,3,0)*0.475*44/12</f>
        <v>0.76636636914378053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8.8114623736794258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354.24684313982857</v>
      </c>
      <c r="CZ155" s="59">
        <f t="shared" si="150"/>
        <v>322.65043486962185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34.953566436479136</v>
      </c>
      <c r="DG155" s="21">
        <f>EXP(-LN(2)/25)*DG154+(1-EXP(-LN(2)/25))/(LN(2)/25)*Calculateur!DB155*Calculateur!DD155*VLOOKUP('Données projet'!$B$13,Paramètres!$A$1:$I$89,3,0)*0.475*44/12</f>
        <v>8.2763676720196777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43.22993410849881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1.7053025658242404E-13</v>
      </c>
      <c r="DP155" s="17">
        <f>DO155*VLOOKUP('Données projet'!$B$14,Paramètres!$A$1:$I$89,3,0)*VLOOKUP('Données projet'!$B$14,Paramètres!$A$1:$I$89,5,0)</f>
        <v>1.3301360013429075E-13</v>
      </c>
      <c r="DQ155" s="13">
        <f t="shared" si="176"/>
        <v>1.9329766731057041E-12</v>
      </c>
      <c r="DR155" s="20">
        <f t="shared" si="177"/>
        <v>3.5982663925596575E-12</v>
      </c>
      <c r="DS155" s="59">
        <f t="shared" si="125"/>
        <v>293.3333333333369</v>
      </c>
      <c r="DT155" s="59">
        <f ca="1">AVERAGE(OFFSET($DS$3,0,0,'Données projet'!$E$14+1,1))-AVERAGE(OFFSET($H$3,0,0,'Données projet'!$E$14+1,1))</f>
        <v>288.80569134263209</v>
      </c>
      <c r="DU155" s="59">
        <f t="shared" si="152"/>
        <v>283.48738729114024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15.679414967180188</v>
      </c>
      <c r="EB155" s="21">
        <f>EXP(-LN(2)/25)*EB154+(1-EXP(-LN(2)/25))/(LN(2)/25)*Calculateur!DW155*Calculateur!DY155*VLOOKUP('Données projet'!$B$14,Paramètres!$A$1:$I$89,3,0)*0.475*44/12</f>
        <v>6.8300760371982969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22.509491004378486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-6.3550942286383367E-14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335.04906256888819</v>
      </c>
      <c r="EP155" s="59">
        <f t="shared" si="154"/>
        <v>440.84111898279554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33.19603107158742</v>
      </c>
      <c r="EW155" s="21">
        <f>EXP(-LN(2)/25)*EW154+(1-EXP(-LN(2)/25))/(LN(2)/25)*Calculateur!ER155*Calculateur!ET155*VLOOKUP('Données projet'!$B$15,Paramètres!$A$1:$I$89,3,0)*0.475*44/12</f>
        <v>3.9127671641974415</v>
      </c>
      <c r="EX155" s="21">
        <f>EXP(-LN(2)/2)*EX154+(1-EXP(-LN(2)/2))/(LN(2)/2)*ER155*EU155*VLOOKUP('Données projet'!$B$15,Paramètres!$A$1:$I$89,3,0)*0.475*44/12</f>
        <v>8.5818249273057349E-14</v>
      </c>
      <c r="EY155" s="22">
        <f t="shared" si="181"/>
        <v>37.108798235784946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1.7053025658242404E-13</v>
      </c>
      <c r="O156" s="13">
        <f>N156*VLOOKUP('Données projet'!$B$9,Paramètres!$A$1:$I$89,3,0)*VLOOKUP('Données projet'!$B$9,Paramètres!$A$1:$I$89,5,0)</f>
        <v>1.383341441396624E-13</v>
      </c>
      <c r="P156" s="13">
        <f t="shared" si="141"/>
        <v>2.0011390722884082E-12</v>
      </c>
      <c r="Q156" s="20">
        <f t="shared" si="162"/>
        <v>3.7262491852788889E-12</v>
      </c>
      <c r="R156" s="59">
        <f t="shared" si="109"/>
        <v>293.33333333333707</v>
      </c>
      <c r="S156" s="59">
        <f ca="1">AVERAGE(OFFSET($R$3,0,0,'Données projet'!$E$9+1,1))-AVERAGE(OFFSET($H$3,0,0,'Données projet'!$E$9+1,1))</f>
        <v>298.96480270023716</v>
      </c>
      <c r="T156" s="59">
        <f t="shared" si="142"/>
        <v>293.11447542333889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19.70469651904358</v>
      </c>
      <c r="AA156" s="21">
        <f>EXP(-LN(2)/25)*AA155+(1-EXP(-LN(2)/25))/(LN(2)/25)*Calculateur!V156*Calculateur!X156*VLOOKUP('Données projet'!$B$9,Paramètres!$A$1:$I$89,3,0)*0.475*44/12</f>
        <v>8.5157929198353575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28.220489438878936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1.9895196601282805E-13</v>
      </c>
      <c r="AJ156" s="13">
        <f>AI156*VLOOKUP('Données projet'!$B$10,Paramètres!$A$1:$I$89,3,0)*VLOOKUP('Données projet'!$B$10,Paramètres!$A$1:$I$89,5,0)</f>
        <v>1.707007868390065E-13</v>
      </c>
      <c r="AK156" s="13">
        <f t="shared" si="164"/>
        <v>2.4096578055149408E-12</v>
      </c>
      <c r="AL156" s="20">
        <f t="shared" si="165"/>
        <v>4.4941245483497909E-12</v>
      </c>
      <c r="AM156" s="59">
        <f t="shared" si="113"/>
        <v>293.33333333333781</v>
      </c>
      <c r="AN156" s="59">
        <f ca="1">AVERAGE(OFFSET($AM$3,0,0,'Données projet'!$E$10+1,1))-AVERAGE(OFFSET($H$3,0,0,'Données projet'!$E$10+1,1))</f>
        <v>335.02113791949211</v>
      </c>
      <c r="AO156" s="59">
        <f t="shared" si="144"/>
        <v>222.06886429435099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58.989032446389494</v>
      </c>
      <c r="AV156" s="21">
        <f>EXP(-LN(2)/25)*AV155+(1-EXP(-LN(2)/25))/(LN(2)/25)*Calculateur!AQ156*Calculateur!AS156*VLOOKUP('Données projet'!$B$10,Paramètres!$A$1:$I$89,3,0)*0.475*44/12</f>
        <v>30.930484572863758</v>
      </c>
      <c r="AW156" s="21">
        <f>EXP(-LN(2)/2)*AW155+(1-EXP(-LN(2)/2))/(LN(2)/2)*AQ156*AT156*VLOOKUP('Données projet'!$B$10,Paramètres!$A$1:$I$89,3,0)*0.475*44/12</f>
        <v>3.0958228338211761E-4</v>
      </c>
      <c r="AX156" s="21">
        <f t="shared" si="166"/>
        <v>89.919826601536627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-3.1036506698001178E-14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207.02306964567629</v>
      </c>
      <c r="BJ156" s="59">
        <f t="shared" si="146"/>
        <v>342.06887933351783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7.1948081815101244</v>
      </c>
      <c r="BQ156" s="21">
        <f>EXP(-LN(2)/25)*BQ155+(1-EXP(-LN(2)/25))/(LN(2)/25)*Calculateur!BL156*Calculateur!BN156*VLOOKUP('Données projet'!$B$11,Paramètres!$A$1:$I$89,3,0)*0.475*44/12</f>
        <v>6.5345526814193153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13.72936086292944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233.89079999999998</v>
      </c>
      <c r="CA156" s="13">
        <f t="shared" si="170"/>
        <v>57.123140349023068</v>
      </c>
      <c r="CB156" s="20">
        <f t="shared" si="171"/>
        <v>506.84927944121517</v>
      </c>
      <c r="CC156" s="59">
        <f t="shared" si="119"/>
        <v>800.18261277454849</v>
      </c>
      <c r="CD156" s="59">
        <f ca="1">AVERAGE(OFFSET($CC$3,0,0,'Données projet'!$E$12+1,1))-AVERAGE(OFFSET($H$3,0,0,'Données projet'!$E$12+1,1))</f>
        <v>328.55201074501201</v>
      </c>
      <c r="CE156" s="59">
        <f t="shared" si="148"/>
        <v>321.81422611044985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7.8873365789107357</v>
      </c>
      <c r="CL156" s="21">
        <f>EXP(-LN(2)/25)*CL155+(1-EXP(-LN(2)/25))/(LN(2)/25)*Calculateur!CG156*Calculateur!CI156*VLOOKUP('Données projet'!$B$12,Paramètres!$A$1:$I$89,3,0)*0.475*44/12</f>
        <v>0.74541004047808801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8.6327466193888238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354.24684313982857</v>
      </c>
      <c r="CZ156" s="59">
        <f t="shared" si="150"/>
        <v>322.65043486962185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34.268148318230175</v>
      </c>
      <c r="DG156" s="21">
        <f>EXP(-LN(2)/25)*DG155+(1-EXP(-LN(2)/25))/(LN(2)/25)*Calculateur!DB156*Calculateur!DD156*VLOOKUP('Données projet'!$B$13,Paramètres!$A$1:$I$89,3,0)*0.475*44/12</f>
        <v>8.0500499627930395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42.318198281023214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1.7053025658242404E-13</v>
      </c>
      <c r="DP156" s="17">
        <f>DO156*VLOOKUP('Données projet'!$B$14,Paramètres!$A$1:$I$89,3,0)*VLOOKUP('Données projet'!$B$14,Paramètres!$A$1:$I$89,5,0)</f>
        <v>1.3301360013429075E-13</v>
      </c>
      <c r="DQ156" s="13">
        <f t="shared" si="176"/>
        <v>1.9329766731057041E-12</v>
      </c>
      <c r="DR156" s="20">
        <f t="shared" si="177"/>
        <v>3.5982663925596575E-12</v>
      </c>
      <c r="DS156" s="59">
        <f t="shared" si="125"/>
        <v>293.3333333333369</v>
      </c>
      <c r="DT156" s="59">
        <f ca="1">AVERAGE(OFFSET($DS$3,0,0,'Données projet'!$E$14+1,1))-AVERAGE(OFFSET($H$3,0,0,'Données projet'!$E$14+1,1))</f>
        <v>288.80569134263209</v>
      </c>
      <c r="DU156" s="59">
        <f t="shared" si="152"/>
        <v>283.48738729114024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15.371951203172598</v>
      </c>
      <c r="EB156" s="21">
        <f>EXP(-LN(2)/25)*EB155+(1-EXP(-LN(2)/25))/(LN(2)/25)*Calculateur!DW156*Calculateur!DY156*VLOOKUP('Données projet'!$B$14,Paramètres!$A$1:$I$89,3,0)*0.475*44/12</f>
        <v>6.6433072487830209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22.015258451955617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-6.3550942286383367E-14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335.04906256888819</v>
      </c>
      <c r="EP156" s="59">
        <f t="shared" si="154"/>
        <v>440.84111898279554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32.545077149853263</v>
      </c>
      <c r="EW156" s="21">
        <f>EXP(-LN(2)/25)*EW155+(1-EXP(-LN(2)/25))/(LN(2)/25)*Calculateur!ER156*Calculateur!ET156*VLOOKUP('Données projet'!$B$15,Paramètres!$A$1:$I$89,3,0)*0.475*44/12</f>
        <v>3.8057723403289803</v>
      </c>
      <c r="EX156" s="21">
        <f>EXP(-LN(2)/2)*EX155+(1-EXP(-LN(2)/2))/(LN(2)/2)*ER156*EU156*VLOOKUP('Données projet'!$B$15,Paramètres!$A$1:$I$89,3,0)*0.475*44/12</f>
        <v>6.0682666010536354E-14</v>
      </c>
      <c r="EY156" s="22">
        <f t="shared" si="181"/>
        <v>36.350849490182306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1.7053025658242404E-13</v>
      </c>
      <c r="O157" s="13">
        <f>N157*VLOOKUP('Données projet'!$B$9,Paramètres!$A$1:$I$89,3,0)*VLOOKUP('Données projet'!$B$9,Paramètres!$A$1:$I$89,5,0)</f>
        <v>1.383341441396624E-13</v>
      </c>
      <c r="P157" s="13">
        <f t="shared" si="141"/>
        <v>2.0011390722884082E-12</v>
      </c>
      <c r="Q157" s="20">
        <f t="shared" si="162"/>
        <v>3.7262491852788889E-12</v>
      </c>
      <c r="R157" s="59">
        <f t="shared" si="109"/>
        <v>293.33333333333707</v>
      </c>
      <c r="S157" s="59">
        <f ca="1">AVERAGE(OFFSET($R$3,0,0,'Données projet'!$E$9+1,1))-AVERAGE(OFFSET($H$3,0,0,'Données projet'!$E$9+1,1))</f>
        <v>298.96480270023716</v>
      </c>
      <c r="T157" s="59">
        <f t="shared" si="142"/>
        <v>293.11447542333889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19.318299438983267</v>
      </c>
      <c r="AA157" s="21">
        <f>EXP(-LN(2)/25)*AA156+(1-EXP(-LN(2)/25))/(LN(2)/25)*Calculateur!V157*Calculateur!X157*VLOOKUP('Données projet'!$B$9,Paramètres!$A$1:$I$89,3,0)*0.475*44/12</f>
        <v>8.2829281146163733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27.601227553599642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1.9895196601282805E-13</v>
      </c>
      <c r="AJ157" s="13">
        <f>AI157*VLOOKUP('Données projet'!$B$10,Paramètres!$A$1:$I$89,3,0)*VLOOKUP('Données projet'!$B$10,Paramètres!$A$1:$I$89,5,0)</f>
        <v>1.707007868390065E-13</v>
      </c>
      <c r="AK157" s="13">
        <f t="shared" si="164"/>
        <v>2.4096578055149408E-12</v>
      </c>
      <c r="AL157" s="20">
        <f t="shared" si="165"/>
        <v>4.4941245483497909E-12</v>
      </c>
      <c r="AM157" s="59">
        <f t="shared" si="113"/>
        <v>293.33333333333781</v>
      </c>
      <c r="AN157" s="59">
        <f ca="1">AVERAGE(OFFSET($AM$3,0,0,'Données projet'!$E$10+1,1))-AVERAGE(OFFSET($H$3,0,0,'Données projet'!$E$10+1,1))</f>
        <v>335.02113791949211</v>
      </c>
      <c r="AO157" s="59">
        <f t="shared" si="144"/>
        <v>222.06886429435099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57.832293499872883</v>
      </c>
      <c r="AV157" s="21">
        <f>EXP(-LN(2)/25)*AV156+(1-EXP(-LN(2)/25))/(LN(2)/25)*Calculateur!AQ157*Calculateur!AS157*VLOOKUP('Données projet'!$B$10,Paramètres!$A$1:$I$89,3,0)*0.475*44/12</f>
        <v>30.084688845655307</v>
      </c>
      <c r="AW157" s="21">
        <f>EXP(-LN(2)/2)*AW156+(1-EXP(-LN(2)/2))/(LN(2)/2)*AQ157*AT157*VLOOKUP('Données projet'!$B$10,Paramètres!$A$1:$I$89,3,0)*0.475*44/12</f>
        <v>2.1890773191471079E-4</v>
      </c>
      <c r="AX157" s="21">
        <f t="shared" si="166"/>
        <v>87.917201253260117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-3.1036506698001178E-14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207.02306964567629</v>
      </c>
      <c r="BJ157" s="59">
        <f t="shared" si="146"/>
        <v>342.06887933351783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7.0537223814703829</v>
      </c>
      <c r="BQ157" s="21">
        <f>EXP(-LN(2)/25)*BQ156+(1-EXP(-LN(2)/25))/(LN(2)/25)*Calculateur!BL157*Calculateur!BN157*VLOOKUP('Données projet'!$B$11,Paramètres!$A$1:$I$89,3,0)*0.475*44/12</f>
        <v>6.3558649947087131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13.409587376179097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233.89079999999998</v>
      </c>
      <c r="CA157" s="13">
        <f t="shared" si="170"/>
        <v>57.123140349023068</v>
      </c>
      <c r="CB157" s="20">
        <f t="shared" si="171"/>
        <v>506.84927944121517</v>
      </c>
      <c r="CC157" s="59">
        <f t="shared" si="119"/>
        <v>800.18261277454849</v>
      </c>
      <c r="CD157" s="59">
        <f ca="1">AVERAGE(OFFSET($CC$3,0,0,'Données projet'!$E$12+1,1))-AVERAGE(OFFSET($H$3,0,0,'Données projet'!$E$12+1,1))</f>
        <v>328.55201074501201</v>
      </c>
      <c r="CE157" s="59">
        <f t="shared" si="148"/>
        <v>321.81422611044985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7.7326707193985822</v>
      </c>
      <c r="CL157" s="21">
        <f>EXP(-LN(2)/25)*CL156+(1-EXP(-LN(2)/25))/(LN(2)/25)*Calculateur!CG157*Calculateur!CI157*VLOOKUP('Données projet'!$B$12,Paramètres!$A$1:$I$89,3,0)*0.475*44/12</f>
        <v>0.7250267637218043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8.4576974831203859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354.24684313982857</v>
      </c>
      <c r="CZ157" s="59">
        <f t="shared" si="150"/>
        <v>322.65043486962185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33.596170831216305</v>
      </c>
      <c r="DG157" s="21">
        <f>EXP(-LN(2)/25)*DG156+(1-EXP(-LN(2)/25))/(LN(2)/25)*Calculateur!DB157*Calculateur!DD157*VLOOKUP('Données projet'!$B$13,Paramètres!$A$1:$I$89,3,0)*0.475*44/12</f>
        <v>7.8299209232267346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41.426091754443043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1.7053025658242404E-13</v>
      </c>
      <c r="DP157" s="17">
        <f>DO157*VLOOKUP('Données projet'!$B$14,Paramètres!$A$1:$I$89,3,0)*VLOOKUP('Données projet'!$B$14,Paramètres!$A$1:$I$89,5,0)</f>
        <v>1.3301360013429075E-13</v>
      </c>
      <c r="DQ157" s="13">
        <f t="shared" si="176"/>
        <v>1.9329766731057041E-12</v>
      </c>
      <c r="DR157" s="20">
        <f t="shared" si="177"/>
        <v>3.5982663925596575E-12</v>
      </c>
      <c r="DS157" s="59">
        <f t="shared" si="125"/>
        <v>293.3333333333369</v>
      </c>
      <c r="DT157" s="59">
        <f ca="1">AVERAGE(OFFSET($DS$3,0,0,'Données projet'!$E$14+1,1))-AVERAGE(OFFSET($H$3,0,0,'Données projet'!$E$14+1,1))</f>
        <v>288.80569134263209</v>
      </c>
      <c r="DU157" s="59">
        <f t="shared" si="152"/>
        <v>283.48738729114024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15.070516616042818</v>
      </c>
      <c r="EB157" s="21">
        <f>EXP(-LN(2)/25)*EB156+(1-EXP(-LN(2)/25))/(LN(2)/25)*Calculateur!DW157*Calculateur!DY157*VLOOKUP('Données projet'!$B$14,Paramètres!$A$1:$I$89,3,0)*0.475*44/12</f>
        <v>6.4616456627087047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21.532162278751521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-6.3550942286383367E-14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335.04906256888819</v>
      </c>
      <c r="EP157" s="59">
        <f t="shared" si="154"/>
        <v>440.84111898279554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31.906888037481625</v>
      </c>
      <c r="EW157" s="21">
        <f>EXP(-LN(2)/25)*EW156+(1-EXP(-LN(2)/25))/(LN(2)/25)*Calculateur!ER157*Calculateur!ET157*VLOOKUP('Données projet'!$B$15,Paramètres!$A$1:$I$89,3,0)*0.475*44/12</f>
        <v>3.7017032955458151</v>
      </c>
      <c r="EX157" s="21">
        <f>EXP(-LN(2)/2)*EX156+(1-EXP(-LN(2)/2))/(LN(2)/2)*ER157*EU157*VLOOKUP('Données projet'!$B$15,Paramètres!$A$1:$I$89,3,0)*0.475*44/12</f>
        <v>4.2909124636528675E-14</v>
      </c>
      <c r="EY157" s="22">
        <f t="shared" si="181"/>
        <v>35.608591333027483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1.7053025658242404E-13</v>
      </c>
      <c r="O158" s="13">
        <f>N158*VLOOKUP('Données projet'!$B$9,Paramètres!$A$1:$I$89,3,0)*VLOOKUP('Données projet'!$B$9,Paramètres!$A$1:$I$89,5,0)</f>
        <v>1.383341441396624E-13</v>
      </c>
      <c r="P158" s="13">
        <f t="shared" si="141"/>
        <v>2.0011390722884082E-12</v>
      </c>
      <c r="Q158" s="20">
        <f t="shared" si="162"/>
        <v>3.7262491852788889E-12</v>
      </c>
      <c r="R158" s="59">
        <f t="shared" si="109"/>
        <v>293.33333333333707</v>
      </c>
      <c r="S158" s="59">
        <f ca="1">AVERAGE(OFFSET($R$3,0,0,'Données projet'!$E$9+1,1))-AVERAGE(OFFSET($H$3,0,0,'Données projet'!$E$9+1,1))</f>
        <v>298.96480270023716</v>
      </c>
      <c r="T158" s="59">
        <f t="shared" si="142"/>
        <v>293.11447542333889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18.939479369983989</v>
      </c>
      <c r="AA158" s="21">
        <f>EXP(-LN(2)/25)*AA157+(1-EXP(-LN(2)/25))/(LN(2)/25)*Calculateur!V158*Calculateur!X158*VLOOKUP('Données projet'!$B$9,Paramètres!$A$1:$I$89,3,0)*0.475*44/12</f>
        <v>8.0564310097419298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26.99591037972592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1.9895196601282805E-13</v>
      </c>
      <c r="AJ158" s="13">
        <f>AI158*VLOOKUP('Données projet'!$B$10,Paramètres!$A$1:$I$89,3,0)*VLOOKUP('Données projet'!$B$10,Paramètres!$A$1:$I$89,5,0)</f>
        <v>1.707007868390065E-13</v>
      </c>
      <c r="AK158" s="13">
        <f t="shared" si="164"/>
        <v>2.4096578055149408E-12</v>
      </c>
      <c r="AL158" s="20">
        <f t="shared" si="165"/>
        <v>4.4941245483497909E-12</v>
      </c>
      <c r="AM158" s="59">
        <f t="shared" si="113"/>
        <v>293.33333333333781</v>
      </c>
      <c r="AN158" s="59">
        <f ca="1">AVERAGE(OFFSET($AM$3,0,0,'Données projet'!$E$10+1,1))-AVERAGE(OFFSET($H$3,0,0,'Données projet'!$E$10+1,1))</f>
        <v>335.02113791949211</v>
      </c>
      <c r="AO158" s="59">
        <f t="shared" si="144"/>
        <v>222.06886429435099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56.698237498556374</v>
      </c>
      <c r="AV158" s="21">
        <f>EXP(-LN(2)/25)*AV157+(1-EXP(-LN(2)/25))/(LN(2)/25)*Calculateur!AQ158*Calculateur!AS158*VLOOKUP('Données projet'!$B$10,Paramètres!$A$1:$I$89,3,0)*0.475*44/12</f>
        <v>29.262021447085836</v>
      </c>
      <c r="AW158" s="21">
        <f>EXP(-LN(2)/2)*AW157+(1-EXP(-LN(2)/2))/(LN(2)/2)*AQ158*AT158*VLOOKUP('Données projet'!$B$10,Paramètres!$A$1:$I$89,3,0)*0.475*44/12</f>
        <v>1.547911416910588E-4</v>
      </c>
      <c r="AX158" s="21">
        <f t="shared" si="166"/>
        <v>85.960413736783906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-3.1036506698001178E-14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207.02306964567629</v>
      </c>
      <c r="BJ158" s="59">
        <f t="shared" si="146"/>
        <v>342.06887933351783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6.9154031879155804</v>
      </c>
      <c r="BQ158" s="21">
        <f>EXP(-LN(2)/25)*BQ157+(1-EXP(-LN(2)/25))/(LN(2)/25)*Calculateur!BL158*Calculateur!BN158*VLOOKUP('Données projet'!$B$11,Paramètres!$A$1:$I$89,3,0)*0.475*44/12</f>
        <v>6.18206353218799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13.09746672010357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233.89079999999998</v>
      </c>
      <c r="CA158" s="13">
        <f t="shared" si="170"/>
        <v>57.123140349023068</v>
      </c>
      <c r="CB158" s="20">
        <f t="shared" si="171"/>
        <v>506.84927944121517</v>
      </c>
      <c r="CC158" s="59">
        <f t="shared" si="119"/>
        <v>800.18261277454849</v>
      </c>
      <c r="CD158" s="59">
        <f ca="1">AVERAGE(OFFSET($CC$3,0,0,'Données projet'!$E$12+1,1))-AVERAGE(OFFSET($H$3,0,0,'Données projet'!$E$12+1,1))</f>
        <v>328.55201074501201</v>
      </c>
      <c r="CE158" s="59">
        <f t="shared" si="148"/>
        <v>321.81422611044985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7.5810377630546029</v>
      </c>
      <c r="CL158" s="21">
        <f>EXP(-LN(2)/25)*CL157+(1-EXP(-LN(2)/25))/(LN(2)/25)*Calculateur!CG158*Calculateur!CI158*VLOOKUP('Données projet'!$B$12,Paramètres!$A$1:$I$89,3,0)*0.475*44/12</f>
        <v>0.70520086874033117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8.2862386317949337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354.24684313982857</v>
      </c>
      <c r="CZ158" s="59">
        <f t="shared" si="150"/>
        <v>322.65043486962185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32.937370412856978</v>
      </c>
      <c r="DG158" s="21">
        <f>EXP(-LN(2)/25)*DG157+(1-EXP(-LN(2)/25))/(LN(2)/25)*Calculateur!DB158*Calculateur!DD158*VLOOKUP('Données projet'!$B$13,Paramètres!$A$1:$I$89,3,0)*0.475*44/12</f>
        <v>7.6158113238234542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40.553181736680429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1.7053025658242404E-13</v>
      </c>
      <c r="DP158" s="17">
        <f>DO158*VLOOKUP('Données projet'!$B$14,Paramètres!$A$1:$I$89,3,0)*VLOOKUP('Données projet'!$B$14,Paramètres!$A$1:$I$89,5,0)</f>
        <v>1.3301360013429075E-13</v>
      </c>
      <c r="DQ158" s="13">
        <f t="shared" si="176"/>
        <v>1.9329766731057041E-12</v>
      </c>
      <c r="DR158" s="20">
        <f t="shared" si="177"/>
        <v>3.5982663925596575E-12</v>
      </c>
      <c r="DS158" s="59">
        <f t="shared" si="125"/>
        <v>293.3333333333369</v>
      </c>
      <c r="DT158" s="59">
        <f ca="1">AVERAGE(OFFSET($DS$3,0,0,'Données projet'!$E$14+1,1))-AVERAGE(OFFSET($H$3,0,0,'Données projet'!$E$14+1,1))</f>
        <v>288.80569134263209</v>
      </c>
      <c r="DU158" s="59">
        <f t="shared" si="152"/>
        <v>283.48738729114024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14.77499297730971</v>
      </c>
      <c r="EB158" s="21">
        <f>EXP(-LN(2)/25)*EB157+(1-EXP(-LN(2)/25))/(LN(2)/25)*Calculateur!DW158*Calculateur!DY158*VLOOKUP('Données projet'!$B$14,Paramètres!$A$1:$I$89,3,0)*0.475*44/12</f>
        <v>6.2849516222587578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21.059944599568468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-6.3550942286383367E-14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335.04906256888819</v>
      </c>
      <c r="EP158" s="59">
        <f t="shared" si="154"/>
        <v>440.84111898279554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31.281213424346671</v>
      </c>
      <c r="EW158" s="21">
        <f>EXP(-LN(2)/25)*EW157+(1-EXP(-LN(2)/25))/(LN(2)/25)*Calculateur!ER158*Calculateur!ET158*VLOOKUP('Données projet'!$B$15,Paramètres!$A$1:$I$89,3,0)*0.475*44/12</f>
        <v>3.600480024264999</v>
      </c>
      <c r="EX158" s="21">
        <f>EXP(-LN(2)/2)*EX157+(1-EXP(-LN(2)/2))/(LN(2)/2)*ER158*EU158*VLOOKUP('Données projet'!$B$15,Paramètres!$A$1:$I$89,3,0)*0.475*44/12</f>
        <v>3.0341333005268177E-14</v>
      </c>
      <c r="EY158" s="22">
        <f t="shared" si="181"/>
        <v>34.881693448611699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1.7053025658242404E-13</v>
      </c>
      <c r="O159" s="13">
        <f>N159*VLOOKUP('Données projet'!$B$9,Paramètres!$A$1:$I$89,3,0)*VLOOKUP('Données projet'!$B$9,Paramètres!$A$1:$I$89,5,0)</f>
        <v>1.383341441396624E-13</v>
      </c>
      <c r="P159" s="13">
        <f t="shared" si="141"/>
        <v>2.0011390722884082E-12</v>
      </c>
      <c r="Q159" s="20">
        <f t="shared" si="162"/>
        <v>3.7262491852788889E-12</v>
      </c>
      <c r="R159" s="59">
        <f t="shared" si="109"/>
        <v>293.33333333333707</v>
      </c>
      <c r="S159" s="59">
        <f ca="1">AVERAGE(OFFSET($R$3,0,0,'Données projet'!$E$9+1,1))-AVERAGE(OFFSET($H$3,0,0,'Données projet'!$E$9+1,1))</f>
        <v>298.96480270023716</v>
      </c>
      <c r="T159" s="59">
        <f t="shared" si="142"/>
        <v>293.11447542333889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18.568087731480357</v>
      </c>
      <c r="AA159" s="21">
        <f>EXP(-LN(2)/25)*AA158+(1-EXP(-LN(2)/25))/(LN(2)/25)*Calculateur!V159*Calculateur!X159*VLOOKUP('Données projet'!$B$9,Paramètres!$A$1:$I$89,3,0)*0.475*44/12</f>
        <v>7.8361274801112435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26.404215211591602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1.9895196601282805E-13</v>
      </c>
      <c r="AJ159" s="13">
        <f>AI159*VLOOKUP('Données projet'!$B$10,Paramètres!$A$1:$I$89,3,0)*VLOOKUP('Données projet'!$B$10,Paramètres!$A$1:$I$89,5,0)</f>
        <v>1.707007868390065E-13</v>
      </c>
      <c r="AK159" s="13">
        <f t="shared" si="164"/>
        <v>2.4096578055149408E-12</v>
      </c>
      <c r="AL159" s="20">
        <f t="shared" si="165"/>
        <v>4.4941245483497909E-12</v>
      </c>
      <c r="AM159" s="59">
        <f t="shared" si="113"/>
        <v>293.33333333333781</v>
      </c>
      <c r="AN159" s="59">
        <f ca="1">AVERAGE(OFFSET($AM$3,0,0,'Données projet'!$E$10+1,1))-AVERAGE(OFFSET($H$3,0,0,'Données projet'!$E$10+1,1))</f>
        <v>335.02113791949211</v>
      </c>
      <c r="AO159" s="59">
        <f t="shared" si="144"/>
        <v>222.06886429435099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55.586419643719815</v>
      </c>
      <c r="AV159" s="21">
        <f>EXP(-LN(2)/25)*AV158+(1-EXP(-LN(2)/25))/(LN(2)/25)*Calculateur!AQ159*Calculateur!AS159*VLOOKUP('Données projet'!$B$10,Paramètres!$A$1:$I$89,3,0)*0.475*44/12</f>
        <v>28.461849931792443</v>
      </c>
      <c r="AW159" s="21">
        <f>EXP(-LN(2)/2)*AW158+(1-EXP(-LN(2)/2))/(LN(2)/2)*AQ159*AT159*VLOOKUP('Données projet'!$B$10,Paramètres!$A$1:$I$89,3,0)*0.475*44/12</f>
        <v>1.0945386595735539E-4</v>
      </c>
      <c r="AX159" s="21">
        <f t="shared" si="166"/>
        <v>84.048379029378211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-3.1036506698001178E-14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207.02306964567629</v>
      </c>
      <c r="BJ159" s="59">
        <f t="shared" si="146"/>
        <v>342.06887933351783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6.7797963493800095</v>
      </c>
      <c r="BQ159" s="21">
        <f>EXP(-LN(2)/25)*BQ158+(1-EXP(-LN(2)/25))/(LN(2)/25)*Calculateur!BL159*Calculateur!BN159*VLOOKUP('Données projet'!$B$11,Paramètres!$A$1:$I$89,3,0)*0.475*44/12</f>
        <v>6.0130146797997179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12.792811029179727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233.89079999999998</v>
      </c>
      <c r="CA159" s="13">
        <f t="shared" si="170"/>
        <v>57.123140349023068</v>
      </c>
      <c r="CB159" s="20">
        <f t="shared" si="171"/>
        <v>506.84927944121517</v>
      </c>
      <c r="CC159" s="59">
        <f t="shared" si="119"/>
        <v>800.18261277454849</v>
      </c>
      <c r="CD159" s="59">
        <f ca="1">AVERAGE(OFFSET($CC$3,0,0,'Données projet'!$E$12+1,1))-AVERAGE(OFFSET($H$3,0,0,'Données projet'!$E$12+1,1))</f>
        <v>328.55201074501201</v>
      </c>
      <c r="CE159" s="59">
        <f t="shared" si="148"/>
        <v>321.81422611044985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7.4323782364975575</v>
      </c>
      <c r="CL159" s="21">
        <f>EXP(-LN(2)/25)*CL158+(1-EXP(-LN(2)/25))/(LN(2)/25)*Calculateur!CG159*Calculateur!CI159*VLOOKUP('Données projet'!$B$12,Paramètres!$A$1:$I$89,3,0)*0.475*44/12</f>
        <v>0.68591711389972487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8.1182953503972826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354.24684313982857</v>
      </c>
      <c r="CZ159" s="59">
        <f t="shared" si="150"/>
        <v>322.65043486962185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32.2914886688731</v>
      </c>
      <c r="DG159" s="21">
        <f>EXP(-LN(2)/25)*DG158+(1-EXP(-LN(2)/25))/(LN(2)/25)*Calculateur!DB159*Calculateur!DD159*VLOOKUP('Données projet'!$B$13,Paramètres!$A$1:$I$89,3,0)*0.475*44/12</f>
        <v>7.4075565626753903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39.699045231548489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1.7053025658242404E-13</v>
      </c>
      <c r="DP159" s="17">
        <f>DO159*VLOOKUP('Données projet'!$B$14,Paramètres!$A$1:$I$89,3,0)*VLOOKUP('Données projet'!$B$14,Paramètres!$A$1:$I$89,5,0)</f>
        <v>1.3301360013429075E-13</v>
      </c>
      <c r="DQ159" s="13">
        <f t="shared" si="176"/>
        <v>1.9329766731057041E-12</v>
      </c>
      <c r="DR159" s="20">
        <f t="shared" si="177"/>
        <v>3.5982663925596575E-12</v>
      </c>
      <c r="DS159" s="59">
        <f t="shared" si="125"/>
        <v>293.3333333333369</v>
      </c>
      <c r="DT159" s="59">
        <f ca="1">AVERAGE(OFFSET($DS$3,0,0,'Données projet'!$E$14+1,1))-AVERAGE(OFFSET($H$3,0,0,'Données projet'!$E$14+1,1))</f>
        <v>288.80569134263209</v>
      </c>
      <c r="DU159" s="59">
        <f t="shared" si="152"/>
        <v>283.48738729114024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14.485264376880536</v>
      </c>
      <c r="EB159" s="21">
        <f>EXP(-LN(2)/25)*EB158+(1-EXP(-LN(2)/25))/(LN(2)/25)*Calculateur!DW159*Calculateur!DY159*VLOOKUP('Données projet'!$B$14,Paramètres!$A$1:$I$89,3,0)*0.475*44/12</f>
        <v>6.1130892896368509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20.598353666517387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-6.3550942286383367E-14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335.04906256888819</v>
      </c>
      <c r="EP159" s="59">
        <f t="shared" si="154"/>
        <v>440.84111898279554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30.667807908751463</v>
      </c>
      <c r="EW159" s="21">
        <f>EXP(-LN(2)/25)*EW158+(1-EXP(-LN(2)/25))/(LN(2)/25)*Calculateur!ER159*Calculateur!ET159*VLOOKUP('Données projet'!$B$15,Paramètres!$A$1:$I$89,3,0)*0.475*44/12</f>
        <v>3.502024708660457</v>
      </c>
      <c r="EX159" s="21">
        <f>EXP(-LN(2)/2)*EX158+(1-EXP(-LN(2)/2))/(LN(2)/2)*ER159*EU159*VLOOKUP('Données projet'!$B$15,Paramètres!$A$1:$I$89,3,0)*0.475*44/12</f>
        <v>2.1454562318264337E-14</v>
      </c>
      <c r="EY159" s="22">
        <f t="shared" si="181"/>
        <v>34.169832617411942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1.7053025658242404E-13</v>
      </c>
      <c r="O160" s="13">
        <f>N160*VLOOKUP('Données projet'!$B$9,Paramètres!$A$1:$I$89,3,0)*VLOOKUP('Données projet'!$B$9,Paramètres!$A$1:$I$89,5,0)</f>
        <v>1.383341441396624E-13</v>
      </c>
      <c r="P160" s="13">
        <f t="shared" si="141"/>
        <v>2.0011390722884082E-12</v>
      </c>
      <c r="Q160" s="20">
        <f t="shared" si="162"/>
        <v>3.7262491852788889E-12</v>
      </c>
      <c r="R160" s="59">
        <f t="shared" si="109"/>
        <v>293.33333333333707</v>
      </c>
      <c r="S160" s="59">
        <f ca="1">AVERAGE(OFFSET($R$3,0,0,'Données projet'!$E$9+1,1))-AVERAGE(OFFSET($H$3,0,0,'Données projet'!$E$9+1,1))</f>
        <v>298.96480270023716</v>
      </c>
      <c r="T160" s="59">
        <f t="shared" si="142"/>
        <v>293.11447542333889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18.203978856481253</v>
      </c>
      <c r="AA160" s="21">
        <f>EXP(-LN(2)/25)*AA159+(1-EXP(-LN(2)/25))/(LN(2)/25)*Calculateur!V160*Calculateur!X160*VLOOKUP('Données projet'!$B$9,Paramètres!$A$1:$I$89,3,0)*0.475*44/12</f>
        <v>7.621848162083567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25.825827018564819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1.9895196601282805E-13</v>
      </c>
      <c r="AJ160" s="13">
        <f>AI160*VLOOKUP('Données projet'!$B$10,Paramètres!$A$1:$I$89,3,0)*VLOOKUP('Données projet'!$B$10,Paramètres!$A$1:$I$89,5,0)</f>
        <v>1.707007868390065E-13</v>
      </c>
      <c r="AK160" s="13">
        <f t="shared" si="164"/>
        <v>2.4096578055149408E-12</v>
      </c>
      <c r="AL160" s="20">
        <f t="shared" si="165"/>
        <v>4.4941245483497909E-12</v>
      </c>
      <c r="AM160" s="59">
        <f t="shared" si="113"/>
        <v>293.33333333333781</v>
      </c>
      <c r="AN160" s="59">
        <f ca="1">AVERAGE(OFFSET($AM$3,0,0,'Données projet'!$E$10+1,1))-AVERAGE(OFFSET($H$3,0,0,'Données projet'!$E$10+1,1))</f>
        <v>335.02113791949211</v>
      </c>
      <c r="AO160" s="59">
        <f t="shared" si="144"/>
        <v>222.06886429435099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54.496403858874672</v>
      </c>
      <c r="AV160" s="21">
        <f>EXP(-LN(2)/25)*AV159+(1-EXP(-LN(2)/25))/(LN(2)/25)*Calculateur!AQ160*Calculateur!AS160*VLOOKUP('Données projet'!$B$10,Paramètres!$A$1:$I$89,3,0)*0.475*44/12</f>
        <v>27.683559148663942</v>
      </c>
      <c r="AW160" s="21">
        <f>EXP(-LN(2)/2)*AW159+(1-EXP(-LN(2)/2))/(LN(2)/2)*AQ160*AT160*VLOOKUP('Données projet'!$B$10,Paramètres!$A$1:$I$89,3,0)*0.475*44/12</f>
        <v>7.7395570845529402E-5</v>
      </c>
      <c r="AX160" s="21">
        <f t="shared" si="166"/>
        <v>82.180040403109459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-3.1036506698001178E-14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207.02306964567629</v>
      </c>
      <c r="BJ160" s="59">
        <f t="shared" si="146"/>
        <v>342.06887933351783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6.6468486782361165</v>
      </c>
      <c r="BQ160" s="21">
        <f>EXP(-LN(2)/25)*BQ159+(1-EXP(-LN(2)/25))/(LN(2)/25)*Calculateur!BL160*Calculateur!BN160*VLOOKUP('Données projet'!$B$11,Paramètres!$A$1:$I$89,3,0)*0.475*44/12</f>
        <v>5.8485884771698959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12.495437155406012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233.89079999999998</v>
      </c>
      <c r="CA160" s="13">
        <f t="shared" si="170"/>
        <v>57.123140349023068</v>
      </c>
      <c r="CB160" s="20">
        <f t="shared" si="171"/>
        <v>506.84927944121517</v>
      </c>
      <c r="CC160" s="59">
        <f t="shared" si="119"/>
        <v>800.18261277454849</v>
      </c>
      <c r="CD160" s="59">
        <f ca="1">AVERAGE(OFFSET($CC$3,0,0,'Données projet'!$E$12+1,1))-AVERAGE(OFFSET($H$3,0,0,'Données projet'!$E$12+1,1))</f>
        <v>328.55201074501201</v>
      </c>
      <c r="CE160" s="59">
        <f t="shared" si="148"/>
        <v>321.81422611044985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7.2866338325829378</v>
      </c>
      <c r="CL160" s="21">
        <f>EXP(-LN(2)/25)*CL159+(1-EXP(-LN(2)/25))/(LN(2)/25)*Calculateur!CG160*Calculateur!CI160*VLOOKUP('Données projet'!$B$12,Paramètres!$A$1:$I$89,3,0)*0.475*44/12</f>
        <v>0.66716067434932358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7.9537945069322618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354.24684313982857</v>
      </c>
      <c r="CZ160" s="59">
        <f t="shared" si="150"/>
        <v>322.65043486962185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31.658272271939783</v>
      </c>
      <c r="DG160" s="21">
        <f>EXP(-LN(2)/25)*DG159+(1-EXP(-LN(2)/25))/(LN(2)/25)*Calculateur!DB160*Calculateur!DD160*VLOOKUP('Données projet'!$B$13,Paramètres!$A$1:$I$89,3,0)*0.475*44/12</f>
        <v>7.2049965389225621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38.863268810862344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1.7053025658242404E-13</v>
      </c>
      <c r="DP160" s="17">
        <f>DO160*VLOOKUP('Données projet'!$B$14,Paramètres!$A$1:$I$89,3,0)*VLOOKUP('Données projet'!$B$14,Paramètres!$A$1:$I$89,5,0)</f>
        <v>1.3301360013429075E-13</v>
      </c>
      <c r="DQ160" s="13">
        <f t="shared" si="176"/>
        <v>1.9329766731057041E-12</v>
      </c>
      <c r="DR160" s="20">
        <f t="shared" si="177"/>
        <v>3.5982663925596575E-12</v>
      </c>
      <c r="DS160" s="59">
        <f t="shared" si="125"/>
        <v>293.3333333333369</v>
      </c>
      <c r="DT160" s="59">
        <f ca="1">AVERAGE(OFFSET($DS$3,0,0,'Données projet'!$E$14+1,1))-AVERAGE(OFFSET($H$3,0,0,'Données projet'!$E$14+1,1))</f>
        <v>288.80569134263209</v>
      </c>
      <c r="DU160" s="59">
        <f t="shared" si="152"/>
        <v>283.48738729114024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14.201217177588781</v>
      </c>
      <c r="EB160" s="21">
        <f>EXP(-LN(2)/25)*EB159+(1-EXP(-LN(2)/25))/(LN(2)/25)*Calculateur!DW160*Calculateur!DY160*VLOOKUP('Données projet'!$B$14,Paramètres!$A$1:$I$89,3,0)*0.475*44/12</f>
        <v>5.9459265415383369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20.147143719127119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-6.3550942286383367E-14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335.04906256888819</v>
      </c>
      <c r="EP160" s="59">
        <f t="shared" si="154"/>
        <v>440.84111898279554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30.066430901176656</v>
      </c>
      <c r="EW160" s="21">
        <f>EXP(-LN(2)/25)*EW159+(1-EXP(-LN(2)/25))/(LN(2)/25)*Calculateur!ER160*Calculateur!ET160*VLOOKUP('Données projet'!$B$15,Paramètres!$A$1:$I$89,3,0)*0.475*44/12</f>
        <v>3.4062616588386612</v>
      </c>
      <c r="EX160" s="21">
        <f>EXP(-LN(2)/2)*EX159+(1-EXP(-LN(2)/2))/(LN(2)/2)*ER160*EU160*VLOOKUP('Données projet'!$B$15,Paramètres!$A$1:$I$89,3,0)*0.475*44/12</f>
        <v>1.5170666502634088E-14</v>
      </c>
      <c r="EY160" s="22">
        <f t="shared" si="181"/>
        <v>33.472692560015332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1.7053025658242404E-13</v>
      </c>
      <c r="O161" s="13">
        <f>N161*VLOOKUP('Données projet'!$B$9,Paramètres!$A$1:$I$89,3,0)*VLOOKUP('Données projet'!$B$9,Paramètres!$A$1:$I$89,5,0)</f>
        <v>1.383341441396624E-13</v>
      </c>
      <c r="P161" s="13">
        <f t="shared" si="141"/>
        <v>2.0011390722884082E-12</v>
      </c>
      <c r="Q161" s="20">
        <f t="shared" si="162"/>
        <v>3.7262491852788889E-12</v>
      </c>
      <c r="R161" s="59">
        <f t="shared" si="109"/>
        <v>293.33333333333707</v>
      </c>
      <c r="S161" s="59">
        <f ca="1">AVERAGE(OFFSET($R$3,0,0,'Données projet'!$E$9+1,1))-AVERAGE(OFFSET($H$3,0,0,'Données projet'!$E$9+1,1))</f>
        <v>298.96480270023716</v>
      </c>
      <c r="T161" s="59">
        <f t="shared" si="142"/>
        <v>293.11447542333889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17.847009934436397</v>
      </c>
      <c r="AA161" s="21">
        <f>EXP(-LN(2)/25)*AA160+(1-EXP(-LN(2)/25))/(LN(2)/25)*Calculateur!V161*Calculateur!X161*VLOOKUP('Données projet'!$B$9,Paramètres!$A$1:$I$89,3,0)*0.475*44/12</f>
        <v>7.4134283232758174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25.260438257712213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1.9895196601282805E-13</v>
      </c>
      <c r="AJ161" s="13">
        <f>AI161*VLOOKUP('Données projet'!$B$10,Paramètres!$A$1:$I$89,3,0)*VLOOKUP('Données projet'!$B$10,Paramètres!$A$1:$I$89,5,0)</f>
        <v>1.707007868390065E-13</v>
      </c>
      <c r="AK161" s="13">
        <f t="shared" si="164"/>
        <v>2.4096578055149408E-12</v>
      </c>
      <c r="AL161" s="20">
        <f t="shared" si="165"/>
        <v>4.4941245483497909E-12</v>
      </c>
      <c r="AM161" s="59">
        <f t="shared" si="113"/>
        <v>293.33333333333781</v>
      </c>
      <c r="AN161" s="59">
        <f ca="1">AVERAGE(OFFSET($AM$3,0,0,'Données projet'!$E$10+1,1))-AVERAGE(OFFSET($H$3,0,0,'Données projet'!$E$10+1,1))</f>
        <v>335.02113791949211</v>
      </c>
      <c r="AO161" s="59">
        <f t="shared" si="144"/>
        <v>222.06886429435099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53.427762618726362</v>
      </c>
      <c r="AV161" s="21">
        <f>EXP(-LN(2)/25)*AV160+(1-EXP(-LN(2)/25))/(LN(2)/25)*Calculateur!AQ161*Calculateur!AS161*VLOOKUP('Données projet'!$B$10,Paramètres!$A$1:$I$89,3,0)*0.475*44/12</f>
        <v>26.926550767928624</v>
      </c>
      <c r="AW161" s="21">
        <f>EXP(-LN(2)/2)*AW160+(1-EXP(-LN(2)/2))/(LN(2)/2)*AQ161*AT161*VLOOKUP('Données projet'!$B$10,Paramètres!$A$1:$I$89,3,0)*0.475*44/12</f>
        <v>5.4726932978677697E-5</v>
      </c>
      <c r="AX161" s="21">
        <f t="shared" si="166"/>
        <v>80.354368113587952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-3.1036506698001178E-14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207.02306964567629</v>
      </c>
      <c r="BJ161" s="59">
        <f t="shared" si="146"/>
        <v>342.06887933351783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6.5165080298332834</v>
      </c>
      <c r="BQ161" s="21">
        <f>EXP(-LN(2)/25)*BQ160+(1-EXP(-LN(2)/25))/(LN(2)/25)*Calculateur!BL161*Calculateur!BN161*VLOOKUP('Données projet'!$B$11,Paramètres!$A$1:$I$89,3,0)*0.475*44/12</f>
        <v>5.6886585176977844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12.205166547531068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233.89079999999998</v>
      </c>
      <c r="CA161" s="13">
        <f t="shared" si="170"/>
        <v>57.123140349023068</v>
      </c>
      <c r="CB161" s="20">
        <f t="shared" si="171"/>
        <v>506.84927944121517</v>
      </c>
      <c r="CC161" s="59">
        <f t="shared" si="119"/>
        <v>800.18261277454849</v>
      </c>
      <c r="CD161" s="59">
        <f ca="1">AVERAGE(OFFSET($CC$3,0,0,'Données projet'!$E$12+1,1))-AVERAGE(OFFSET($H$3,0,0,'Données projet'!$E$12+1,1))</f>
        <v>328.55201074501201</v>
      </c>
      <c r="CE161" s="59">
        <f t="shared" si="148"/>
        <v>321.81422611044985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7.1437473875337751</v>
      </c>
      <c r="CL161" s="21">
        <f>EXP(-LN(2)/25)*CL160+(1-EXP(-LN(2)/25))/(LN(2)/25)*Calculateur!CG161*Calculateur!CI161*VLOOKUP('Données projet'!$B$12,Paramètres!$A$1:$I$89,3,0)*0.475*44/12</f>
        <v>0.64891713062478629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7.7926645181585616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354.24684313982857</v>
      </c>
      <c r="CZ161" s="59">
        <f t="shared" si="150"/>
        <v>322.65043486962185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31.03747286232646</v>
      </c>
      <c r="DG161" s="21">
        <f>EXP(-LN(2)/25)*DG160+(1-EXP(-LN(2)/25))/(LN(2)/25)*Calculateur!DB161*Calculateur!DD161*VLOOKUP('Données projet'!$B$13,Paramètres!$A$1:$I$89,3,0)*0.475*44/12</f>
        <v>7.0079755296714241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38.045448391997887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1.7053025658242404E-13</v>
      </c>
      <c r="DP161" s="17">
        <f>DO161*VLOOKUP('Données projet'!$B$14,Paramètres!$A$1:$I$89,3,0)*VLOOKUP('Données projet'!$B$14,Paramètres!$A$1:$I$89,5,0)</f>
        <v>1.3301360013429075E-13</v>
      </c>
      <c r="DQ161" s="13">
        <f t="shared" si="176"/>
        <v>1.9329766731057041E-12</v>
      </c>
      <c r="DR161" s="20">
        <f t="shared" si="177"/>
        <v>3.5982663925596575E-12</v>
      </c>
      <c r="DS161" s="59">
        <f t="shared" si="125"/>
        <v>293.3333333333369</v>
      </c>
      <c r="DT161" s="59">
        <f ca="1">AVERAGE(OFFSET($DS$3,0,0,'Données projet'!$E$14+1,1))-AVERAGE(OFFSET($H$3,0,0,'Données projet'!$E$14+1,1))</f>
        <v>288.80569134263209</v>
      </c>
      <c r="DU161" s="59">
        <f t="shared" si="152"/>
        <v>283.48738729114024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13.922739970623454</v>
      </c>
      <c r="EB161" s="21">
        <f>EXP(-LN(2)/25)*EB160+(1-EXP(-LN(2)/25))/(LN(2)/25)*Calculateur!DW161*Calculateur!DY161*VLOOKUP('Données projet'!$B$14,Paramètres!$A$1:$I$89,3,0)*0.475*44/12</f>
        <v>5.7833348675772838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19.706074838200738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-6.3550942286383367E-14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335.04906256888819</v>
      </c>
      <c r="EP161" s="59">
        <f t="shared" si="154"/>
        <v>440.84111898279554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29.476846529916635</v>
      </c>
      <c r="EW161" s="21">
        <f>EXP(-LN(2)/25)*EW160+(1-EXP(-LN(2)/25))/(LN(2)/25)*Calculateur!ER161*Calculateur!ET161*VLOOKUP('Données projet'!$B$15,Paramètres!$A$1:$I$89,3,0)*0.475*44/12</f>
        <v>3.3131172546502023</v>
      </c>
      <c r="EX161" s="21">
        <f>EXP(-LN(2)/2)*EX160+(1-EXP(-LN(2)/2))/(LN(2)/2)*ER161*EU161*VLOOKUP('Données projet'!$B$15,Paramètres!$A$1:$I$89,3,0)*0.475*44/12</f>
        <v>1.0727281159132169E-14</v>
      </c>
      <c r="EY161" s="22">
        <f t="shared" si="181"/>
        <v>32.789963784566851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1.7053025658242404E-13</v>
      </c>
      <c r="O162" s="13">
        <f>N162*VLOOKUP('Données projet'!$B$9,Paramètres!$A$1:$I$89,3,0)*VLOOKUP('Données projet'!$B$9,Paramètres!$A$1:$I$89,5,0)</f>
        <v>1.383341441396624E-13</v>
      </c>
      <c r="P162" s="13">
        <f t="shared" si="141"/>
        <v>2.0011390722884082E-12</v>
      </c>
      <c r="Q162" s="20">
        <f t="shared" si="162"/>
        <v>3.7262491852788889E-12</v>
      </c>
      <c r="R162" s="59">
        <f t="shared" si="109"/>
        <v>293.33333333333707</v>
      </c>
      <c r="S162" s="59">
        <f ca="1">AVERAGE(OFFSET($R$3,0,0,'Données projet'!$E$9+1,1))-AVERAGE(OFFSET($H$3,0,0,'Données projet'!$E$9+1,1))</f>
        <v>298.96480270023716</v>
      </c>
      <c r="T162" s="59">
        <f t="shared" si="142"/>
        <v>293.11447542333889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17.497040955223294</v>
      </c>
      <c r="AA162" s="21">
        <f>EXP(-LN(2)/25)*AA161+(1-EXP(-LN(2)/25))/(LN(2)/25)*Calculateur!V162*Calculateur!X162*VLOOKUP('Données projet'!$B$9,Paramètres!$A$1:$I$89,3,0)*0.475*44/12</f>
        <v>7.2107077359205887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24.707748691143884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1.9895196601282805E-13</v>
      </c>
      <c r="AJ162" s="13">
        <f>AI162*VLOOKUP('Données projet'!$B$10,Paramètres!$A$1:$I$89,3,0)*VLOOKUP('Données projet'!$B$10,Paramètres!$A$1:$I$89,5,0)</f>
        <v>1.707007868390065E-13</v>
      </c>
      <c r="AK162" s="13">
        <f t="shared" si="164"/>
        <v>2.4096578055149408E-12</v>
      </c>
      <c r="AL162" s="20">
        <f t="shared" si="165"/>
        <v>4.4941245483497909E-12</v>
      </c>
      <c r="AM162" s="59">
        <f t="shared" si="113"/>
        <v>293.33333333333781</v>
      </c>
      <c r="AN162" s="59">
        <f ca="1">AVERAGE(OFFSET($AM$3,0,0,'Données projet'!$E$10+1,1))-AVERAGE(OFFSET($H$3,0,0,'Données projet'!$E$10+1,1))</f>
        <v>335.02113791949211</v>
      </c>
      <c r="AO162" s="59">
        <f t="shared" si="144"/>
        <v>222.06886429435099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52.380076781490565</v>
      </c>
      <c r="AV162" s="21">
        <f>EXP(-LN(2)/25)*AV161+(1-EXP(-LN(2)/25))/(LN(2)/25)*Calculateur!AQ162*Calculateur!AS162*VLOOKUP('Données projet'!$B$10,Paramètres!$A$1:$I$89,3,0)*0.475*44/12</f>
        <v>26.190242821173854</v>
      </c>
      <c r="AW162" s="21">
        <f>EXP(-LN(2)/2)*AW161+(1-EXP(-LN(2)/2))/(LN(2)/2)*AQ162*AT162*VLOOKUP('Données projet'!$B$10,Paramètres!$A$1:$I$89,3,0)*0.475*44/12</f>
        <v>3.8697785422764701E-5</v>
      </c>
      <c r="AX162" s="21">
        <f t="shared" si="166"/>
        <v>78.570358300449854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-3.1036506698001178E-14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207.02306964567629</v>
      </c>
      <c r="BJ162" s="59">
        <f t="shared" si="146"/>
        <v>342.06887933351783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6.3887232820456843</v>
      </c>
      <c r="BQ162" s="21">
        <f>EXP(-LN(2)/25)*BQ161+(1-EXP(-LN(2)/25))/(LN(2)/25)*Calculateur!BL162*Calculateur!BN162*VLOOKUP('Données projet'!$B$11,Paramètres!$A$1:$I$89,3,0)*0.475*44/12</f>
        <v>5.533101851377789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11.921825133423473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233.89079999999998</v>
      </c>
      <c r="CA162" s="13">
        <f t="shared" si="170"/>
        <v>57.123140349023068</v>
      </c>
      <c r="CB162" s="20">
        <f t="shared" si="171"/>
        <v>506.84927944121517</v>
      </c>
      <c r="CC162" s="59">
        <f t="shared" si="119"/>
        <v>800.18261277454849</v>
      </c>
      <c r="CD162" s="59">
        <f ca="1">AVERAGE(OFFSET($CC$3,0,0,'Données projet'!$E$12+1,1))-AVERAGE(OFFSET($H$3,0,0,'Données projet'!$E$12+1,1))</f>
        <v>328.55201074501201</v>
      </c>
      <c r="CE162" s="59">
        <f t="shared" si="148"/>
        <v>321.81422611044985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7.0036628585199008</v>
      </c>
      <c r="CL162" s="21">
        <f>EXP(-LN(2)/25)*CL161+(1-EXP(-LN(2)/25))/(LN(2)/25)*Calculateur!CG162*Calculateur!CI162*VLOOKUP('Données projet'!$B$12,Paramètres!$A$1:$I$89,3,0)*0.475*44/12</f>
        <v>0.63117245756278273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7.6348353160826834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354.24684313982857</v>
      </c>
      <c r="CZ162" s="59">
        <f t="shared" si="150"/>
        <v>322.65043486962185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30.428846950485404</v>
      </c>
      <c r="DG162" s="21">
        <f>EXP(-LN(2)/25)*DG161+(1-EXP(-LN(2)/25))/(LN(2)/25)*Calculateur!DB162*Calculateur!DD162*VLOOKUP('Données projet'!$B$13,Paramètres!$A$1:$I$89,3,0)*0.475*44/12</f>
        <v>6.8163420702791431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37.245189020764549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1.7053025658242404E-13</v>
      </c>
      <c r="DP162" s="17">
        <f>DO162*VLOOKUP('Données projet'!$B$14,Paramètres!$A$1:$I$89,3,0)*VLOOKUP('Données projet'!$B$14,Paramètres!$A$1:$I$89,5,0)</f>
        <v>1.3301360013429075E-13</v>
      </c>
      <c r="DQ162" s="13">
        <f t="shared" si="176"/>
        <v>1.9329766731057041E-12</v>
      </c>
      <c r="DR162" s="20">
        <f t="shared" si="177"/>
        <v>3.5982663925596575E-12</v>
      </c>
      <c r="DS162" s="59">
        <f t="shared" si="125"/>
        <v>293.3333333333369</v>
      </c>
      <c r="DT162" s="59">
        <f ca="1">AVERAGE(OFFSET($DS$3,0,0,'Données projet'!$E$14+1,1))-AVERAGE(OFFSET($H$3,0,0,'Données projet'!$E$14+1,1))</f>
        <v>288.80569134263209</v>
      </c>
      <c r="DU162" s="59">
        <f t="shared" si="152"/>
        <v>283.48738729114024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13.649723531832391</v>
      </c>
      <c r="EB162" s="21">
        <f>EXP(-LN(2)/25)*EB161+(1-EXP(-LN(2)/25))/(LN(2)/25)*Calculateur!DW162*Calculateur!DY162*VLOOKUP('Données projet'!$B$14,Paramètres!$A$1:$I$89,3,0)*0.475*44/12</f>
        <v>5.6251892714910205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19.27491280332341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-6.3550942286383367E-14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335.04906256888819</v>
      </c>
      <c r="EP162" s="59">
        <f t="shared" si="154"/>
        <v>440.84111898279554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28.898823548566064</v>
      </c>
      <c r="EW162" s="21">
        <f>EXP(-LN(2)/25)*EW161+(1-EXP(-LN(2)/25))/(LN(2)/25)*Calculateur!ER162*Calculateur!ET162*VLOOKUP('Données projet'!$B$15,Paramètres!$A$1:$I$89,3,0)*0.475*44/12</f>
        <v>3.2225198890925282</v>
      </c>
      <c r="EX162" s="21">
        <f>EXP(-LN(2)/2)*EX161+(1-EXP(-LN(2)/2))/(LN(2)/2)*ER162*EU162*VLOOKUP('Données projet'!$B$15,Paramètres!$A$1:$I$89,3,0)*0.475*44/12</f>
        <v>7.5853332513170442E-15</v>
      </c>
      <c r="EY162" s="22">
        <f t="shared" si="181"/>
        <v>32.121343437658602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1.7053025658242404E-13</v>
      </c>
      <c r="O163" s="13">
        <f>N163*VLOOKUP('Données projet'!$B$9,Paramètres!$A$1:$I$89,3,0)*VLOOKUP('Données projet'!$B$9,Paramètres!$A$1:$I$89,5,0)</f>
        <v>1.383341441396624E-13</v>
      </c>
      <c r="P163" s="13">
        <f t="shared" si="141"/>
        <v>2.0011390722884082E-12</v>
      </c>
      <c r="Q163" s="20">
        <f t="shared" si="162"/>
        <v>3.7262491852788889E-12</v>
      </c>
      <c r="R163" s="59">
        <f t="shared" si="109"/>
        <v>293.33333333333707</v>
      </c>
      <c r="S163" s="59">
        <f ca="1">AVERAGE(OFFSET($R$3,0,0,'Données projet'!$E$9+1,1))-AVERAGE(OFFSET($H$3,0,0,'Données projet'!$E$9+1,1))</f>
        <v>298.96480270023716</v>
      </c>
      <c r="T163" s="59">
        <f t="shared" si="142"/>
        <v>293.11447542333889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17.153934654232561</v>
      </c>
      <c r="AA163" s="21">
        <f>EXP(-LN(2)/25)*AA162+(1-EXP(-LN(2)/25))/(LN(2)/25)*Calculateur!V163*Calculateur!X163*VLOOKUP('Données projet'!$B$9,Paramètres!$A$1:$I$89,3,0)*0.475*44/12</f>
        <v>7.0135305536872004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24.167465207919761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1.9895196601282805E-13</v>
      </c>
      <c r="AJ163" s="13">
        <f>AI163*VLOOKUP('Données projet'!$B$10,Paramètres!$A$1:$I$89,3,0)*VLOOKUP('Données projet'!$B$10,Paramètres!$A$1:$I$89,5,0)</f>
        <v>1.707007868390065E-13</v>
      </c>
      <c r="AK163" s="13">
        <f t="shared" si="164"/>
        <v>2.4096578055149408E-12</v>
      </c>
      <c r="AL163" s="20">
        <f t="shared" si="165"/>
        <v>4.4941245483497909E-12</v>
      </c>
      <c r="AM163" s="59">
        <f t="shared" si="113"/>
        <v>293.33333333333781</v>
      </c>
      <c r="AN163" s="59">
        <f ca="1">AVERAGE(OFFSET($AM$3,0,0,'Données projet'!$E$10+1,1))-AVERAGE(OFFSET($H$3,0,0,'Données projet'!$E$10+1,1))</f>
        <v>335.02113791949211</v>
      </c>
      <c r="AO163" s="59">
        <f t="shared" si="144"/>
        <v>222.06886429435099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51.352935424497701</v>
      </c>
      <c r="AV163" s="21">
        <f>EXP(-LN(2)/25)*AV162+(1-EXP(-LN(2)/25))/(LN(2)/25)*Calculateur!AQ163*Calculateur!AS163*VLOOKUP('Données projet'!$B$10,Paramètres!$A$1:$I$89,3,0)*0.475*44/12</f>
        <v>25.474069253943842</v>
      </c>
      <c r="AW163" s="21">
        <f>EXP(-LN(2)/2)*AW162+(1-EXP(-LN(2)/2))/(LN(2)/2)*AQ163*AT163*VLOOKUP('Données projet'!$B$10,Paramètres!$A$1:$I$89,3,0)*0.475*44/12</f>
        <v>2.7363466489338848E-5</v>
      </c>
      <c r="AX163" s="21">
        <f t="shared" si="166"/>
        <v>76.827032041908026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-3.1036506698001178E-14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207.02306964567629</v>
      </c>
      <c r="BJ163" s="59">
        <f t="shared" si="146"/>
        <v>342.06887933351783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6.2634443152212</v>
      </c>
      <c r="BQ163" s="21">
        <f>EXP(-LN(2)/25)*BQ162+(1-EXP(-LN(2)/25))/(LN(2)/25)*Calculateur!BL163*Calculateur!BN163*VLOOKUP('Données projet'!$B$11,Paramètres!$A$1:$I$89,3,0)*0.475*44/12</f>
        <v>5.3817988902786826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11.645243205499883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233.89079999999998</v>
      </c>
      <c r="CA163" s="13">
        <f t="shared" si="170"/>
        <v>57.123140349023068</v>
      </c>
      <c r="CB163" s="20">
        <f t="shared" si="171"/>
        <v>506.84927944121517</v>
      </c>
      <c r="CC163" s="59">
        <f t="shared" si="119"/>
        <v>800.18261277454849</v>
      </c>
      <c r="CD163" s="59">
        <f ca="1">AVERAGE(OFFSET($CC$3,0,0,'Données projet'!$E$12+1,1))-AVERAGE(OFFSET($H$3,0,0,'Données projet'!$E$12+1,1))</f>
        <v>328.55201074501201</v>
      </c>
      <c r="CE163" s="59">
        <f t="shared" si="148"/>
        <v>321.81422611044985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6.8663253016768628</v>
      </c>
      <c r="CL163" s="21">
        <f>EXP(-LN(2)/25)*CL162+(1-EXP(-LN(2)/25))/(LN(2)/25)*Calculateur!CG163*Calculateur!CI163*VLOOKUP('Données projet'!$B$12,Paramètres!$A$1:$I$89,3,0)*0.475*44/12</f>
        <v>0.61391301351881145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7.4802383151956739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354.24684313982857</v>
      </c>
      <c r="CZ163" s="59">
        <f t="shared" si="150"/>
        <v>322.65043486962185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29.832155821550401</v>
      </c>
      <c r="DG163" s="21">
        <f>EXP(-LN(2)/25)*DG162+(1-EXP(-LN(2)/25))/(LN(2)/25)*Calculateur!DB163*Calculateur!DD163*VLOOKUP('Données projet'!$B$13,Paramètres!$A$1:$I$89,3,0)*0.475*44/12</f>
        <v>6.6299488379115097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36.462104659461914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1.7053025658242404E-13</v>
      </c>
      <c r="DP163" s="17">
        <f>DO163*VLOOKUP('Données projet'!$B$14,Paramètres!$A$1:$I$89,3,0)*VLOOKUP('Données projet'!$B$14,Paramètres!$A$1:$I$89,5,0)</f>
        <v>1.3301360013429075E-13</v>
      </c>
      <c r="DQ163" s="13">
        <f t="shared" si="176"/>
        <v>1.9329766731057041E-12</v>
      </c>
      <c r="DR163" s="20">
        <f t="shared" si="177"/>
        <v>3.5982663925596575E-12</v>
      </c>
      <c r="DS163" s="59">
        <f t="shared" si="125"/>
        <v>293.3333333333369</v>
      </c>
      <c r="DT163" s="59">
        <f ca="1">AVERAGE(OFFSET($DS$3,0,0,'Données projet'!$E$14+1,1))-AVERAGE(OFFSET($H$3,0,0,'Données projet'!$E$14+1,1))</f>
        <v>288.80569134263209</v>
      </c>
      <c r="DU163" s="59">
        <f t="shared" si="152"/>
        <v>283.48738729114024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13.382060778882437</v>
      </c>
      <c r="EB163" s="21">
        <f>EXP(-LN(2)/25)*EB162+(1-EXP(-LN(2)/25))/(LN(2)/25)*Calculateur!DW163*Calculateur!DY163*VLOOKUP('Données projet'!$B$14,Paramètres!$A$1:$I$89,3,0)*0.475*44/12</f>
        <v>5.4713681750462513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18.853428953928688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-6.3550942286383367E-14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335.04906256888819</v>
      </c>
      <c r="EP163" s="59">
        <f t="shared" si="154"/>
        <v>440.84111898279554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28.332135245320572</v>
      </c>
      <c r="EW163" s="21">
        <f>EXP(-LN(2)/25)*EW162+(1-EXP(-LN(2)/25))/(LN(2)/25)*Calculateur!ER163*Calculateur!ET163*VLOOKUP('Données projet'!$B$15,Paramètres!$A$1:$I$89,3,0)*0.475*44/12</f>
        <v>3.1343999132603373</v>
      </c>
      <c r="EX163" s="21">
        <f>EXP(-LN(2)/2)*EX162+(1-EXP(-LN(2)/2))/(LN(2)/2)*ER163*EU163*VLOOKUP('Données projet'!$B$15,Paramètres!$A$1:$I$89,3,0)*0.475*44/12</f>
        <v>5.3636405795660843E-15</v>
      </c>
      <c r="EY163" s="22">
        <f t="shared" si="181"/>
        <v>31.466535158580918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1.7053025658242404E-13</v>
      </c>
      <c r="O164" s="13">
        <f>N164*VLOOKUP('Données projet'!$B$9,Paramètres!$A$1:$I$89,3,0)*VLOOKUP('Données projet'!$B$9,Paramètres!$A$1:$I$89,5,0)</f>
        <v>1.383341441396624E-13</v>
      </c>
      <c r="P164" s="13">
        <f t="shared" si="141"/>
        <v>2.0011390722884082E-12</v>
      </c>
      <c r="Q164" s="20">
        <f t="shared" si="162"/>
        <v>3.7262491852788889E-12</v>
      </c>
      <c r="R164" s="59">
        <f t="shared" si="109"/>
        <v>293.33333333333707</v>
      </c>
      <c r="S164" s="59">
        <f ca="1">AVERAGE(OFFSET($R$3,0,0,'Données projet'!$E$9+1,1))-AVERAGE(OFFSET($H$3,0,0,'Données projet'!$E$9+1,1))</f>
        <v>298.96480270023716</v>
      </c>
      <c r="T164" s="59">
        <f t="shared" si="142"/>
        <v>293.11447542333889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16.817556458530078</v>
      </c>
      <c r="AA164" s="21">
        <f>EXP(-LN(2)/25)*AA163+(1-EXP(-LN(2)/25))/(LN(2)/25)*Calculateur!V164*Calculateur!X164*VLOOKUP('Données projet'!$B$9,Paramètres!$A$1:$I$89,3,0)*0.475*44/12</f>
        <v>6.8217451918710816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23.639301650401158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1.9895196601282805E-13</v>
      </c>
      <c r="AJ164" s="13">
        <f>AI164*VLOOKUP('Données projet'!$B$10,Paramètres!$A$1:$I$89,3,0)*VLOOKUP('Données projet'!$B$10,Paramètres!$A$1:$I$89,5,0)</f>
        <v>1.707007868390065E-13</v>
      </c>
      <c r="AK164" s="13">
        <f t="shared" si="164"/>
        <v>2.4096578055149408E-12</v>
      </c>
      <c r="AL164" s="20">
        <f t="shared" si="165"/>
        <v>4.4941245483497909E-12</v>
      </c>
      <c r="AM164" s="59">
        <f t="shared" si="113"/>
        <v>293.33333333333781</v>
      </c>
      <c r="AN164" s="59">
        <f ca="1">AVERAGE(OFFSET($AM$3,0,0,'Données projet'!$E$10+1,1))-AVERAGE(OFFSET($H$3,0,0,'Données projet'!$E$10+1,1))</f>
        <v>335.02113791949211</v>
      </c>
      <c r="AO164" s="59">
        <f t="shared" si="144"/>
        <v>222.06886429435099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50.345935683021104</v>
      </c>
      <c r="AV164" s="21">
        <f>EXP(-LN(2)/25)*AV163+(1-EXP(-LN(2)/25))/(LN(2)/25)*Calculateur!AQ164*Calculateur!AS164*VLOOKUP('Données projet'!$B$10,Paramètres!$A$1:$I$89,3,0)*0.475*44/12</f>
        <v>24.777479490571668</v>
      </c>
      <c r="AW164" s="21">
        <f>EXP(-LN(2)/2)*AW163+(1-EXP(-LN(2)/2))/(LN(2)/2)*AQ164*AT164*VLOOKUP('Données projet'!$B$10,Paramètres!$A$1:$I$89,3,0)*0.475*44/12</f>
        <v>1.9348892711382351E-5</v>
      </c>
      <c r="AX164" s="21">
        <f t="shared" si="166"/>
        <v>75.123434522485482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-3.1036506698001178E-14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207.02306964567629</v>
      </c>
      <c r="BJ164" s="59">
        <f t="shared" si="146"/>
        <v>342.06887933351783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6.1406219925235188</v>
      </c>
      <c r="BQ164" s="21">
        <f>EXP(-LN(2)/25)*BQ163+(1-EXP(-LN(2)/25))/(LN(2)/25)*Calculateur!BL164*Calculateur!BN164*VLOOKUP('Données projet'!$B$11,Paramètres!$A$1:$I$89,3,0)*0.475*44/12</f>
        <v>5.2346333166075087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11.375255309131028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233.89079999999998</v>
      </c>
      <c r="CA164" s="13">
        <f t="shared" si="170"/>
        <v>57.123140349023068</v>
      </c>
      <c r="CB164" s="20">
        <f t="shared" si="171"/>
        <v>506.84927944121517</v>
      </c>
      <c r="CC164" s="59">
        <f t="shared" si="119"/>
        <v>800.18261277454849</v>
      </c>
      <c r="CD164" s="59">
        <f ca="1">AVERAGE(OFFSET($CC$3,0,0,'Données projet'!$E$12+1,1))-AVERAGE(OFFSET($H$3,0,0,'Données projet'!$E$12+1,1))</f>
        <v>328.55201074501201</v>
      </c>
      <c r="CE164" s="59">
        <f t="shared" si="148"/>
        <v>321.81422611044985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6.7316808505558781</v>
      </c>
      <c r="CL164" s="21">
        <f>EXP(-LN(2)/25)*CL163+(1-EXP(-LN(2)/25))/(LN(2)/25)*Calculateur!CG164*Calculateur!CI164*VLOOKUP('Données projet'!$B$12,Paramètres!$A$1:$I$89,3,0)*0.475*44/12</f>
        <v>0.59712552987985723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7.3288063804357355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354.24684313982857</v>
      </c>
      <c r="CZ164" s="59">
        <f t="shared" si="150"/>
        <v>322.65043486962185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29.247165441708162</v>
      </c>
      <c r="DG164" s="21">
        <f>EXP(-LN(2)/25)*DG163+(1-EXP(-LN(2)/25))/(LN(2)/25)*Calculateur!DB164*Calculateur!DD164*VLOOKUP('Données projet'!$B$13,Paramètres!$A$1:$I$89,3,0)*0.475*44/12</f>
        <v>6.4486525382849633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35.695817979993123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1.7053025658242404E-13</v>
      </c>
      <c r="DP164" s="17">
        <f>DO164*VLOOKUP('Données projet'!$B$14,Paramètres!$A$1:$I$89,3,0)*VLOOKUP('Données projet'!$B$14,Paramètres!$A$1:$I$89,5,0)</f>
        <v>1.3301360013429075E-13</v>
      </c>
      <c r="DQ164" s="13">
        <f t="shared" si="176"/>
        <v>1.9329766731057041E-12</v>
      </c>
      <c r="DR164" s="20">
        <f t="shared" si="177"/>
        <v>3.5982663925596575E-12</v>
      </c>
      <c r="DS164" s="59">
        <f t="shared" si="125"/>
        <v>293.3333333333369</v>
      </c>
      <c r="DT164" s="59">
        <f ca="1">AVERAGE(OFFSET($DS$3,0,0,'Données projet'!$E$14+1,1))-AVERAGE(OFFSET($H$3,0,0,'Données projet'!$E$14+1,1))</f>
        <v>288.80569134263209</v>
      </c>
      <c r="DU164" s="59">
        <f t="shared" si="152"/>
        <v>283.48738729114024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13.119646729259673</v>
      </c>
      <c r="EB164" s="21">
        <f>EXP(-LN(2)/25)*EB163+(1-EXP(-LN(2)/25))/(LN(2)/25)*Calculateur!DW164*Calculateur!DY164*VLOOKUP('Données projet'!$B$14,Paramètres!$A$1:$I$89,3,0)*0.475*44/12</f>
        <v>5.3217533245728639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18.441400053832538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-6.3550942286383367E-14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335.04906256888819</v>
      </c>
      <c r="EP164" s="59">
        <f t="shared" si="154"/>
        <v>440.84111898279554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27.776559354055987</v>
      </c>
      <c r="EW164" s="21">
        <f>EXP(-LN(2)/25)*EW163+(1-EXP(-LN(2)/25))/(LN(2)/25)*Calculateur!ER164*Calculateur!ET164*VLOOKUP('Données projet'!$B$15,Paramètres!$A$1:$I$89,3,0)*0.475*44/12</f>
        <v>3.0486895828013059</v>
      </c>
      <c r="EX164" s="21">
        <f>EXP(-LN(2)/2)*EX163+(1-EXP(-LN(2)/2))/(LN(2)/2)*ER164*EU164*VLOOKUP('Données projet'!$B$15,Paramètres!$A$1:$I$89,3,0)*0.475*44/12</f>
        <v>3.7926666256585221E-15</v>
      </c>
      <c r="EY164" s="22">
        <f t="shared" si="181"/>
        <v>30.825248936857296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1.7053025658242404E-13</v>
      </c>
      <c r="O165" s="13">
        <f>N165*VLOOKUP('Données projet'!$B$9,Paramètres!$A$1:$I$89,3,0)*VLOOKUP('Données projet'!$B$9,Paramètres!$A$1:$I$89,5,0)</f>
        <v>1.383341441396624E-13</v>
      </c>
      <c r="P165" s="13">
        <f t="shared" si="141"/>
        <v>2.0011390722884082E-12</v>
      </c>
      <c r="Q165" s="20">
        <f t="shared" si="162"/>
        <v>3.7262491852788889E-12</v>
      </c>
      <c r="R165" s="59">
        <f t="shared" si="109"/>
        <v>293.33333333333707</v>
      </c>
      <c r="S165" s="59">
        <f ca="1">AVERAGE(OFFSET($R$3,0,0,'Données projet'!$E$9+1,1))-AVERAGE(OFFSET($H$3,0,0,'Données projet'!$E$9+1,1))</f>
        <v>298.96480270023716</v>
      </c>
      <c r="T165" s="59">
        <f t="shared" si="142"/>
        <v>293.11447542333889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16.487774434074879</v>
      </c>
      <c r="AA165" s="21">
        <f>EXP(-LN(2)/25)*AA164+(1-EXP(-LN(2)/25))/(LN(2)/25)*Calculateur!V165*Calculateur!X165*VLOOKUP('Données projet'!$B$9,Paramètres!$A$1:$I$89,3,0)*0.475*44/12</f>
        <v>6.6352042108593787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23.122978644934257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1.9895196601282805E-13</v>
      </c>
      <c r="AJ165" s="13">
        <f>AI165*VLOOKUP('Données projet'!$B$10,Paramètres!$A$1:$I$89,3,0)*VLOOKUP('Données projet'!$B$10,Paramètres!$A$1:$I$89,5,0)</f>
        <v>1.707007868390065E-13</v>
      </c>
      <c r="AK165" s="13">
        <f t="shared" si="164"/>
        <v>2.4096578055149408E-12</v>
      </c>
      <c r="AL165" s="20">
        <f t="shared" si="165"/>
        <v>4.4941245483497909E-12</v>
      </c>
      <c r="AM165" s="59">
        <f t="shared" si="113"/>
        <v>293.33333333333781</v>
      </c>
      <c r="AN165" s="59">
        <f ca="1">AVERAGE(OFFSET($AM$3,0,0,'Données projet'!$E$10+1,1))-AVERAGE(OFFSET($H$3,0,0,'Données projet'!$E$10+1,1))</f>
        <v>335.02113791949211</v>
      </c>
      <c r="AO165" s="59">
        <f t="shared" si="144"/>
        <v>222.06886429435099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49.358682592265666</v>
      </c>
      <c r="AV165" s="21">
        <f>EXP(-LN(2)/25)*AV164+(1-EXP(-LN(2)/25))/(LN(2)/25)*Calculateur!AQ165*Calculateur!AS165*VLOOKUP('Données projet'!$B$10,Paramètres!$A$1:$I$89,3,0)*0.475*44/12</f>
        <v>24.099938010910968</v>
      </c>
      <c r="AW165" s="21">
        <f>EXP(-LN(2)/2)*AW164+(1-EXP(-LN(2)/2))/(LN(2)/2)*AQ165*AT165*VLOOKUP('Données projet'!$B$10,Paramètres!$A$1:$I$89,3,0)*0.475*44/12</f>
        <v>1.3681733244669424E-5</v>
      </c>
      <c r="AX165" s="21">
        <f t="shared" si="166"/>
        <v>73.458634284909877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-3.1036506698001178E-14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207.02306964567629</v>
      </c>
      <c r="BJ165" s="59">
        <f t="shared" si="146"/>
        <v>342.06887933351783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6.0202081406597197</v>
      </c>
      <c r="BQ165" s="21">
        <f>EXP(-LN(2)/25)*BQ164+(1-EXP(-LN(2)/25))/(LN(2)/25)*Calculateur!BL165*Calculateur!BN165*VLOOKUP('Données projet'!$B$11,Paramètres!$A$1:$I$89,3,0)*0.475*44/12</f>
        <v>5.091491993287474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11.111700133947194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233.89079999999998</v>
      </c>
      <c r="CA165" s="13">
        <f t="shared" si="170"/>
        <v>57.123140349023068</v>
      </c>
      <c r="CB165" s="20">
        <f t="shared" si="171"/>
        <v>506.84927944121517</v>
      </c>
      <c r="CC165" s="59">
        <f t="shared" si="119"/>
        <v>800.18261277454849</v>
      </c>
      <c r="CD165" s="59">
        <f ca="1">AVERAGE(OFFSET($CC$3,0,0,'Données projet'!$E$12+1,1))-AVERAGE(OFFSET($H$3,0,0,'Données projet'!$E$12+1,1))</f>
        <v>328.55201074501201</v>
      </c>
      <c r="CE165" s="59">
        <f t="shared" si="148"/>
        <v>321.81422611044985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6.5996766949963703</v>
      </c>
      <c r="CL165" s="21">
        <f>EXP(-LN(2)/25)*CL164+(1-EXP(-LN(2)/25))/(LN(2)/25)*Calculateur!CG165*Calculateur!CI165*VLOOKUP('Données projet'!$B$12,Paramètres!$A$1:$I$89,3,0)*0.475*44/12</f>
        <v>0.58079710086382563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7.1804737958601956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354.24684313982857</v>
      </c>
      <c r="CZ165" s="59">
        <f t="shared" si="150"/>
        <v>322.65043486962185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28.67364636640573</v>
      </c>
      <c r="DG165" s="21">
        <f>EXP(-LN(2)/25)*DG164+(1-EXP(-LN(2)/25))/(LN(2)/25)*Calculateur!DB165*Calculateur!DD165*VLOOKUP('Données projet'!$B$13,Paramètres!$A$1:$I$89,3,0)*0.475*44/12</f>
        <v>6.2723137955056627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34.945960161911394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1.7053025658242404E-13</v>
      </c>
      <c r="DP165" s="17">
        <f>DO165*VLOOKUP('Données projet'!$B$14,Paramètres!$A$1:$I$89,3,0)*VLOOKUP('Données projet'!$B$14,Paramètres!$A$1:$I$89,5,0)</f>
        <v>1.3301360013429075E-13</v>
      </c>
      <c r="DQ165" s="13">
        <f t="shared" si="176"/>
        <v>1.9329766731057041E-12</v>
      </c>
      <c r="DR165" s="20">
        <f t="shared" si="177"/>
        <v>3.5982663925596575E-12</v>
      </c>
      <c r="DS165" s="59">
        <f t="shared" si="125"/>
        <v>293.3333333333369</v>
      </c>
      <c r="DT165" s="59">
        <f ca="1">AVERAGE(OFFSET($DS$3,0,0,'Données projet'!$E$14+1,1))-AVERAGE(OFFSET($H$3,0,0,'Données projet'!$E$14+1,1))</f>
        <v>288.80569134263209</v>
      </c>
      <c r="DU165" s="59">
        <f t="shared" si="152"/>
        <v>283.48738729114024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12.862378459093245</v>
      </c>
      <c r="EB165" s="21">
        <f>EXP(-LN(2)/25)*EB164+(1-EXP(-LN(2)/25))/(LN(2)/25)*Calculateur!DW165*Calculateur!DY165*VLOOKUP('Données projet'!$B$14,Paramètres!$A$1:$I$89,3,0)*0.475*44/12</f>
        <v>5.1762297000535744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18.038608159146818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-6.3550942286383367E-14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335.04906256888819</v>
      </c>
      <c r="EP165" s="59">
        <f t="shared" si="154"/>
        <v>440.84111898279554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27.23187796715127</v>
      </c>
      <c r="EW165" s="21">
        <f>EXP(-LN(2)/25)*EW164+(1-EXP(-LN(2)/25))/(LN(2)/25)*Calculateur!ER165*Calculateur!ET165*VLOOKUP('Données projet'!$B$15,Paramètres!$A$1:$I$89,3,0)*0.475*44/12</f>
        <v>2.965323005835987</v>
      </c>
      <c r="EX165" s="21">
        <f>EXP(-LN(2)/2)*EX164+(1-EXP(-LN(2)/2))/(LN(2)/2)*ER165*EU165*VLOOKUP('Données projet'!$B$15,Paramètres!$A$1:$I$89,3,0)*0.475*44/12</f>
        <v>2.6818202897830422E-15</v>
      </c>
      <c r="EY165" s="22">
        <f t="shared" si="181"/>
        <v>30.197200972987261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1.7053025658242404E-13</v>
      </c>
      <c r="O166" s="13">
        <f>N166*VLOOKUP('Données projet'!$B$9,Paramètres!$A$1:$I$89,3,0)*VLOOKUP('Données projet'!$B$9,Paramètres!$A$1:$I$89,5,0)</f>
        <v>1.383341441396624E-13</v>
      </c>
      <c r="P166" s="13">
        <f t="shared" si="141"/>
        <v>2.0011390722884082E-12</v>
      </c>
      <c r="Q166" s="20">
        <f t="shared" si="162"/>
        <v>3.7262491852788889E-12</v>
      </c>
      <c r="R166" s="59">
        <f t="shared" si="109"/>
        <v>293.33333333333707</v>
      </c>
      <c r="S166" s="59">
        <f ca="1">AVERAGE(OFFSET($R$3,0,0,'Données projet'!$E$9+1,1))-AVERAGE(OFFSET($H$3,0,0,'Données projet'!$E$9+1,1))</f>
        <v>298.96480270023716</v>
      </c>
      <c r="T166" s="59">
        <f t="shared" si="142"/>
        <v>293.11447542333889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16.164459233972075</v>
      </c>
      <c r="AA166" s="21">
        <f>EXP(-LN(2)/25)*AA165+(1-EXP(-LN(2)/25))/(LN(2)/25)*Calculateur!V166*Calculateur!X166*VLOOKUP('Données projet'!$B$9,Paramètres!$A$1:$I$89,3,0)*0.475*44/12</f>
        <v>6.453764202783205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22.618223436755279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1.9895196601282805E-13</v>
      </c>
      <c r="AJ166" s="13">
        <f>AI166*VLOOKUP('Données projet'!$B$10,Paramètres!$A$1:$I$89,3,0)*VLOOKUP('Données projet'!$B$10,Paramètres!$A$1:$I$89,5,0)</f>
        <v>1.707007868390065E-13</v>
      </c>
      <c r="AK166" s="13">
        <f t="shared" si="164"/>
        <v>2.4096578055149408E-12</v>
      </c>
      <c r="AL166" s="20">
        <f t="shared" si="165"/>
        <v>4.4941245483497909E-12</v>
      </c>
      <c r="AM166" s="59">
        <f t="shared" si="113"/>
        <v>293.33333333333781</v>
      </c>
      <c r="AN166" s="59">
        <f ca="1">AVERAGE(OFFSET($AM$3,0,0,'Données projet'!$E$10+1,1))-AVERAGE(OFFSET($H$3,0,0,'Données projet'!$E$10+1,1))</f>
        <v>335.02113791949211</v>
      </c>
      <c r="AO166" s="59">
        <f t="shared" si="144"/>
        <v>222.06886429435099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48.390788932455017</v>
      </c>
      <c r="AV166" s="21">
        <f>EXP(-LN(2)/25)*AV165+(1-EXP(-LN(2)/25))/(LN(2)/25)*Calculateur!AQ166*Calculateur!AS166*VLOOKUP('Données projet'!$B$10,Paramètres!$A$1:$I$89,3,0)*0.475*44/12</f>
        <v>23.440923938641948</v>
      </c>
      <c r="AW166" s="21">
        <f>EXP(-LN(2)/2)*AW165+(1-EXP(-LN(2)/2))/(LN(2)/2)*AQ166*AT166*VLOOKUP('Données projet'!$B$10,Paramètres!$A$1:$I$89,3,0)*0.475*44/12</f>
        <v>9.6744463556911753E-6</v>
      </c>
      <c r="AX166" s="21">
        <f t="shared" si="166"/>
        <v>71.831722545543329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-3.1036506698001178E-14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207.02306964567629</v>
      </c>
      <c r="BJ166" s="59">
        <f t="shared" si="146"/>
        <v>342.06887933351783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5.9021555309857723</v>
      </c>
      <c r="BQ166" s="21">
        <f>EXP(-LN(2)/25)*BQ165+(1-EXP(-LN(2)/25))/(LN(2)/25)*Calculateur!BL166*Calculateur!BN166*VLOOKUP('Données projet'!$B$11,Paramètres!$A$1:$I$89,3,0)*0.475*44/12</f>
        <v>4.9522648769811006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10.854420407966874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233.89079999999998</v>
      </c>
      <c r="CA166" s="13">
        <f t="shared" si="170"/>
        <v>57.123140349023068</v>
      </c>
      <c r="CB166" s="20">
        <f t="shared" si="171"/>
        <v>506.84927944121517</v>
      </c>
      <c r="CC166" s="59">
        <f t="shared" si="119"/>
        <v>800.18261277454849</v>
      </c>
      <c r="CD166" s="59">
        <f ca="1">AVERAGE(OFFSET($CC$3,0,0,'Données projet'!$E$12+1,1))-AVERAGE(OFFSET($H$3,0,0,'Données projet'!$E$12+1,1))</f>
        <v>328.55201074501201</v>
      </c>
      <c r="CE166" s="59">
        <f t="shared" si="148"/>
        <v>321.81422611044985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6.4702610604127999</v>
      </c>
      <c r="CL166" s="21">
        <f>EXP(-LN(2)/25)*CL165+(1-EXP(-LN(2)/25))/(LN(2)/25)*Calculateur!CG166*Calculateur!CI166*VLOOKUP('Données projet'!$B$12,Paramètres!$A$1:$I$89,3,0)*0.475*44/12</f>
        <v>0.56491517359791221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7.035176234010712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354.24684313982857</v>
      </c>
      <c r="CZ166" s="59">
        <f t="shared" si="150"/>
        <v>322.65043486962185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28.111373650357883</v>
      </c>
      <c r="DG166" s="21">
        <f>EXP(-LN(2)/25)*DG165+(1-EXP(-LN(2)/25))/(LN(2)/25)*Calculateur!DB166*Calculateur!DD166*VLOOKUP('Données projet'!$B$13,Paramètres!$A$1:$I$89,3,0)*0.475*44/12</f>
        <v>6.1007970449209132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34.2121706952788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1.7053025658242404E-13</v>
      </c>
      <c r="DP166" s="17">
        <f>DO166*VLOOKUP('Données projet'!$B$14,Paramètres!$A$1:$I$89,3,0)*VLOOKUP('Données projet'!$B$14,Paramètres!$A$1:$I$89,5,0)</f>
        <v>1.3301360013429075E-13</v>
      </c>
      <c r="DQ166" s="13">
        <f t="shared" si="176"/>
        <v>1.9329766731057041E-12</v>
      </c>
      <c r="DR166" s="20">
        <f t="shared" si="177"/>
        <v>3.5982663925596575E-12</v>
      </c>
      <c r="DS166" s="59">
        <f t="shared" si="125"/>
        <v>293.3333333333369</v>
      </c>
      <c r="DT166" s="59">
        <f ca="1">AVERAGE(OFFSET($DS$3,0,0,'Données projet'!$E$14+1,1))-AVERAGE(OFFSET($H$3,0,0,'Données projet'!$E$14+1,1))</f>
        <v>288.80569134263209</v>
      </c>
      <c r="DU166" s="59">
        <f t="shared" si="152"/>
        <v>283.48738729114024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12.61015506278663</v>
      </c>
      <c r="EB166" s="21">
        <f>EXP(-LN(2)/25)*EB165+(1-EXP(-LN(2)/25))/(LN(2)/25)*Calculateur!DW166*Calculateur!DY166*VLOOKUP('Données projet'!$B$14,Paramètres!$A$1:$I$89,3,0)*0.475*44/12</f>
        <v>5.0346854266995198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17.64484048948615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-6.3550942286383367E-14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335.04906256888819</v>
      </c>
      <c r="EP166" s="59">
        <f t="shared" si="154"/>
        <v>440.84111898279554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26.697877450020911</v>
      </c>
      <c r="EW166" s="21">
        <f>EXP(-LN(2)/25)*EW165+(1-EXP(-LN(2)/25))/(LN(2)/25)*Calculateur!ER166*Calculateur!ET166*VLOOKUP('Données projet'!$B$15,Paramètres!$A$1:$I$89,3,0)*0.475*44/12</f>
        <v>2.8842360923018422</v>
      </c>
      <c r="EX166" s="21">
        <f>EXP(-LN(2)/2)*EX165+(1-EXP(-LN(2)/2))/(LN(2)/2)*ER166*EU166*VLOOKUP('Données projet'!$B$15,Paramètres!$A$1:$I$89,3,0)*0.475*44/12</f>
        <v>1.8963333128292611E-15</v>
      </c>
      <c r="EY166" s="22">
        <f t="shared" si="181"/>
        <v>29.582113542322755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1.7053025658242404E-13</v>
      </c>
      <c r="O167" s="13">
        <f>N167*VLOOKUP('Données projet'!$B$9,Paramètres!$A$1:$I$89,3,0)*VLOOKUP('Données projet'!$B$9,Paramètres!$A$1:$I$89,5,0)</f>
        <v>1.383341441396624E-13</v>
      </c>
      <c r="P167" s="13">
        <f t="shared" si="141"/>
        <v>2.0011390722884082E-12</v>
      </c>
      <c r="Q167" s="20">
        <f t="shared" si="162"/>
        <v>3.7262491852788889E-12</v>
      </c>
      <c r="R167" s="59">
        <f t="shared" si="109"/>
        <v>293.33333333333707</v>
      </c>
      <c r="S167" s="59">
        <f ca="1">AVERAGE(OFFSET($R$3,0,0,'Données projet'!$E$9+1,1))-AVERAGE(OFFSET($H$3,0,0,'Données projet'!$E$9+1,1))</f>
        <v>298.96480270023716</v>
      </c>
      <c r="T167" s="59">
        <f t="shared" si="142"/>
        <v>293.11447542333889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15.847484047740485</v>
      </c>
      <c r="AA167" s="21">
        <f>EXP(-LN(2)/25)*AA166+(1-EXP(-LN(2)/25))/(LN(2)/25)*Calculateur!V167*Calculateur!X167*VLOOKUP('Données projet'!$B$9,Paramètres!$A$1:$I$89,3,0)*0.475*44/12</f>
        <v>6.2772856812693894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22.124769729009873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1.9895196601282805E-13</v>
      </c>
      <c r="AJ167" s="13">
        <f>AI167*VLOOKUP('Données projet'!$B$10,Paramètres!$A$1:$I$89,3,0)*VLOOKUP('Données projet'!$B$10,Paramètres!$A$1:$I$89,5,0)</f>
        <v>1.707007868390065E-13</v>
      </c>
      <c r="AK167" s="13">
        <f t="shared" si="164"/>
        <v>2.4096578055149408E-12</v>
      </c>
      <c r="AL167" s="20">
        <f t="shared" si="165"/>
        <v>4.4941245483497909E-12</v>
      </c>
      <c r="AM167" s="59">
        <f t="shared" si="113"/>
        <v>293.33333333333781</v>
      </c>
      <c r="AN167" s="59">
        <f ca="1">AVERAGE(OFFSET($AM$3,0,0,'Données projet'!$E$10+1,1))-AVERAGE(OFFSET($H$3,0,0,'Données projet'!$E$10+1,1))</f>
        <v>335.02113791949211</v>
      </c>
      <c r="AO167" s="59">
        <f t="shared" si="144"/>
        <v>222.06886429435099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47.441875076956414</v>
      </c>
      <c r="AV167" s="21">
        <f>EXP(-LN(2)/25)*AV166+(1-EXP(-LN(2)/25))/(LN(2)/25)*Calculateur!AQ167*Calculateur!AS167*VLOOKUP('Données projet'!$B$10,Paramètres!$A$1:$I$89,3,0)*0.475*44/12</f>
        <v>22.799930640835168</v>
      </c>
      <c r="AW167" s="21">
        <f>EXP(-LN(2)/2)*AW166+(1-EXP(-LN(2)/2))/(LN(2)/2)*AQ167*AT167*VLOOKUP('Données projet'!$B$10,Paramètres!$A$1:$I$89,3,0)*0.475*44/12</f>
        <v>6.8408666223347121E-6</v>
      </c>
      <c r="AX167" s="21">
        <f t="shared" si="166"/>
        <v>70.241812558658197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-3.1036506698001178E-14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207.02306964567629</v>
      </c>
      <c r="BJ167" s="59">
        <f t="shared" si="146"/>
        <v>342.06887933351783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5.7864178609825485</v>
      </c>
      <c r="BQ167" s="21">
        <f>EXP(-LN(2)/25)*BQ166+(1-EXP(-LN(2)/25))/(LN(2)/25)*Calculateur!BL167*Calculateur!BN167*VLOOKUP('Données projet'!$B$11,Paramètres!$A$1:$I$89,3,0)*0.475*44/12</f>
        <v>4.8168449334917609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10.603262794474309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233.89079999999998</v>
      </c>
      <c r="CA167" s="13">
        <f t="shared" si="170"/>
        <v>57.123140349023068</v>
      </c>
      <c r="CB167" s="20">
        <f t="shared" si="171"/>
        <v>506.84927944121517</v>
      </c>
      <c r="CC167" s="59">
        <f t="shared" si="119"/>
        <v>800.18261277454849</v>
      </c>
      <c r="CD167" s="59">
        <f ca="1">AVERAGE(OFFSET($CC$3,0,0,'Données projet'!$E$12+1,1))-AVERAGE(OFFSET($H$3,0,0,'Données projet'!$E$12+1,1))</f>
        <v>328.55201074501201</v>
      </c>
      <c r="CE167" s="59">
        <f t="shared" si="148"/>
        <v>321.81422611044985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6.34338318748767</v>
      </c>
      <c r="CL167" s="21">
        <f>EXP(-LN(2)/25)*CL166+(1-EXP(-LN(2)/25))/(LN(2)/25)*Calculateur!CG167*Calculateur!CI167*VLOOKUP('Données projet'!$B$12,Paramètres!$A$1:$I$89,3,0)*0.475*44/12</f>
        <v>0.54946753846827945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6.8928507259559497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354.24684313982857</v>
      </c>
      <c r="CZ167" s="59">
        <f t="shared" si="150"/>
        <v>322.65043486962185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27.560126759319242</v>
      </c>
      <c r="DG167" s="21">
        <f>EXP(-LN(2)/25)*DG166+(1-EXP(-LN(2)/25))/(LN(2)/25)*Calculateur!DB167*Calculateur!DD167*VLOOKUP('Données projet'!$B$13,Paramètres!$A$1:$I$89,3,0)*0.475*44/12</f>
        <v>5.9339704289005777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33.494097188219818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1.7053025658242404E-13</v>
      </c>
      <c r="DP167" s="17">
        <f>DO167*VLOOKUP('Données projet'!$B$14,Paramètres!$A$1:$I$89,3,0)*VLOOKUP('Données projet'!$B$14,Paramètres!$A$1:$I$89,5,0)</f>
        <v>1.3301360013429075E-13</v>
      </c>
      <c r="DQ167" s="13">
        <f t="shared" si="176"/>
        <v>1.9329766731057041E-12</v>
      </c>
      <c r="DR167" s="20">
        <f t="shared" si="177"/>
        <v>3.5982663925596575E-12</v>
      </c>
      <c r="DS167" s="59">
        <f t="shared" si="125"/>
        <v>293.3333333333369</v>
      </c>
      <c r="DT167" s="59">
        <f ca="1">AVERAGE(OFFSET($DS$3,0,0,'Données projet'!$E$14+1,1))-AVERAGE(OFFSET($H$3,0,0,'Données projet'!$E$14+1,1))</f>
        <v>288.80569134263209</v>
      </c>
      <c r="DU167" s="59">
        <f t="shared" si="152"/>
        <v>283.48738729114024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12.362877613440507</v>
      </c>
      <c r="EB167" s="21">
        <f>EXP(-LN(2)/25)*EB166+(1-EXP(-LN(2)/25))/(LN(2)/25)*Calculateur!DW167*Calculateur!DY167*VLOOKUP('Données projet'!$B$14,Paramètres!$A$1:$I$89,3,0)*0.475*44/12</f>
        <v>4.897011688943822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17.25988930238433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-6.3550942286383367E-14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335.04906256888819</v>
      </c>
      <c r="EP167" s="59">
        <f t="shared" si="154"/>
        <v>440.84111898279554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26.174348357323325</v>
      </c>
      <c r="EW167" s="21">
        <f>EXP(-LN(2)/25)*EW166+(1-EXP(-LN(2)/25))/(LN(2)/25)*Calculateur!ER167*Calculateur!ET167*VLOOKUP('Données projet'!$B$15,Paramètres!$A$1:$I$89,3,0)*0.475*44/12</f>
        <v>2.8053665046824641</v>
      </c>
      <c r="EX167" s="21">
        <f>EXP(-LN(2)/2)*EX166+(1-EXP(-LN(2)/2))/(LN(2)/2)*ER167*EU167*VLOOKUP('Données projet'!$B$15,Paramètres!$A$1:$I$89,3,0)*0.475*44/12</f>
        <v>1.3409101448915211E-15</v>
      </c>
      <c r="EY167" s="22">
        <f t="shared" si="181"/>
        <v>28.979714862005789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1.7053025658242404E-13</v>
      </c>
      <c r="O168" s="13">
        <f>N168*VLOOKUP('Données projet'!$B$9,Paramètres!$A$1:$I$89,3,0)*VLOOKUP('Données projet'!$B$9,Paramètres!$A$1:$I$89,5,0)</f>
        <v>1.383341441396624E-13</v>
      </c>
      <c r="P168" s="13">
        <f t="shared" si="141"/>
        <v>2.0011390722884082E-12</v>
      </c>
      <c r="Q168" s="20">
        <f t="shared" si="162"/>
        <v>3.7262491852788889E-12</v>
      </c>
      <c r="R168" s="59">
        <f t="shared" si="109"/>
        <v>293.33333333333707</v>
      </c>
      <c r="S168" s="59">
        <f ca="1">AVERAGE(OFFSET($R$3,0,0,'Données projet'!$E$9+1,1))-AVERAGE(OFFSET($H$3,0,0,'Données projet'!$E$9+1,1))</f>
        <v>298.96480270023716</v>
      </c>
      <c r="T168" s="59">
        <f t="shared" si="142"/>
        <v>293.11447542333889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15.536724551575125</v>
      </c>
      <c r="AA168" s="21">
        <f>EXP(-LN(2)/25)*AA167+(1-EXP(-LN(2)/25))/(LN(2)/25)*Calculateur!V168*Calculateur!X168*VLOOKUP('Données projet'!$B$9,Paramètres!$A$1:$I$89,3,0)*0.475*44/12</f>
        <v>6.105632974206971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21.642357525782096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1.9895196601282805E-13</v>
      </c>
      <c r="AJ168" s="13">
        <f>AI168*VLOOKUP('Données projet'!$B$10,Paramètres!$A$1:$I$89,3,0)*VLOOKUP('Données projet'!$B$10,Paramètres!$A$1:$I$89,5,0)</f>
        <v>1.707007868390065E-13</v>
      </c>
      <c r="AK168" s="13">
        <f t="shared" si="164"/>
        <v>2.4096578055149408E-12</v>
      </c>
      <c r="AL168" s="20">
        <f t="shared" si="165"/>
        <v>4.4941245483497909E-12</v>
      </c>
      <c r="AM168" s="59">
        <f t="shared" si="113"/>
        <v>293.33333333333781</v>
      </c>
      <c r="AN168" s="59">
        <f ca="1">AVERAGE(OFFSET($AM$3,0,0,'Données projet'!$E$10+1,1))-AVERAGE(OFFSET($H$3,0,0,'Données projet'!$E$10+1,1))</f>
        <v>335.02113791949211</v>
      </c>
      <c r="AO168" s="59">
        <f t="shared" si="144"/>
        <v>222.06886429435099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46.511568843383834</v>
      </c>
      <c r="AV168" s="21">
        <f>EXP(-LN(2)/25)*AV167+(1-EXP(-LN(2)/25))/(LN(2)/25)*Calculateur!AQ168*Calculateur!AS168*VLOOKUP('Données projet'!$B$10,Paramètres!$A$1:$I$89,3,0)*0.475*44/12</f>
        <v>22.176465338465288</v>
      </c>
      <c r="AW168" s="21">
        <f>EXP(-LN(2)/2)*AW167+(1-EXP(-LN(2)/2))/(LN(2)/2)*AQ168*AT168*VLOOKUP('Données projet'!$B$10,Paramètres!$A$1:$I$89,3,0)*0.475*44/12</f>
        <v>4.8372231778455876E-6</v>
      </c>
      <c r="AX168" s="21">
        <f t="shared" si="166"/>
        <v>68.688039019072292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-3.1036506698001178E-14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207.02306964567629</v>
      </c>
      <c r="BJ168" s="59">
        <f t="shared" si="146"/>
        <v>342.06887933351783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5.67294973609508</v>
      </c>
      <c r="BQ168" s="21">
        <f>EXP(-LN(2)/25)*BQ167+(1-EXP(-LN(2)/25))/(LN(2)/25)*Calculateur!BL168*Calculateur!BN168*VLOOKUP('Données projet'!$B$11,Paramètres!$A$1:$I$89,3,0)*0.475*44/12</f>
        <v>4.6851280554785628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10.358077791573642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233.89079999999998</v>
      </c>
      <c r="CA168" s="13">
        <f t="shared" si="170"/>
        <v>57.123140349023068</v>
      </c>
      <c r="CB168" s="20">
        <f t="shared" si="171"/>
        <v>506.84927944121517</v>
      </c>
      <c r="CC168" s="59">
        <f t="shared" si="119"/>
        <v>800.18261277454849</v>
      </c>
      <c r="CD168" s="59">
        <f ca="1">AVERAGE(OFFSET($CC$3,0,0,'Données projet'!$E$12+1,1))-AVERAGE(OFFSET($H$3,0,0,'Données projet'!$E$12+1,1))</f>
        <v>328.55201074501201</v>
      </c>
      <c r="CE168" s="59">
        <f t="shared" si="148"/>
        <v>321.81422611044985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6.2189933122627412</v>
      </c>
      <c r="CL168" s="21">
        <f>EXP(-LN(2)/25)*CL167+(1-EXP(-LN(2)/25))/(LN(2)/25)*Calculateur!CG168*Calculateur!CI168*VLOOKUP('Données projet'!$B$12,Paramètres!$A$1:$I$89,3,0)*0.475*44/12</f>
        <v>0.53444231973362233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6.7534356319963633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354.24684313982857</v>
      </c>
      <c r="CZ168" s="59">
        <f t="shared" si="150"/>
        <v>322.65043486962185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27.019689483586465</v>
      </c>
      <c r="DG168" s="21">
        <f>EXP(-LN(2)/25)*DG167+(1-EXP(-LN(2)/25))/(LN(2)/25)*Calculateur!DB168*Calculateur!DD168*VLOOKUP('Données projet'!$B$13,Paramètres!$A$1:$I$89,3,0)*0.475*44/12</f>
        <v>5.7717056954683486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32.791395179054817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1.7053025658242404E-13</v>
      </c>
      <c r="DP168" s="17">
        <f>DO168*VLOOKUP('Données projet'!$B$14,Paramètres!$A$1:$I$89,3,0)*VLOOKUP('Données projet'!$B$14,Paramètres!$A$1:$I$89,5,0)</f>
        <v>1.3301360013429075E-13</v>
      </c>
      <c r="DQ168" s="13">
        <f t="shared" si="176"/>
        <v>1.9329766731057041E-12</v>
      </c>
      <c r="DR168" s="20">
        <f t="shared" si="177"/>
        <v>3.5982663925596575E-12</v>
      </c>
      <c r="DS168" s="59">
        <f t="shared" si="125"/>
        <v>293.3333333333369</v>
      </c>
      <c r="DT168" s="59">
        <f ca="1">AVERAGE(OFFSET($DS$3,0,0,'Données projet'!$E$14+1,1))-AVERAGE(OFFSET($H$3,0,0,'Données projet'!$E$14+1,1))</f>
        <v>288.80569134263209</v>
      </c>
      <c r="DU168" s="59">
        <f t="shared" si="152"/>
        <v>283.48738729114024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12.120449124051708</v>
      </c>
      <c r="EB168" s="21">
        <f>EXP(-LN(2)/25)*EB167+(1-EXP(-LN(2)/25))/(LN(2)/25)*Calculateur!DW168*Calculateur!DY168*VLOOKUP('Données projet'!$B$14,Paramètres!$A$1:$I$89,3,0)*0.475*44/12</f>
        <v>4.7631026467870008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16.883551770838707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-6.3550942286383367E-14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335.04906256888819</v>
      </c>
      <c r="EP168" s="59">
        <f t="shared" si="154"/>
        <v>440.84111898279554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25.661085350812321</v>
      </c>
      <c r="EW168" s="21">
        <f>EXP(-LN(2)/25)*EW167+(1-EXP(-LN(2)/25))/(LN(2)/25)*Calculateur!ER168*Calculateur!ET168*VLOOKUP('Données projet'!$B$15,Paramètres!$A$1:$I$89,3,0)*0.475*44/12</f>
        <v>2.7286536100841094</v>
      </c>
      <c r="EX168" s="21">
        <f>EXP(-LN(2)/2)*EX167+(1-EXP(-LN(2)/2))/(LN(2)/2)*ER168*EU168*VLOOKUP('Données projet'!$B$15,Paramètres!$A$1:$I$89,3,0)*0.475*44/12</f>
        <v>9.4816665641463053E-16</v>
      </c>
      <c r="EY168" s="22">
        <f t="shared" si="181"/>
        <v>28.38973896089643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1.7053025658242404E-13</v>
      </c>
      <c r="O169" s="13">
        <f>N169*VLOOKUP('Données projet'!$B$9,Paramètres!$A$1:$I$89,3,0)*VLOOKUP('Données projet'!$B$9,Paramètres!$A$1:$I$89,5,0)</f>
        <v>1.383341441396624E-13</v>
      </c>
      <c r="P169" s="13">
        <f t="shared" si="141"/>
        <v>2.0011390722884082E-12</v>
      </c>
      <c r="Q169" s="20">
        <f t="shared" si="162"/>
        <v>3.7262491852788889E-12</v>
      </c>
      <c r="R169" s="59">
        <f t="shared" si="109"/>
        <v>293.33333333333707</v>
      </c>
      <c r="S169" s="59">
        <f ca="1">AVERAGE(OFFSET($R$3,0,0,'Données projet'!$E$9+1,1))-AVERAGE(OFFSET($H$3,0,0,'Données projet'!$E$9+1,1))</f>
        <v>298.96480270023716</v>
      </c>
      <c r="T169" s="59">
        <f t="shared" si="142"/>
        <v>293.11447542333889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15.23205885958499</v>
      </c>
      <c r="AA169" s="21">
        <f>EXP(-LN(2)/25)*AA168+(1-EXP(-LN(2)/25))/(LN(2)/25)*Calculateur!V169*Calculateur!X169*VLOOKUP('Données projet'!$B$9,Paramètres!$A$1:$I$89,3,0)*0.475*44/12</f>
        <v>5.9386741194459978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21.170732979030987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1.9895196601282805E-13</v>
      </c>
      <c r="AJ169" s="13">
        <f>AI169*VLOOKUP('Données projet'!$B$10,Paramètres!$A$1:$I$89,3,0)*VLOOKUP('Données projet'!$B$10,Paramètres!$A$1:$I$89,5,0)</f>
        <v>1.707007868390065E-13</v>
      </c>
      <c r="AK169" s="13">
        <f t="shared" si="164"/>
        <v>2.4096578055149408E-12</v>
      </c>
      <c r="AL169" s="20">
        <f t="shared" si="165"/>
        <v>4.4941245483497909E-12</v>
      </c>
      <c r="AM169" s="59">
        <f t="shared" si="113"/>
        <v>293.33333333333781</v>
      </c>
      <c r="AN169" s="59">
        <f ca="1">AVERAGE(OFFSET($AM$3,0,0,'Données projet'!$E$10+1,1))-AVERAGE(OFFSET($H$3,0,0,'Données projet'!$E$10+1,1))</f>
        <v>335.02113791949211</v>
      </c>
      <c r="AO169" s="59">
        <f t="shared" si="144"/>
        <v>222.06886429435099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45.599505347620841</v>
      </c>
      <c r="AV169" s="21">
        <f>EXP(-LN(2)/25)*AV168+(1-EXP(-LN(2)/25))/(LN(2)/25)*Calculateur!AQ169*Calculateur!AS169*VLOOKUP('Données projet'!$B$10,Paramètres!$A$1:$I$89,3,0)*0.475*44/12</f>
        <v>21.570048727575326</v>
      </c>
      <c r="AW169" s="21">
        <f>EXP(-LN(2)/2)*AW168+(1-EXP(-LN(2)/2))/(LN(2)/2)*AQ169*AT169*VLOOKUP('Données projet'!$B$10,Paramètres!$A$1:$I$89,3,0)*0.475*44/12</f>
        <v>3.4204333111673561E-6</v>
      </c>
      <c r="AX169" s="21">
        <f t="shared" si="166"/>
        <v>67.169557495629491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-3.1036506698001178E-14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207.02306964567629</v>
      </c>
      <c r="BJ169" s="59">
        <f t="shared" si="146"/>
        <v>342.06887933351783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5.5617066519279321</v>
      </c>
      <c r="BQ169" s="21">
        <f>EXP(-LN(2)/25)*BQ168+(1-EXP(-LN(2)/25))/(LN(2)/25)*Calculateur!BL169*Calculateur!BN169*VLOOKUP('Données projet'!$B$11,Paramètres!$A$1:$I$89,3,0)*0.475*44/12</f>
        <v>4.557012982421325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10.118719634349258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233.89079999999998</v>
      </c>
      <c r="CA169" s="13">
        <f t="shared" si="170"/>
        <v>57.123140349023068</v>
      </c>
      <c r="CB169" s="20">
        <f t="shared" si="171"/>
        <v>506.84927944121517</v>
      </c>
      <c r="CC169" s="59">
        <f t="shared" si="119"/>
        <v>800.18261277454849</v>
      </c>
      <c r="CD169" s="59">
        <f ca="1">AVERAGE(OFFSET($CC$3,0,0,'Données projet'!$E$12+1,1))-AVERAGE(OFFSET($H$3,0,0,'Données projet'!$E$12+1,1))</f>
        <v>328.55201074501201</v>
      </c>
      <c r="CE169" s="59">
        <f t="shared" si="148"/>
        <v>321.81422611044985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6.0970426466206407</v>
      </c>
      <c r="CL169" s="21">
        <f>EXP(-LN(2)/25)*CL168+(1-EXP(-LN(2)/25))/(LN(2)/25)*Calculateur!CG169*Calculateur!CI169*VLOOKUP('Données projet'!$B$12,Paramètres!$A$1:$I$89,3,0)*0.475*44/12</f>
        <v>0.51982796639540629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6.6168706130160473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354.24684313982857</v>
      </c>
      <c r="CZ169" s="59">
        <f t="shared" si="150"/>
        <v>322.65043486962185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26.489849853196617</v>
      </c>
      <c r="DG169" s="21">
        <f>EXP(-LN(2)/25)*DG168+(1-EXP(-LN(2)/25))/(LN(2)/25)*Calculateur!DB169*Calculateur!DD169*VLOOKUP('Données projet'!$B$13,Paramètres!$A$1:$I$89,3,0)*0.475*44/12</f>
        <v>5.6138780997049551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32.103727952901572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1.7053025658242404E-13</v>
      </c>
      <c r="DP169" s="17">
        <f>DO169*VLOOKUP('Données projet'!$B$14,Paramètres!$A$1:$I$89,3,0)*VLOOKUP('Données projet'!$B$14,Paramètres!$A$1:$I$89,5,0)</f>
        <v>1.3301360013429075E-13</v>
      </c>
      <c r="DQ169" s="13">
        <f t="shared" si="176"/>
        <v>1.9329766731057041E-12</v>
      </c>
      <c r="DR169" s="20">
        <f t="shared" si="177"/>
        <v>3.5982663925596575E-12</v>
      </c>
      <c r="DS169" s="59">
        <f t="shared" si="125"/>
        <v>293.3333333333369</v>
      </c>
      <c r="DT169" s="59">
        <f ca="1">AVERAGE(OFFSET($DS$3,0,0,'Données projet'!$E$14+1,1))-AVERAGE(OFFSET($H$3,0,0,'Données projet'!$E$14+1,1))</f>
        <v>288.80569134263209</v>
      </c>
      <c r="DU169" s="59">
        <f t="shared" si="152"/>
        <v>283.48738729114024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11.882774509473046</v>
      </c>
      <c r="EB169" s="21">
        <f>EXP(-LN(2)/25)*EB168+(1-EXP(-LN(2)/25))/(LN(2)/25)*Calculateur!DW169*Calculateur!DY169*VLOOKUP('Données projet'!$B$14,Paramètres!$A$1:$I$89,3,0)*0.475*44/12</f>
        <v>4.6328553544299282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16.515629863902973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-6.3550942286383367E-14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335.04906256888819</v>
      </c>
      <c r="EP169" s="59">
        <f t="shared" si="154"/>
        <v>440.84111898279554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25.157887118799476</v>
      </c>
      <c r="EW169" s="21">
        <f>EXP(-LN(2)/25)*EW168+(1-EXP(-LN(2)/25))/(LN(2)/25)*Calculateur!ER169*Calculateur!ET169*VLOOKUP('Données projet'!$B$15,Paramètres!$A$1:$I$89,3,0)*0.475*44/12</f>
        <v>2.6540384336227025</v>
      </c>
      <c r="EX169" s="21">
        <f>EXP(-LN(2)/2)*EX168+(1-EXP(-LN(2)/2))/(LN(2)/2)*ER169*EU169*VLOOKUP('Données projet'!$B$15,Paramètres!$A$1:$I$89,3,0)*0.475*44/12</f>
        <v>6.7045507244576054E-16</v>
      </c>
      <c r="EY169" s="22">
        <f t="shared" si="181"/>
        <v>27.811925552422178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1.7053025658242404E-13</v>
      </c>
      <c r="O170" s="13">
        <f>N170*VLOOKUP('Données projet'!$B$9,Paramètres!$A$1:$I$89,3,0)*VLOOKUP('Données projet'!$B$9,Paramètres!$A$1:$I$89,5,0)</f>
        <v>1.383341441396624E-13</v>
      </c>
      <c r="P170" s="13">
        <f t="shared" si="141"/>
        <v>2.0011390722884082E-12</v>
      </c>
      <c r="Q170" s="20">
        <f t="shared" si="162"/>
        <v>3.7262491852788889E-12</v>
      </c>
      <c r="R170" s="59">
        <f t="shared" si="109"/>
        <v>293.33333333333707</v>
      </c>
      <c r="S170" s="59">
        <f ca="1">AVERAGE(OFFSET($R$3,0,0,'Données projet'!$E$9+1,1))-AVERAGE(OFFSET($H$3,0,0,'Données projet'!$E$9+1,1))</f>
        <v>298.96480270023716</v>
      </c>
      <c r="T170" s="59">
        <f t="shared" si="142"/>
        <v>293.11447542333889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14.933367475987058</v>
      </c>
      <c r="AA170" s="21">
        <f>EXP(-LN(2)/25)*AA169+(1-EXP(-LN(2)/25))/(LN(2)/25)*Calculateur!V170*Calculateur!X170*VLOOKUP('Données projet'!$B$9,Paramètres!$A$1:$I$89,3,0)*0.475*44/12</f>
        <v>5.7762807633484483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20.709648239335507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1.9895196601282805E-13</v>
      </c>
      <c r="AJ170" s="13">
        <f>AI170*VLOOKUP('Données projet'!$B$10,Paramètres!$A$1:$I$89,3,0)*VLOOKUP('Données projet'!$B$10,Paramètres!$A$1:$I$89,5,0)</f>
        <v>1.707007868390065E-13</v>
      </c>
      <c r="AK170" s="13">
        <f t="shared" si="164"/>
        <v>2.4096578055149408E-12</v>
      </c>
      <c r="AL170" s="20">
        <f t="shared" si="165"/>
        <v>4.4941245483497909E-12</v>
      </c>
      <c r="AM170" s="59">
        <f t="shared" si="113"/>
        <v>293.33333333333781</v>
      </c>
      <c r="AN170" s="59">
        <f ca="1">AVERAGE(OFFSET($AM$3,0,0,'Données projet'!$E$10+1,1))-AVERAGE(OFFSET($H$3,0,0,'Données projet'!$E$10+1,1))</f>
        <v>335.02113791949211</v>
      </c>
      <c r="AO170" s="59">
        <f t="shared" si="144"/>
        <v>222.06886429435099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44.705326860705959</v>
      </c>
      <c r="AV170" s="21">
        <f>EXP(-LN(2)/25)*AV169+(1-EXP(-LN(2)/25))/(LN(2)/25)*Calculateur!AQ170*Calculateur!AS170*VLOOKUP('Données projet'!$B$10,Paramètres!$A$1:$I$89,3,0)*0.475*44/12</f>
        <v>20.980214610800214</v>
      </c>
      <c r="AW170" s="21">
        <f>EXP(-LN(2)/2)*AW169+(1-EXP(-LN(2)/2))/(LN(2)/2)*AQ170*AT170*VLOOKUP('Données projet'!$B$10,Paramètres!$A$1:$I$89,3,0)*0.475*44/12</f>
        <v>2.4186115889227938E-6</v>
      </c>
      <c r="AX170" s="21">
        <f t="shared" si="166"/>
        <v>65.685543890117756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-3.1036506698001178E-14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207.02306964567629</v>
      </c>
      <c r="BJ170" s="59">
        <f t="shared" si="146"/>
        <v>342.06887933351783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5.4526449767897205</v>
      </c>
      <c r="BQ170" s="21">
        <f>EXP(-LN(2)/25)*BQ169+(1-EXP(-LN(2)/25))/(LN(2)/25)*Calculateur!BL170*Calculateur!BN170*VLOOKUP('Données projet'!$B$11,Paramètres!$A$1:$I$89,3,0)*0.475*44/12</f>
        <v>4.4324012227741161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9.8850461995638366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233.89079999999998</v>
      </c>
      <c r="CA170" s="13">
        <f t="shared" si="170"/>
        <v>57.123140349023068</v>
      </c>
      <c r="CB170" s="20">
        <f t="shared" si="171"/>
        <v>506.84927944121517</v>
      </c>
      <c r="CC170" s="59">
        <f t="shared" si="119"/>
        <v>800.18261277454849</v>
      </c>
      <c r="CD170" s="59">
        <f ca="1">AVERAGE(OFFSET($CC$3,0,0,'Données projet'!$E$12+1,1))-AVERAGE(OFFSET($H$3,0,0,'Données projet'!$E$12+1,1))</f>
        <v>328.55201074501201</v>
      </c>
      <c r="CE170" s="59">
        <f t="shared" si="148"/>
        <v>321.81422611044985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5.9774833591492209</v>
      </c>
      <c r="CL170" s="21">
        <f>EXP(-LN(2)/25)*CL169+(1-EXP(-LN(2)/25))/(LN(2)/25)*Calculateur!CG170*Calculateur!CI170*VLOOKUP('Données projet'!$B$12,Paramètres!$A$1:$I$89,3,0)*0.475*44/12</f>
        <v>0.50561324331775925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6.4830966024669801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354.24684313982857</v>
      </c>
      <c r="CZ170" s="59">
        <f t="shared" si="150"/>
        <v>322.65043486962185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25.970400054788449</v>
      </c>
      <c r="DG170" s="21">
        <f>EXP(-LN(2)/25)*DG169+(1-EXP(-LN(2)/25))/(LN(2)/25)*Calculateur!DB170*Calculateur!DD170*VLOOKUP('Données projet'!$B$13,Paramètres!$A$1:$I$89,3,0)*0.475*44/12</f>
        <v>5.4603663078475044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31.430766362635953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1.7053025658242404E-13</v>
      </c>
      <c r="DP170" s="17">
        <f>DO170*VLOOKUP('Données projet'!$B$14,Paramètres!$A$1:$I$89,3,0)*VLOOKUP('Données projet'!$B$14,Paramètres!$A$1:$I$89,5,0)</f>
        <v>1.3301360013429075E-13</v>
      </c>
      <c r="DQ170" s="13">
        <f t="shared" si="176"/>
        <v>1.9329766731057041E-12</v>
      </c>
      <c r="DR170" s="20">
        <f t="shared" si="177"/>
        <v>3.5982663925596575E-12</v>
      </c>
      <c r="DS170" s="59">
        <f t="shared" si="125"/>
        <v>293.3333333333369</v>
      </c>
      <c r="DT170" s="59">
        <f ca="1">AVERAGE(OFFSET($DS$3,0,0,'Données projet'!$E$14+1,1))-AVERAGE(OFFSET($H$3,0,0,'Données projet'!$E$14+1,1))</f>
        <v>288.80569134263209</v>
      </c>
      <c r="DU170" s="59">
        <f t="shared" si="152"/>
        <v>283.48738729114024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11.649760549119073</v>
      </c>
      <c r="EB170" s="21">
        <f>EXP(-LN(2)/25)*EB169+(1-EXP(-LN(2)/25))/(LN(2)/25)*Calculateur!DW170*Calculateur!DY170*VLOOKUP('Données projet'!$B$14,Paramètres!$A$1:$I$89,3,0)*0.475*44/12</f>
        <v>4.5061696811317669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16.155930230250839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-6.3550942286383367E-14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335.04906256888819</v>
      </c>
      <c r="EP170" s="59">
        <f t="shared" si="154"/>
        <v>440.84111898279554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24.664556297195787</v>
      </c>
      <c r="EW170" s="21">
        <f>EXP(-LN(2)/25)*EW169+(1-EXP(-LN(2)/25))/(LN(2)/25)*Calculateur!ER170*Calculateur!ET170*VLOOKUP('Données projet'!$B$15,Paramètres!$A$1:$I$89,3,0)*0.475*44/12</f>
        <v>2.5814636130854742</v>
      </c>
      <c r="EX170" s="21">
        <f>EXP(-LN(2)/2)*EX169+(1-EXP(-LN(2)/2))/(LN(2)/2)*ER170*EU170*VLOOKUP('Données projet'!$B$15,Paramètres!$A$1:$I$89,3,0)*0.475*44/12</f>
        <v>4.7408332820731527E-16</v>
      </c>
      <c r="EY170" s="22">
        <f t="shared" si="181"/>
        <v>27.246019910281262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1.7053025658242404E-13</v>
      </c>
      <c r="O171" s="13">
        <f>N171*VLOOKUP('Données projet'!$B$9,Paramètres!$A$1:$I$89,3,0)*VLOOKUP('Données projet'!$B$9,Paramètres!$A$1:$I$89,5,0)</f>
        <v>1.383341441396624E-13</v>
      </c>
      <c r="P171" s="13">
        <f t="shared" si="141"/>
        <v>2.0011390722884082E-12</v>
      </c>
      <c r="Q171" s="20">
        <f t="shared" si="162"/>
        <v>3.7262491852788889E-12</v>
      </c>
      <c r="R171" s="59">
        <f t="shared" si="109"/>
        <v>293.33333333333707</v>
      </c>
      <c r="S171" s="59">
        <f ca="1">AVERAGE(OFFSET($R$3,0,0,'Données projet'!$E$9+1,1))-AVERAGE(OFFSET($H$3,0,0,'Données projet'!$E$9+1,1))</f>
        <v>298.96480270023716</v>
      </c>
      <c r="T171" s="59">
        <f t="shared" si="142"/>
        <v>293.11447542333889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14.640533248237727</v>
      </c>
      <c r="AA171" s="21">
        <f>EXP(-LN(2)/25)*AA170+(1-EXP(-LN(2)/25))/(LN(2)/25)*Calculateur!V171*Calculateur!X171*VLOOKUP('Données projet'!$B$9,Paramètres!$A$1:$I$89,3,0)*0.475*44/12</f>
        <v>5.6183280621132816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20.258861310351008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1.9895196601282805E-13</v>
      </c>
      <c r="AJ171" s="13">
        <f>AI171*VLOOKUP('Données projet'!$B$10,Paramètres!$A$1:$I$89,3,0)*VLOOKUP('Données projet'!$B$10,Paramètres!$A$1:$I$89,5,0)</f>
        <v>1.707007868390065E-13</v>
      </c>
      <c r="AK171" s="13">
        <f t="shared" si="164"/>
        <v>2.4096578055149408E-12</v>
      </c>
      <c r="AL171" s="20">
        <f t="shared" si="165"/>
        <v>4.4941245483497909E-12</v>
      </c>
      <c r="AM171" s="59">
        <f t="shared" si="113"/>
        <v>293.33333333333781</v>
      </c>
      <c r="AN171" s="59">
        <f ca="1">AVERAGE(OFFSET($AM$3,0,0,'Données projet'!$E$10+1,1))-AVERAGE(OFFSET($H$3,0,0,'Données projet'!$E$10+1,1))</f>
        <v>335.02113791949211</v>
      </c>
      <c r="AO171" s="59">
        <f t="shared" si="144"/>
        <v>222.06886429435099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43.828682668524451</v>
      </c>
      <c r="AV171" s="21">
        <f>EXP(-LN(2)/25)*AV170+(1-EXP(-LN(2)/25))/(LN(2)/25)*Calculateur!AQ171*Calculateur!AS171*VLOOKUP('Données projet'!$B$10,Paramètres!$A$1:$I$89,3,0)*0.475*44/12</f>
        <v>20.406509538966347</v>
      </c>
      <c r="AW171" s="21">
        <f>EXP(-LN(2)/2)*AW170+(1-EXP(-LN(2)/2))/(LN(2)/2)*AQ171*AT171*VLOOKUP('Données projet'!$B$10,Paramètres!$A$1:$I$89,3,0)*0.475*44/12</f>
        <v>1.710216655583678E-6</v>
      </c>
      <c r="AX171" s="21">
        <f t="shared" si="166"/>
        <v>64.235193917707448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-3.1036506698001178E-14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207.02306964567629</v>
      </c>
      <c r="BJ171" s="59">
        <f t="shared" si="146"/>
        <v>342.06887933351783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5.3457219345799158</v>
      </c>
      <c r="BQ171" s="21">
        <f>EXP(-LN(2)/25)*BQ170+(1-EXP(-LN(2)/25))/(LN(2)/25)*Calculateur!BL171*Calculateur!BN171*VLOOKUP('Données projet'!$B$11,Paramètres!$A$1:$I$89,3,0)*0.475*44/12</f>
        <v>4.3111969782475077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9.6569189128274235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233.89079999999998</v>
      </c>
      <c r="CA171" s="13">
        <f t="shared" si="170"/>
        <v>57.123140349023068</v>
      </c>
      <c r="CB171" s="20">
        <f t="shared" si="171"/>
        <v>506.84927944121517</v>
      </c>
      <c r="CC171" s="59">
        <f t="shared" si="119"/>
        <v>800.18261277454849</v>
      </c>
      <c r="CD171" s="59">
        <f ca="1">AVERAGE(OFFSET($CC$3,0,0,'Données projet'!$E$12+1,1))-AVERAGE(OFFSET($H$3,0,0,'Données projet'!$E$12+1,1))</f>
        <v>328.55201074501201</v>
      </c>
      <c r="CE171" s="59">
        <f t="shared" si="148"/>
        <v>321.81422611044985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5.8602685563811505</v>
      </c>
      <c r="CL171" s="21">
        <f>EXP(-LN(2)/25)*CL170+(1-EXP(-LN(2)/25))/(LN(2)/25)*Calculateur!CG171*Calculateur!CI171*VLOOKUP('Données projet'!$B$12,Paramètres!$A$1:$I$89,3,0)*0.475*44/12</f>
        <v>0.49178722259019025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6.3520557789713408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354.24684313982857</v>
      </c>
      <c r="CZ171" s="59">
        <f t="shared" si="150"/>
        <v>322.65043486962185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25.461136350093973</v>
      </c>
      <c r="DG171" s="21">
        <f>EXP(-LN(2)/25)*DG170+(1-EXP(-LN(2)/25))/(LN(2)/25)*Calculateur!DB171*Calculateur!DD171*VLOOKUP('Données projet'!$B$13,Paramètres!$A$1:$I$89,3,0)*0.475*44/12</f>
        <v>5.3110523040112305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30.772188654105204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1.7053025658242404E-13</v>
      </c>
      <c r="DP171" s="17">
        <f>DO171*VLOOKUP('Données projet'!$B$14,Paramètres!$A$1:$I$89,3,0)*VLOOKUP('Données projet'!$B$14,Paramètres!$A$1:$I$89,5,0)</f>
        <v>1.3301360013429075E-13</v>
      </c>
      <c r="DQ171" s="13">
        <f t="shared" si="176"/>
        <v>1.9329766731057041E-12</v>
      </c>
      <c r="DR171" s="20">
        <f t="shared" si="177"/>
        <v>3.5982663925596575E-12</v>
      </c>
      <c r="DS171" s="59">
        <f t="shared" si="125"/>
        <v>293.3333333333369</v>
      </c>
      <c r="DT171" s="59">
        <f ca="1">AVERAGE(OFFSET($DS$3,0,0,'Données projet'!$E$14+1,1))-AVERAGE(OFFSET($H$3,0,0,'Données projet'!$E$14+1,1))</f>
        <v>288.80569134263209</v>
      </c>
      <c r="DU171" s="59">
        <f t="shared" si="152"/>
        <v>283.48738729114024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11.421315850403158</v>
      </c>
      <c r="EB171" s="21">
        <f>EXP(-LN(2)/25)*EB170+(1-EXP(-LN(2)/25))/(LN(2)/25)*Calculateur!DW171*Calculateur!DY171*VLOOKUP('Données projet'!$B$14,Paramètres!$A$1:$I$89,3,0)*0.475*44/12</f>
        <v>4.382948234232054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15.804264084635211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-6.3550942286383367E-14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335.04906256888819</v>
      </c>
      <c r="EP171" s="59">
        <f t="shared" si="154"/>
        <v>440.84111898279554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24.180899392101658</v>
      </c>
      <c r="EW171" s="21">
        <f>EXP(-LN(2)/25)*EW170+(1-EXP(-LN(2)/25))/(LN(2)/25)*Calculateur!ER171*Calculateur!ET171*VLOOKUP('Données projet'!$B$15,Paramètres!$A$1:$I$89,3,0)*0.475*44/12</f>
        <v>2.5108733548323805</v>
      </c>
      <c r="EX171" s="21">
        <f>EXP(-LN(2)/2)*EX170+(1-EXP(-LN(2)/2))/(LN(2)/2)*ER171*EU171*VLOOKUP('Données projet'!$B$15,Paramètres!$A$1:$I$89,3,0)*0.475*44/12</f>
        <v>3.3522753622288027E-16</v>
      </c>
      <c r="EY171" s="22">
        <f t="shared" si="181"/>
        <v>26.691772746934038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1.7053025658242404E-13</v>
      </c>
      <c r="O172" s="13">
        <f>N172*VLOOKUP('Données projet'!$B$9,Paramètres!$A$1:$I$89,3,0)*VLOOKUP('Données projet'!$B$9,Paramètres!$A$1:$I$89,5,0)</f>
        <v>1.383341441396624E-13</v>
      </c>
      <c r="P172" s="13">
        <f t="shared" si="141"/>
        <v>2.0011390722884082E-12</v>
      </c>
      <c r="Q172" s="20">
        <f t="shared" si="162"/>
        <v>3.7262491852788889E-12</v>
      </c>
      <c r="R172" s="59">
        <f t="shared" si="109"/>
        <v>293.33333333333707</v>
      </c>
      <c r="S172" s="59">
        <f ca="1">AVERAGE(OFFSET($R$3,0,0,'Données projet'!$E$9+1,1))-AVERAGE(OFFSET($H$3,0,0,'Données projet'!$E$9+1,1))</f>
        <v>298.96480270023716</v>
      </c>
      <c r="T172" s="59">
        <f t="shared" si="142"/>
        <v>293.11447542333889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14.353441321083318</v>
      </c>
      <c r="AA172" s="21">
        <f>EXP(-LN(2)/25)*AA171+(1-EXP(-LN(2)/25))/(LN(2)/25)*Calculateur!V172*Calculateur!X172*VLOOKUP('Données projet'!$B$9,Paramètres!$A$1:$I$89,3,0)*0.475*44/12</f>
        <v>5.4646945857997622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19.818135906883079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1.9895196601282805E-13</v>
      </c>
      <c r="AJ172" s="13">
        <f>AI172*VLOOKUP('Données projet'!$B$10,Paramètres!$A$1:$I$89,3,0)*VLOOKUP('Données projet'!$B$10,Paramètres!$A$1:$I$89,5,0)</f>
        <v>1.707007868390065E-13</v>
      </c>
      <c r="AK172" s="13">
        <f t="shared" si="164"/>
        <v>2.4096578055149408E-12</v>
      </c>
      <c r="AL172" s="20">
        <f t="shared" si="165"/>
        <v>4.4941245483497909E-12</v>
      </c>
      <c r="AM172" s="59">
        <f t="shared" si="113"/>
        <v>293.33333333333781</v>
      </c>
      <c r="AN172" s="59">
        <f ca="1">AVERAGE(OFFSET($AM$3,0,0,'Données projet'!$E$10+1,1))-AVERAGE(OFFSET($H$3,0,0,'Données projet'!$E$10+1,1))</f>
        <v>335.02113791949211</v>
      </c>
      <c r="AO172" s="59">
        <f t="shared" si="144"/>
        <v>222.06886429435099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42.969228934251461</v>
      </c>
      <c r="AV172" s="21">
        <f>EXP(-LN(2)/25)*AV171+(1-EXP(-LN(2)/25))/(LN(2)/25)*Calculateur!AQ172*Calculateur!AS172*VLOOKUP('Données projet'!$B$10,Paramètres!$A$1:$I$89,3,0)*0.475*44/12</f>
        <v>19.848492462491617</v>
      </c>
      <c r="AW172" s="21">
        <f>EXP(-LN(2)/2)*AW171+(1-EXP(-LN(2)/2))/(LN(2)/2)*AQ172*AT172*VLOOKUP('Données projet'!$B$10,Paramètres!$A$1:$I$89,3,0)*0.475*44/12</f>
        <v>1.2093057944613969E-6</v>
      </c>
      <c r="AX172" s="21">
        <f t="shared" si="166"/>
        <v>62.817722606048875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-3.1036506698001178E-14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207.02306964567629</v>
      </c>
      <c r="BJ172" s="59">
        <f t="shared" si="146"/>
        <v>342.06887933351783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5.2408955880112291</v>
      </c>
      <c r="BQ172" s="21">
        <f>EXP(-LN(2)/25)*BQ171+(1-EXP(-LN(2)/25))/(LN(2)/25)*Calculateur!BL172*Calculateur!BN172*VLOOKUP('Données projet'!$B$11,Paramètres!$A$1:$I$89,3,0)*0.475*44/12</f>
        <v>4.1933070701613335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9.4342026581725626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233.89079999999998</v>
      </c>
      <c r="CA172" s="13">
        <f t="shared" si="170"/>
        <v>57.123140349023068</v>
      </c>
      <c r="CB172" s="20">
        <f t="shared" si="171"/>
        <v>506.84927944121517</v>
      </c>
      <c r="CC172" s="59">
        <f t="shared" si="119"/>
        <v>800.18261277454849</v>
      </c>
      <c r="CD172" s="59">
        <f ca="1">AVERAGE(OFFSET($CC$3,0,0,'Données projet'!$E$12+1,1))-AVERAGE(OFFSET($H$3,0,0,'Données projet'!$E$12+1,1))</f>
        <v>328.55201074501201</v>
      </c>
      <c r="CE172" s="59">
        <f t="shared" si="148"/>
        <v>321.81422611044985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5.7453522644013919</v>
      </c>
      <c r="CL172" s="21">
        <f>EXP(-LN(2)/25)*CL171+(1-EXP(-LN(2)/25))/(LN(2)/25)*Calculateur!CG172*Calculateur!CI172*VLOOKUP('Données projet'!$B$12,Paramètres!$A$1:$I$89,3,0)*0.475*44/12</f>
        <v>0.47833927512649543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6.2236915395278878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354.24684313982857</v>
      </c>
      <c r="CZ172" s="59">
        <f t="shared" si="150"/>
        <v>322.65043486962185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24.961858996028369</v>
      </c>
      <c r="DG172" s="21">
        <f>EXP(-LN(2)/25)*DG171+(1-EXP(-LN(2)/25))/(LN(2)/25)*Calculateur!DB172*Calculateur!DD172*VLOOKUP('Données projet'!$B$13,Paramètres!$A$1:$I$89,3,0)*0.475*44/12</f>
        <v>5.1658212994619417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30.127680295490311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1.7053025658242404E-13</v>
      </c>
      <c r="DP172" s="17">
        <f>DO172*VLOOKUP('Données projet'!$B$14,Paramètres!$A$1:$I$89,3,0)*VLOOKUP('Données projet'!$B$14,Paramètres!$A$1:$I$89,5,0)</f>
        <v>1.3301360013429075E-13</v>
      </c>
      <c r="DQ172" s="13">
        <f t="shared" si="176"/>
        <v>1.9329766731057041E-12</v>
      </c>
      <c r="DR172" s="20">
        <f t="shared" si="177"/>
        <v>3.5982663925596575E-12</v>
      </c>
      <c r="DS172" s="59">
        <f t="shared" si="125"/>
        <v>293.3333333333369</v>
      </c>
      <c r="DT172" s="59">
        <f ca="1">AVERAGE(OFFSET($DS$3,0,0,'Données projet'!$E$14+1,1))-AVERAGE(OFFSET($H$3,0,0,'Données projet'!$E$14+1,1))</f>
        <v>288.80569134263209</v>
      </c>
      <c r="DU172" s="59">
        <f t="shared" si="152"/>
        <v>283.48738729114024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11.197350812891553</v>
      </c>
      <c r="EB172" s="21">
        <f>EXP(-LN(2)/25)*EB171+(1-EXP(-LN(2)/25))/(LN(2)/25)*Calculateur!DW172*Calculateur!DY172*VLOOKUP('Données projet'!$B$14,Paramètres!$A$1:$I$89,3,0)*0.475*44/12</f>
        <v>4.263096284277748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15.4604470971693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-6.3550942286383367E-14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335.04906256888819</v>
      </c>
      <c r="EP172" s="59">
        <f t="shared" si="154"/>
        <v>440.84111898279554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23.706726703914843</v>
      </c>
      <c r="EW172" s="21">
        <f>EXP(-LN(2)/25)*EW171+(1-EXP(-LN(2)/25))/(LN(2)/25)*Calculateur!ER172*Calculateur!ET172*VLOOKUP('Données projet'!$B$15,Paramètres!$A$1:$I$89,3,0)*0.475*44/12</f>
        <v>2.4422133909033978</v>
      </c>
      <c r="EX172" s="21">
        <f>EXP(-LN(2)/2)*EX171+(1-EXP(-LN(2)/2))/(LN(2)/2)*ER172*EU172*VLOOKUP('Données projet'!$B$15,Paramètres!$A$1:$I$89,3,0)*0.475*44/12</f>
        <v>2.3704166410365763E-16</v>
      </c>
      <c r="EY172" s="22">
        <f t="shared" si="181"/>
        <v>26.14894009481824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1.7053025658242404E-13</v>
      </c>
      <c r="O173" s="13">
        <f>N173*VLOOKUP('Données projet'!$B$9,Paramètres!$A$1:$I$89,3,0)*VLOOKUP('Données projet'!$B$9,Paramètres!$A$1:$I$89,5,0)</f>
        <v>1.383341441396624E-13</v>
      </c>
      <c r="P173" s="13">
        <f t="shared" si="141"/>
        <v>2.0011390722884082E-12</v>
      </c>
      <c r="Q173" s="20">
        <f t="shared" si="162"/>
        <v>3.7262491852788889E-12</v>
      </c>
      <c r="R173" s="59">
        <f t="shared" si="109"/>
        <v>293.33333333333707</v>
      </c>
      <c r="S173" s="59">
        <f ca="1">AVERAGE(OFFSET($R$3,0,0,'Données projet'!$E$9+1,1))-AVERAGE(OFFSET($H$3,0,0,'Données projet'!$E$9+1,1))</f>
        <v>298.96480270023716</v>
      </c>
      <c r="T173" s="59">
        <f t="shared" si="142"/>
        <v>293.11447542333889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14.071979091511622</v>
      </c>
      <c r="AA173" s="21">
        <f>EXP(-LN(2)/25)*AA172+(1-EXP(-LN(2)/25))/(LN(2)/25)*Calculateur!V173*Calculateur!X173*VLOOKUP('Données projet'!$B$9,Paramètres!$A$1:$I$89,3,0)*0.475*44/12</f>
        <v>5.3152622249752692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19.387241316486893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1.9895196601282805E-13</v>
      </c>
      <c r="AJ173" s="13">
        <f>AI173*VLOOKUP('Données projet'!$B$10,Paramètres!$A$1:$I$89,3,0)*VLOOKUP('Données projet'!$B$10,Paramètres!$A$1:$I$89,5,0)</f>
        <v>1.707007868390065E-13</v>
      </c>
      <c r="AK173" s="13">
        <f t="shared" si="164"/>
        <v>2.4096578055149408E-12</v>
      </c>
      <c r="AL173" s="20">
        <f t="shared" si="165"/>
        <v>4.4941245483497909E-12</v>
      </c>
      <c r="AM173" s="59">
        <f t="shared" si="113"/>
        <v>293.33333333333781</v>
      </c>
      <c r="AN173" s="59">
        <f ca="1">AVERAGE(OFFSET($AM$3,0,0,'Données projet'!$E$10+1,1))-AVERAGE(OFFSET($H$3,0,0,'Données projet'!$E$10+1,1))</f>
        <v>335.02113791949211</v>
      </c>
      <c r="AO173" s="59">
        <f t="shared" si="144"/>
        <v>222.06886429435099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42.126628563492552</v>
      </c>
      <c r="AV173" s="21">
        <f>EXP(-LN(2)/25)*AV172+(1-EXP(-LN(2)/25))/(LN(2)/25)*Calculateur!AQ173*Calculateur!AS173*VLOOKUP('Données projet'!$B$10,Paramètres!$A$1:$I$89,3,0)*0.475*44/12</f>
        <v>19.30573439231793</v>
      </c>
      <c r="AW173" s="21">
        <f>EXP(-LN(2)/2)*AW172+(1-EXP(-LN(2)/2))/(LN(2)/2)*AQ173*AT173*VLOOKUP('Données projet'!$B$10,Paramètres!$A$1:$I$89,3,0)*0.475*44/12</f>
        <v>8.5510832779183901E-7</v>
      </c>
      <c r="AX173" s="21">
        <f t="shared" si="166"/>
        <v>61.432363810918808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-3.1036506698001178E-14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207.02306964567629</v>
      </c>
      <c r="BJ173" s="59">
        <f t="shared" si="146"/>
        <v>342.06887933351783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5.1381248221609965</v>
      </c>
      <c r="BQ173" s="21">
        <f>EXP(-LN(2)/25)*BQ172+(1-EXP(-LN(2)/25))/(LN(2)/25)*Calculateur!BL173*Calculateur!BN173*VLOOKUP('Données projet'!$B$11,Paramètres!$A$1:$I$89,3,0)*0.475*44/12</f>
        <v>4.0786408678113366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9.216765689972334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233.89079999999998</v>
      </c>
      <c r="CA173" s="13">
        <f t="shared" si="170"/>
        <v>57.123140349023068</v>
      </c>
      <c r="CB173" s="20">
        <f t="shared" si="171"/>
        <v>506.84927944121517</v>
      </c>
      <c r="CC173" s="59">
        <f t="shared" si="119"/>
        <v>800.18261277454849</v>
      </c>
      <c r="CD173" s="59">
        <f ca="1">AVERAGE(OFFSET($CC$3,0,0,'Données projet'!$E$12+1,1))-AVERAGE(OFFSET($H$3,0,0,'Données projet'!$E$12+1,1))</f>
        <v>328.55201074501201</v>
      </c>
      <c r="CE173" s="59">
        <f t="shared" si="148"/>
        <v>321.81422611044985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5.6326894108153391</v>
      </c>
      <c r="CL173" s="21">
        <f>EXP(-LN(2)/25)*CL172+(1-EXP(-LN(2)/25))/(LN(2)/25)*Calculateur!CG173*Calculateur!CI173*VLOOKUP('Données projet'!$B$12,Paramètres!$A$1:$I$89,3,0)*0.475*44/12</f>
        <v>0.46525906249339222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6.0979484733087315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354.24684313982857</v>
      </c>
      <c r="CZ173" s="59">
        <f t="shared" si="150"/>
        <v>322.65043486962185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24.472372166346872</v>
      </c>
      <c r="DG173" s="21">
        <f>EXP(-LN(2)/25)*DG172+(1-EXP(-LN(2)/25))/(LN(2)/25)*Calculateur!DB173*Calculateur!DD173*VLOOKUP('Données projet'!$B$13,Paramètres!$A$1:$I$89,3,0)*0.475*44/12</f>
        <v>5.0245616443694194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29.496933810716293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1.7053025658242404E-13</v>
      </c>
      <c r="DP173" s="17">
        <f>DO173*VLOOKUP('Données projet'!$B$14,Paramètres!$A$1:$I$89,3,0)*VLOOKUP('Données projet'!$B$14,Paramètres!$A$1:$I$89,5,0)</f>
        <v>1.3301360013429075E-13</v>
      </c>
      <c r="DQ173" s="13">
        <f t="shared" si="176"/>
        <v>1.9329766731057041E-12</v>
      </c>
      <c r="DR173" s="20">
        <f t="shared" si="177"/>
        <v>3.5982663925596575E-12</v>
      </c>
      <c r="DS173" s="59">
        <f t="shared" si="125"/>
        <v>293.3333333333369</v>
      </c>
      <c r="DT173" s="59">
        <f ca="1">AVERAGE(OFFSET($DS$3,0,0,'Données projet'!$E$14+1,1))-AVERAGE(OFFSET($H$3,0,0,'Données projet'!$E$14+1,1))</f>
        <v>288.80569134263209</v>
      </c>
      <c r="DU173" s="59">
        <f t="shared" si="152"/>
        <v>283.48738729114024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10.977777593160368</v>
      </c>
      <c r="EB173" s="21">
        <f>EXP(-LN(2)/25)*EB172+(1-EXP(-LN(2)/25))/(LN(2)/25)*Calculateur!DW173*Calculateur!DY173*VLOOKUP('Données projet'!$B$14,Paramètres!$A$1:$I$89,3,0)*0.475*44/12</f>
        <v>4.1465216921976831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15.124299285358052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-6.3550942286383367E-14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335.04906256888819</v>
      </c>
      <c r="EP173" s="59">
        <f t="shared" si="154"/>
        <v>440.84111898279554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23.241852252926588</v>
      </c>
      <c r="EW173" s="21">
        <f>EXP(-LN(2)/25)*EW172+(1-EXP(-LN(2)/25))/(LN(2)/25)*Calculateur!ER173*Calculateur!ET173*VLOOKUP('Données projet'!$B$15,Paramètres!$A$1:$I$89,3,0)*0.475*44/12</f>
        <v>2.3754309372987241</v>
      </c>
      <c r="EX173" s="21">
        <f>EXP(-LN(2)/2)*EX172+(1-EXP(-LN(2)/2))/(LN(2)/2)*ER173*EU173*VLOOKUP('Données projet'!$B$15,Paramètres!$A$1:$I$89,3,0)*0.475*44/12</f>
        <v>1.6761376811144013E-16</v>
      </c>
      <c r="EY173" s="22">
        <f t="shared" si="181"/>
        <v>25.617283190225312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1.7053025658242404E-13</v>
      </c>
      <c r="O174" s="13">
        <f>N174*VLOOKUP('Données projet'!$B$9,Paramètres!$A$1:$I$89,3,0)*VLOOKUP('Données projet'!$B$9,Paramètres!$A$1:$I$89,5,0)</f>
        <v>1.383341441396624E-13</v>
      </c>
      <c r="P174" s="13">
        <f t="shared" si="141"/>
        <v>2.0011390722884082E-12</v>
      </c>
      <c r="Q174" s="20">
        <f t="shared" si="162"/>
        <v>3.7262491852788889E-12</v>
      </c>
      <c r="R174" s="59">
        <f t="shared" si="109"/>
        <v>293.33333333333707</v>
      </c>
      <c r="S174" s="59">
        <f ca="1">AVERAGE(OFFSET($R$3,0,0,'Données projet'!$E$9+1,1))-AVERAGE(OFFSET($H$3,0,0,'Données projet'!$E$9+1,1))</f>
        <v>298.96480270023716</v>
      </c>
      <c r="T174" s="59">
        <f t="shared" si="142"/>
        <v>293.11447542333889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13.796036164586818</v>
      </c>
      <c r="AA174" s="21">
        <f>EXP(-LN(2)/25)*AA173+(1-EXP(-LN(2)/25))/(LN(2)/25)*Calculateur!V174*Calculateur!X174*VLOOKUP('Données projet'!$B$9,Paramètres!$A$1:$I$89,3,0)*0.475*44/12</f>
        <v>5.1699160999158282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18.965952264502647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1.9895196601282805E-13</v>
      </c>
      <c r="AJ174" s="13">
        <f>AI174*VLOOKUP('Données projet'!$B$10,Paramètres!$A$1:$I$89,3,0)*VLOOKUP('Données projet'!$B$10,Paramètres!$A$1:$I$89,5,0)</f>
        <v>1.707007868390065E-13</v>
      </c>
      <c r="AK174" s="13">
        <f t="shared" si="164"/>
        <v>2.4096578055149408E-12</v>
      </c>
      <c r="AL174" s="20">
        <f t="shared" si="165"/>
        <v>4.4941245483497909E-12</v>
      </c>
      <c r="AM174" s="59">
        <f t="shared" si="113"/>
        <v>293.33333333333781</v>
      </c>
      <c r="AN174" s="59">
        <f ca="1">AVERAGE(OFFSET($AM$3,0,0,'Données projet'!$E$10+1,1))-AVERAGE(OFFSET($H$3,0,0,'Données projet'!$E$10+1,1))</f>
        <v>335.02113791949211</v>
      </c>
      <c r="AO174" s="59">
        <f t="shared" si="144"/>
        <v>222.06886429435099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41.300551072068743</v>
      </c>
      <c r="AV174" s="21">
        <f>EXP(-LN(2)/25)*AV173+(1-EXP(-LN(2)/25))/(LN(2)/25)*Calculateur!AQ174*Calculateur!AS174*VLOOKUP('Données projet'!$B$10,Paramètres!$A$1:$I$89,3,0)*0.475*44/12</f>
        <v>18.777818070115547</v>
      </c>
      <c r="AW174" s="21">
        <f>EXP(-LN(2)/2)*AW173+(1-EXP(-LN(2)/2))/(LN(2)/2)*AQ174*AT174*VLOOKUP('Données projet'!$B$10,Paramètres!$A$1:$I$89,3,0)*0.475*44/12</f>
        <v>6.0465289723069845E-7</v>
      </c>
      <c r="AX174" s="21">
        <f t="shared" si="166"/>
        <v>60.078369746837183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-3.1036506698001178E-14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207.02306964567629</v>
      </c>
      <c r="BJ174" s="59">
        <f t="shared" si="146"/>
        <v>342.06887933351783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5.0373693283451093</v>
      </c>
      <c r="BQ174" s="21">
        <f>EXP(-LN(2)/25)*BQ173+(1-EXP(-LN(2)/25))/(LN(2)/25)*Calculateur!BL174*Calculateur!BN174*VLOOKUP('Données projet'!$B$11,Paramètres!$A$1:$I$89,3,0)*0.475*44/12</f>
        <v>3.9671102187946343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9.0044795471397432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233.89079999999998</v>
      </c>
      <c r="CA174" s="13">
        <f t="shared" si="170"/>
        <v>57.123140349023068</v>
      </c>
      <c r="CB174" s="20">
        <f t="shared" si="171"/>
        <v>506.84927944121517</v>
      </c>
      <c r="CC174" s="59">
        <f t="shared" si="119"/>
        <v>800.18261277454849</v>
      </c>
      <c r="CD174" s="59">
        <f ca="1">AVERAGE(OFFSET($CC$3,0,0,'Données projet'!$E$12+1,1))-AVERAGE(OFFSET($H$3,0,0,'Données projet'!$E$12+1,1))</f>
        <v>328.55201074501201</v>
      </c>
      <c r="CE174" s="59">
        <f t="shared" si="148"/>
        <v>321.81422611044985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5.5222358070705537</v>
      </c>
      <c r="CL174" s="21">
        <f>EXP(-LN(2)/25)*CL173+(1-EXP(-LN(2)/25))/(LN(2)/25)*Calculateur!CG174*Calculateur!CI174*VLOOKUP('Données projet'!$B$12,Paramètres!$A$1:$I$89,3,0)*0.475*44/12</f>
        <v>0.45253652896259966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5.9747723360331531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354.24684313982857</v>
      </c>
      <c r="CZ174" s="59">
        <f t="shared" si="150"/>
        <v>322.65043486962185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23.992483874837944</v>
      </c>
      <c r="DG174" s="21">
        <f>EXP(-LN(2)/25)*DG173+(1-EXP(-LN(2)/25))/(LN(2)/25)*Calculateur!DB174*Calculateur!DD174*VLOOKUP('Données projet'!$B$13,Paramètres!$A$1:$I$89,3,0)*0.475*44/12</f>
        <v>4.8871647419739244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28.87964861681187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1.7053025658242404E-13</v>
      </c>
      <c r="DP174" s="17">
        <f>DO174*VLOOKUP('Données projet'!$B$14,Paramètres!$A$1:$I$89,3,0)*VLOOKUP('Données projet'!$B$14,Paramètres!$A$1:$I$89,5,0)</f>
        <v>1.3301360013429075E-13</v>
      </c>
      <c r="DQ174" s="13">
        <f t="shared" si="176"/>
        <v>1.9329766731057041E-12</v>
      </c>
      <c r="DR174" s="20">
        <f t="shared" si="177"/>
        <v>3.5982663925596575E-12</v>
      </c>
      <c r="DS174" s="59">
        <f t="shared" si="125"/>
        <v>293.3333333333369</v>
      </c>
      <c r="DT174" s="59">
        <f ca="1">AVERAGE(OFFSET($DS$3,0,0,'Données projet'!$E$14+1,1))-AVERAGE(OFFSET($H$3,0,0,'Données projet'!$E$14+1,1))</f>
        <v>288.80569134263209</v>
      </c>
      <c r="DU174" s="59">
        <f t="shared" si="152"/>
        <v>283.48738729114024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10.762510070341671</v>
      </c>
      <c r="EB174" s="21">
        <f>EXP(-LN(2)/25)*EB173+(1-EXP(-LN(2)/25))/(LN(2)/25)*Calculateur!DW174*Calculateur!DY174*VLOOKUP('Données projet'!$B$14,Paramètres!$A$1:$I$89,3,0)*0.475*44/12</f>
        <v>4.0331348384684382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14.795644908810109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-6.3550942286383367E-14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335.04906256888819</v>
      </c>
      <c r="EP174" s="59">
        <f t="shared" si="154"/>
        <v>440.84111898279554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22.786093706376796</v>
      </c>
      <c r="EW174" s="21">
        <f>EXP(-LN(2)/25)*EW173+(1-EXP(-LN(2)/25))/(LN(2)/25)*Calculateur!ER174*Calculateur!ET174*VLOOKUP('Données projet'!$B$15,Paramètres!$A$1:$I$89,3,0)*0.475*44/12</f>
        <v>2.3104746533998068</v>
      </c>
      <c r="EX174" s="21">
        <f>EXP(-LN(2)/2)*EX173+(1-EXP(-LN(2)/2))/(LN(2)/2)*ER174*EU174*VLOOKUP('Données projet'!$B$15,Paramètres!$A$1:$I$89,3,0)*0.475*44/12</f>
        <v>1.1852083205182882E-16</v>
      </c>
      <c r="EY174" s="22">
        <f t="shared" si="181"/>
        <v>25.096568359776604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1.7053025658242404E-13</v>
      </c>
      <c r="O175" s="13">
        <f>N175*VLOOKUP('Données projet'!$B$9,Paramètres!$A$1:$I$89,3,0)*VLOOKUP('Données projet'!$B$9,Paramètres!$A$1:$I$89,5,0)</f>
        <v>1.383341441396624E-13</v>
      </c>
      <c r="P175" s="13">
        <f t="shared" si="141"/>
        <v>2.0011390722884082E-12</v>
      </c>
      <c r="Q175" s="20">
        <f t="shared" si="162"/>
        <v>3.7262491852788889E-12</v>
      </c>
      <c r="R175" s="59">
        <f t="shared" si="109"/>
        <v>293.33333333333707</v>
      </c>
      <c r="S175" s="59">
        <f ca="1">AVERAGE(OFFSET($R$3,0,0,'Données projet'!$E$9+1,1))-AVERAGE(OFFSET($H$3,0,0,'Données projet'!$E$9+1,1))</f>
        <v>298.96480270023716</v>
      </c>
      <c r="T175" s="59">
        <f t="shared" si="142"/>
        <v>293.11447542333889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13.525504310150444</v>
      </c>
      <c r="AA175" s="21">
        <f>EXP(-LN(2)/25)*AA174+(1-EXP(-LN(2)/25))/(LN(2)/25)*Calculateur!V175*Calculateur!X175*VLOOKUP('Données projet'!$B$9,Paramètres!$A$1:$I$89,3,0)*0.475*44/12</f>
        <v>5.0285444722895578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18.554048782440002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1.9895196601282805E-13</v>
      </c>
      <c r="AJ175" s="13">
        <f>AI175*VLOOKUP('Données projet'!$B$10,Paramètres!$A$1:$I$89,3,0)*VLOOKUP('Données projet'!$B$10,Paramètres!$A$1:$I$89,5,0)</f>
        <v>1.707007868390065E-13</v>
      </c>
      <c r="AK175" s="13">
        <f t="shared" si="164"/>
        <v>2.4096578055149408E-12</v>
      </c>
      <c r="AL175" s="20">
        <f t="shared" si="165"/>
        <v>4.4941245483497909E-12</v>
      </c>
      <c r="AM175" s="59">
        <f t="shared" si="113"/>
        <v>293.33333333333781</v>
      </c>
      <c r="AN175" s="59">
        <f ca="1">AVERAGE(OFFSET($AM$3,0,0,'Données projet'!$E$10+1,1))-AVERAGE(OFFSET($H$3,0,0,'Données projet'!$E$10+1,1))</f>
        <v>335.02113791949211</v>
      </c>
      <c r="AO175" s="59">
        <f t="shared" si="144"/>
        <v>222.06886429435099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40.490672456394236</v>
      </c>
      <c r="AV175" s="21">
        <f>EXP(-LN(2)/25)*AV174+(1-EXP(-LN(2)/25))/(LN(2)/25)*Calculateur!AQ175*Calculateur!AS175*VLOOKUP('Données projet'!$B$10,Paramètres!$A$1:$I$89,3,0)*0.475*44/12</f>
        <v>18.264337647505702</v>
      </c>
      <c r="AW175" s="21">
        <f>EXP(-LN(2)/2)*AW174+(1-EXP(-LN(2)/2))/(LN(2)/2)*AQ175*AT175*VLOOKUP('Données projet'!$B$10,Paramètres!$A$1:$I$89,3,0)*0.475*44/12</f>
        <v>4.2755416389591951E-7</v>
      </c>
      <c r="AX175" s="21">
        <f t="shared" si="166"/>
        <v>58.755010531454097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-3.1036506698001178E-14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207.02306964567629</v>
      </c>
      <c r="BJ175" s="59">
        <f t="shared" si="146"/>
        <v>342.06887933351783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4.9385895883081687</v>
      </c>
      <c r="BQ175" s="21">
        <f>EXP(-LN(2)/25)*BQ174+(1-EXP(-LN(2)/25))/(LN(2)/25)*Calculateur!BL175*Calculateur!BN175*VLOOKUP('Données projet'!$B$11,Paramètres!$A$1:$I$89,3,0)*0.475*44/12</f>
        <v>3.8586293812404358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8.7972189695486041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233.89079999999998</v>
      </c>
      <c r="CA175" s="13">
        <f t="shared" si="170"/>
        <v>57.123140349023068</v>
      </c>
      <c r="CB175" s="20">
        <f t="shared" si="171"/>
        <v>506.84927944121517</v>
      </c>
      <c r="CC175" s="59">
        <f t="shared" si="119"/>
        <v>800.18261277454849</v>
      </c>
      <c r="CD175" s="59">
        <f ca="1">AVERAGE(OFFSET($CC$3,0,0,'Données projet'!$E$12+1,1))-AVERAGE(OFFSET($H$3,0,0,'Données projet'!$E$12+1,1))</f>
        <v>328.55201074501201</v>
      </c>
      <c r="CE175" s="59">
        <f t="shared" si="148"/>
        <v>321.81422611044985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5.4139481311251574</v>
      </c>
      <c r="CL175" s="21">
        <f>EXP(-LN(2)/25)*CL174+(1-EXP(-LN(2)/25))/(LN(2)/25)*Calculateur!CG175*Calculateur!CI175*VLOOKUP('Données projet'!$B$12,Paramètres!$A$1:$I$89,3,0)*0.475*44/12</f>
        <v>0.44016189378025561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5.8541100249054132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354.24684313982857</v>
      </c>
      <c r="CZ175" s="59">
        <f t="shared" si="150"/>
        <v>322.65043486962185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23.522005900022553</v>
      </c>
      <c r="DG175" s="21">
        <f>EXP(-LN(2)/25)*DG174+(1-EXP(-LN(2)/25))/(LN(2)/25)*Calculateur!DB175*Calculateur!DD175*VLOOKUP('Données projet'!$B$13,Paramètres!$A$1:$I$89,3,0)*0.475*44/12</f>
        <v>4.7535249650998237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28.275530865122377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1.7053025658242404E-13</v>
      </c>
      <c r="DP175" s="17">
        <f>DO175*VLOOKUP('Données projet'!$B$14,Paramètres!$A$1:$I$89,3,0)*VLOOKUP('Données projet'!$B$14,Paramètres!$A$1:$I$89,5,0)</f>
        <v>1.3301360013429075E-13</v>
      </c>
      <c r="DQ175" s="13">
        <f t="shared" si="176"/>
        <v>1.9329766731057041E-12</v>
      </c>
      <c r="DR175" s="20">
        <f t="shared" si="177"/>
        <v>3.5982663925596575E-12</v>
      </c>
      <c r="DS175" s="59">
        <f t="shared" si="125"/>
        <v>293.3333333333369</v>
      </c>
      <c r="DT175" s="59">
        <f ca="1">AVERAGE(OFFSET($DS$3,0,0,'Données projet'!$E$14+1,1))-AVERAGE(OFFSET($H$3,0,0,'Données projet'!$E$14+1,1))</f>
        <v>288.80569134263209</v>
      </c>
      <c r="DU175" s="59">
        <f t="shared" si="152"/>
        <v>283.48738729114024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10.551463812345224</v>
      </c>
      <c r="EB175" s="21">
        <f>EXP(-LN(2)/25)*EB174+(1-EXP(-LN(2)/25))/(LN(2)/25)*Calculateur!DW175*Calculateur!DY175*VLOOKUP('Données projet'!$B$14,Paramètres!$A$1:$I$89,3,0)*0.475*44/12</f>
        <v>3.9228485542171754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14.474312366562399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-6.3550942286383367E-14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335.04906256888819</v>
      </c>
      <c r="EP175" s="59">
        <f t="shared" si="154"/>
        <v>440.84111898279554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22.339272306939581</v>
      </c>
      <c r="EW175" s="21">
        <f>EXP(-LN(2)/25)*EW174+(1-EXP(-LN(2)/25))/(LN(2)/25)*Calculateur!ER175*Calculateur!ET175*VLOOKUP('Données projet'!$B$15,Paramètres!$A$1:$I$89,3,0)*0.475*44/12</f>
        <v>2.2472946025000078</v>
      </c>
      <c r="EX175" s="21">
        <f>EXP(-LN(2)/2)*EX174+(1-EXP(-LN(2)/2))/(LN(2)/2)*ER175*EU175*VLOOKUP('Données projet'!$B$15,Paramètres!$A$1:$I$89,3,0)*0.475*44/12</f>
        <v>8.3806884055720067E-17</v>
      </c>
      <c r="EY175" s="22">
        <f t="shared" si="181"/>
        <v>24.58656690943959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1.7053025658242404E-13</v>
      </c>
      <c r="O176" s="13">
        <f>N176*VLOOKUP('Données projet'!$B$9,Paramètres!$A$1:$I$89,3,0)*VLOOKUP('Données projet'!$B$9,Paramètres!$A$1:$I$89,5,0)</f>
        <v>1.383341441396624E-13</v>
      </c>
      <c r="P176" s="13">
        <f t="shared" si="141"/>
        <v>2.0011390722884082E-12</v>
      </c>
      <c r="Q176" s="20">
        <f t="shared" si="162"/>
        <v>3.7262491852788889E-12</v>
      </c>
      <c r="R176" s="59">
        <f t="shared" si="109"/>
        <v>293.33333333333707</v>
      </c>
      <c r="S176" s="59">
        <f ca="1">AVERAGE(OFFSET($R$3,0,0,'Données projet'!$E$9+1,1))-AVERAGE(OFFSET($H$3,0,0,'Données projet'!$E$9+1,1))</f>
        <v>298.96480270023716</v>
      </c>
      <c r="T176" s="59">
        <f t="shared" si="142"/>
        <v>293.11447542333889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13.260277420371429</v>
      </c>
      <c r="AA176" s="21">
        <f>EXP(-LN(2)/25)*AA175+(1-EXP(-LN(2)/25))/(LN(2)/25)*Calculateur!V176*Calculateur!X176*VLOOKUP('Données projet'!$B$9,Paramètres!$A$1:$I$89,3,0)*0.475*44/12</f>
        <v>4.8910386592551394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18.151316079626568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1.9895196601282805E-13</v>
      </c>
      <c r="AJ176" s="13">
        <f>AI176*VLOOKUP('Données projet'!$B$10,Paramètres!$A$1:$I$89,3,0)*VLOOKUP('Données projet'!$B$10,Paramètres!$A$1:$I$89,5,0)</f>
        <v>1.707007868390065E-13</v>
      </c>
      <c r="AK176" s="13">
        <f t="shared" si="164"/>
        <v>2.4096578055149408E-12</v>
      </c>
      <c r="AL176" s="20">
        <f t="shared" si="165"/>
        <v>4.4941245483497909E-12</v>
      </c>
      <c r="AM176" s="59">
        <f t="shared" si="113"/>
        <v>293.33333333333781</v>
      </c>
      <c r="AN176" s="59">
        <f ca="1">AVERAGE(OFFSET($AM$3,0,0,'Données projet'!$E$10+1,1))-AVERAGE(OFFSET($H$3,0,0,'Données projet'!$E$10+1,1))</f>
        <v>335.02113791949211</v>
      </c>
      <c r="AO176" s="59">
        <f t="shared" si="144"/>
        <v>222.06886429435099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39.696675066395933</v>
      </c>
      <c r="AV176" s="21">
        <f>EXP(-LN(2)/25)*AV175+(1-EXP(-LN(2)/25))/(LN(2)/25)*Calculateur!AQ176*Calculateur!AS176*VLOOKUP('Données projet'!$B$10,Paramètres!$A$1:$I$89,3,0)*0.475*44/12</f>
        <v>17.764898374054884</v>
      </c>
      <c r="AW176" s="21">
        <f>EXP(-LN(2)/2)*AW175+(1-EXP(-LN(2)/2))/(LN(2)/2)*AQ176*AT176*VLOOKUP('Données projet'!$B$10,Paramètres!$A$1:$I$89,3,0)*0.475*44/12</f>
        <v>3.0232644861534923E-7</v>
      </c>
      <c r="AX176" s="21">
        <f t="shared" si="166"/>
        <v>57.461573742777269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-3.1036506698001178E-14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207.02306964567629</v>
      </c>
      <c r="BJ176" s="59">
        <f t="shared" si="146"/>
        <v>342.06887933351783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4.8417468587236598</v>
      </c>
      <c r="BQ176" s="21">
        <f>EXP(-LN(2)/25)*BQ175+(1-EXP(-LN(2)/25))/(LN(2)/25)*Calculateur!BL176*Calculateur!BN176*VLOOKUP('Données projet'!$B$11,Paramètres!$A$1:$I$89,3,0)*0.475*44/12</f>
        <v>3.7531149578939158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8.5948618166175752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233.89079999999998</v>
      </c>
      <c r="CA176" s="13">
        <f t="shared" si="170"/>
        <v>57.123140349023068</v>
      </c>
      <c r="CB176" s="20">
        <f t="shared" si="171"/>
        <v>506.84927944121517</v>
      </c>
      <c r="CC176" s="59">
        <f t="shared" si="119"/>
        <v>800.18261277454849</v>
      </c>
      <c r="CD176" s="59">
        <f ca="1">AVERAGE(OFFSET($CC$3,0,0,'Données projet'!$E$12+1,1))-AVERAGE(OFFSET($H$3,0,0,'Données projet'!$E$12+1,1))</f>
        <v>328.55201074501201</v>
      </c>
      <c r="CE176" s="59">
        <f t="shared" si="148"/>
        <v>321.81422611044985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5.3077839104560898</v>
      </c>
      <c r="CL176" s="21">
        <f>EXP(-LN(2)/25)*CL175+(1-EXP(-LN(2)/25))/(LN(2)/25)*Calculateur!CG176*Calculateur!CI176*VLOOKUP('Données projet'!$B$12,Paramètres!$A$1:$I$89,3,0)*0.475*44/12</f>
        <v>0.42812564364772654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5.7359095541038165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354.24684313982857</v>
      </c>
      <c r="CZ176" s="59">
        <f t="shared" si="150"/>
        <v>322.65043486962185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23.060753711330062</v>
      </c>
      <c r="DG176" s="21">
        <f>EXP(-LN(2)/25)*DG175+(1-EXP(-LN(2)/25))/(LN(2)/25)*Calculateur!DB176*Calculateur!DD176*VLOOKUP('Données projet'!$B$13,Paramètres!$A$1:$I$89,3,0)*0.475*44/12</f>
        <v>4.6235395749521553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27.684293286282216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1.7053025658242404E-13</v>
      </c>
      <c r="DP176" s="17">
        <f>DO176*VLOOKUP('Données projet'!$B$14,Paramètres!$A$1:$I$89,3,0)*VLOOKUP('Données projet'!$B$14,Paramètres!$A$1:$I$89,5,0)</f>
        <v>1.3301360013429075E-13</v>
      </c>
      <c r="DQ176" s="13">
        <f t="shared" si="176"/>
        <v>1.9329766731057041E-12</v>
      </c>
      <c r="DR176" s="20">
        <f t="shared" si="177"/>
        <v>3.5982663925596575E-12</v>
      </c>
      <c r="DS176" s="59">
        <f t="shared" si="125"/>
        <v>293.3333333333369</v>
      </c>
      <c r="DT176" s="59">
        <f ca="1">AVERAGE(OFFSET($DS$3,0,0,'Données projet'!$E$14+1,1))-AVERAGE(OFFSET($H$3,0,0,'Données projet'!$E$14+1,1))</f>
        <v>288.80569134263209</v>
      </c>
      <c r="DU176" s="59">
        <f t="shared" si="152"/>
        <v>283.48738729114024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10.344556042742582</v>
      </c>
      <c r="EB176" s="21">
        <f>EXP(-LN(2)/25)*EB175+(1-EXP(-LN(2)/25))/(LN(2)/25)*Calculateur!DW176*Calculateur!DY176*VLOOKUP('Données projet'!$B$14,Paramètres!$A$1:$I$89,3,0)*0.475*44/12</f>
        <v>3.815578054208467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14.160134096951049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-6.3550942286383367E-14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335.04906256888819</v>
      </c>
      <c r="EP176" s="59">
        <f t="shared" si="154"/>
        <v>440.84111898279554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21.901212802611184</v>
      </c>
      <c r="EW176" s="21">
        <f>EXP(-LN(2)/25)*EW175+(1-EXP(-LN(2)/25))/(LN(2)/25)*Calculateur!ER176*Calculateur!ET176*VLOOKUP('Données projet'!$B$15,Paramètres!$A$1:$I$89,3,0)*0.475*44/12</f>
        <v>2.1858422134145581</v>
      </c>
      <c r="EX176" s="21">
        <f>EXP(-LN(2)/2)*EX175+(1-EXP(-LN(2)/2))/(LN(2)/2)*ER176*EU176*VLOOKUP('Données projet'!$B$15,Paramètres!$A$1:$I$89,3,0)*0.475*44/12</f>
        <v>5.9260416025914408E-17</v>
      </c>
      <c r="EY176" s="22">
        <f t="shared" si="181"/>
        <v>24.087055016025744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1.7053025658242404E-13</v>
      </c>
      <c r="O177" s="13">
        <f>N177*VLOOKUP('Données projet'!$B$9,Paramètres!$A$1:$I$89,3,0)*VLOOKUP('Données projet'!$B$9,Paramètres!$A$1:$I$89,5,0)</f>
        <v>1.383341441396624E-13</v>
      </c>
      <c r="P177" s="13">
        <f t="shared" si="141"/>
        <v>2.0011390722884082E-12</v>
      </c>
      <c r="Q177" s="20">
        <f t="shared" si="162"/>
        <v>3.7262491852788889E-12</v>
      </c>
      <c r="R177" s="59">
        <f t="shared" si="109"/>
        <v>293.33333333333707</v>
      </c>
      <c r="S177" s="59">
        <f ca="1">AVERAGE(OFFSET($R$3,0,0,'Données projet'!$E$9+1,1))-AVERAGE(OFFSET($H$3,0,0,'Données projet'!$E$9+1,1))</f>
        <v>298.96480270023716</v>
      </c>
      <c r="T177" s="59">
        <f t="shared" si="142"/>
        <v>293.11447542333889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13.000251468128551</v>
      </c>
      <c r="AA177" s="21">
        <f>EXP(-LN(2)/25)*AA176+(1-EXP(-LN(2)/25))/(LN(2)/25)*Calculateur!V177*Calculateur!X177*VLOOKUP('Données projet'!$B$9,Paramètres!$A$1:$I$89,3,0)*0.475*44/12</f>
        <v>4.7572929499092629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17.757544418037813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1.9895196601282805E-13</v>
      </c>
      <c r="AJ177" s="13">
        <f>AI177*VLOOKUP('Données projet'!$B$10,Paramètres!$A$1:$I$89,3,0)*VLOOKUP('Données projet'!$B$10,Paramètres!$A$1:$I$89,5,0)</f>
        <v>1.707007868390065E-13</v>
      </c>
      <c r="AK177" s="13">
        <f t="shared" si="164"/>
        <v>2.4096578055149408E-12</v>
      </c>
      <c r="AL177" s="20">
        <f t="shared" si="165"/>
        <v>4.4941245483497909E-12</v>
      </c>
      <c r="AM177" s="59">
        <f t="shared" si="113"/>
        <v>293.33333333333781</v>
      </c>
      <c r="AN177" s="59">
        <f ca="1">AVERAGE(OFFSET($AM$3,0,0,'Données projet'!$E$10+1,1))-AVERAGE(OFFSET($H$3,0,0,'Données projet'!$E$10+1,1))</f>
        <v>335.02113791949211</v>
      </c>
      <c r="AO177" s="59">
        <f t="shared" si="144"/>
        <v>222.06886429435099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38.918247480924904</v>
      </c>
      <c r="AV177" s="21">
        <f>EXP(-LN(2)/25)*AV176+(1-EXP(-LN(2)/25))/(LN(2)/25)*Calculateur!AQ177*Calculateur!AS177*VLOOKUP('Données projet'!$B$10,Paramètres!$A$1:$I$89,3,0)*0.475*44/12</f>
        <v>17.27911629380095</v>
      </c>
      <c r="AW177" s="21">
        <f>EXP(-LN(2)/2)*AW176+(1-EXP(-LN(2)/2))/(LN(2)/2)*AQ177*AT177*VLOOKUP('Données projet'!$B$10,Paramètres!$A$1:$I$89,3,0)*0.475*44/12</f>
        <v>2.1377708194795975E-7</v>
      </c>
      <c r="AX177" s="21">
        <f t="shared" si="166"/>
        <v>56.197363988502943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-3.1036506698001178E-14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207.02306964567629</v>
      </c>
      <c r="BJ177" s="59">
        <f t="shared" si="146"/>
        <v>342.06887933351783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4.7468031559980712</v>
      </c>
      <c r="BQ177" s="21">
        <f>EXP(-LN(2)/25)*BQ176+(1-EXP(-LN(2)/25))/(LN(2)/25)*Calculateur!BL177*Calculateur!BN177*VLOOKUP('Données projet'!$B$11,Paramètres!$A$1:$I$89,3,0)*0.475*44/12</f>
        <v>3.6504858320025688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8.3972889880006392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233.89079999999998</v>
      </c>
      <c r="CA177" s="13">
        <f t="shared" si="170"/>
        <v>57.123140349023068</v>
      </c>
      <c r="CB177" s="20">
        <f t="shared" si="171"/>
        <v>506.84927944121517</v>
      </c>
      <c r="CC177" s="59">
        <f t="shared" si="119"/>
        <v>800.18261277454849</v>
      </c>
      <c r="CD177" s="59">
        <f ca="1">AVERAGE(OFFSET($CC$3,0,0,'Données projet'!$E$12+1,1))-AVERAGE(OFFSET($H$3,0,0,'Données projet'!$E$12+1,1))</f>
        <v>328.55201074501201</v>
      </c>
      <c r="CE177" s="59">
        <f t="shared" si="148"/>
        <v>321.81422611044985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5.203701505400562</v>
      </c>
      <c r="CL177" s="21">
        <f>EXP(-LN(2)/25)*CL176+(1-EXP(-LN(2)/25))/(LN(2)/25)*Calculateur!CG177*Calculateur!CI177*VLOOKUP('Données projet'!$B$12,Paramètres!$A$1:$I$89,3,0)*0.475*44/12</f>
        <v>0.41641852540803037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5.6201200308085921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354.24684313982857</v>
      </c>
      <c r="CZ177" s="59">
        <f t="shared" si="150"/>
        <v>322.65043486962185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22.608546396721774</v>
      </c>
      <c r="DG177" s="21">
        <f>EXP(-LN(2)/25)*DG176+(1-EXP(-LN(2)/25))/(LN(2)/25)*Calculateur!DB177*Calculateur!DD177*VLOOKUP('Données projet'!$B$13,Paramètres!$A$1:$I$89,3,0)*0.475*44/12</f>
        <v>4.4971086421337096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27.105655038855485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1.7053025658242404E-13</v>
      </c>
      <c r="DP177" s="17">
        <f>DO177*VLOOKUP('Données projet'!$B$14,Paramètres!$A$1:$I$89,3,0)*VLOOKUP('Données projet'!$B$14,Paramètres!$A$1:$I$89,5,0)</f>
        <v>1.3301360013429075E-13</v>
      </c>
      <c r="DQ177" s="13">
        <f t="shared" si="176"/>
        <v>1.9329766731057041E-12</v>
      </c>
      <c r="DR177" s="20">
        <f t="shared" si="177"/>
        <v>3.5982663925596575E-12</v>
      </c>
      <c r="DS177" s="59">
        <f t="shared" si="125"/>
        <v>293.3333333333369</v>
      </c>
      <c r="DT177" s="59">
        <f ca="1">AVERAGE(OFFSET($DS$3,0,0,'Données projet'!$E$14+1,1))-AVERAGE(OFFSET($H$3,0,0,'Données projet'!$E$14+1,1))</f>
        <v>288.80569134263209</v>
      </c>
      <c r="DU177" s="59">
        <f t="shared" si="152"/>
        <v>283.48738729114024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10.141705608300569</v>
      </c>
      <c r="EB177" s="21">
        <f>EXP(-LN(2)/25)*EB176+(1-EXP(-LN(2)/25))/(LN(2)/25)*Calculateur!DW177*Calculateur!DY177*VLOOKUP('Données projet'!$B$14,Paramètres!$A$1:$I$89,3,0)*0.475*44/12</f>
        <v>3.7112408716636072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13.852946479964176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-6.3550942286383367E-14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335.04906256888819</v>
      </c>
      <c r="EP177" s="59">
        <f t="shared" si="154"/>
        <v>440.84111898279554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21.471743377972754</v>
      </c>
      <c r="EW177" s="21">
        <f>EXP(-LN(2)/25)*EW176+(1-EXP(-LN(2)/25))/(LN(2)/25)*Calculateur!ER177*Calculateur!ET177*VLOOKUP('Données projet'!$B$15,Paramètres!$A$1:$I$89,3,0)*0.475*44/12</f>
        <v>2.1260702431402909</v>
      </c>
      <c r="EX177" s="21">
        <f>EXP(-LN(2)/2)*EX176+(1-EXP(-LN(2)/2))/(LN(2)/2)*ER177*EU177*VLOOKUP('Données projet'!$B$15,Paramètres!$A$1:$I$89,3,0)*0.475*44/12</f>
        <v>4.1903442027860034E-17</v>
      </c>
      <c r="EY177" s="22">
        <f t="shared" si="181"/>
        <v>23.597813621113044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1.7053025658242404E-13</v>
      </c>
      <c r="O178" s="13">
        <f>N178*VLOOKUP('Données projet'!$B$9,Paramètres!$A$1:$I$89,3,0)*VLOOKUP('Données projet'!$B$9,Paramètres!$A$1:$I$89,5,0)</f>
        <v>1.383341441396624E-13</v>
      </c>
      <c r="P178" s="13">
        <f t="shared" si="141"/>
        <v>2.0011390722884082E-12</v>
      </c>
      <c r="Q178" s="20">
        <f t="shared" si="162"/>
        <v>3.7262491852788889E-12</v>
      </c>
      <c r="R178" s="59">
        <f t="shared" si="109"/>
        <v>293.33333333333707</v>
      </c>
      <c r="S178" s="59">
        <f ca="1">AVERAGE(OFFSET($R$3,0,0,'Données projet'!$E$9+1,1))-AVERAGE(OFFSET($H$3,0,0,'Données projet'!$E$9+1,1))</f>
        <v>298.96480270023716</v>
      </c>
      <c r="T178" s="59">
        <f t="shared" si="142"/>
        <v>293.11447542333889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12.745324466208986</v>
      </c>
      <c r="AA178" s="21">
        <f>EXP(-LN(2)/25)*AA177+(1-EXP(-LN(2)/25))/(LN(2)/25)*Calculateur!V178*Calculateur!X178*VLOOKUP('Données projet'!$B$9,Paramètres!$A$1:$I$89,3,0)*0.475*44/12</f>
        <v>4.6272045240188309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17.372528990227817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1.9895196601282805E-13</v>
      </c>
      <c r="AJ178" s="13">
        <f>AI178*VLOOKUP('Données projet'!$B$10,Paramètres!$A$1:$I$89,3,0)*VLOOKUP('Données projet'!$B$10,Paramètres!$A$1:$I$89,5,0)</f>
        <v>1.707007868390065E-13</v>
      </c>
      <c r="AK178" s="13">
        <f t="shared" si="164"/>
        <v>2.4096578055149408E-12</v>
      </c>
      <c r="AL178" s="20">
        <f t="shared" si="165"/>
        <v>4.4941245483497909E-12</v>
      </c>
      <c r="AM178" s="59">
        <f t="shared" si="113"/>
        <v>293.33333333333781</v>
      </c>
      <c r="AN178" s="59">
        <f ca="1">AVERAGE(OFFSET($AM$3,0,0,'Données projet'!$E$10+1,1))-AVERAGE(OFFSET($H$3,0,0,'Données projet'!$E$10+1,1))</f>
        <v>335.02113791949211</v>
      </c>
      <c r="AO178" s="59">
        <f t="shared" si="144"/>
        <v>222.06886429435099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38.155084385611019</v>
      </c>
      <c r="AV178" s="21">
        <f>EXP(-LN(2)/25)*AV177+(1-EXP(-LN(2)/25))/(LN(2)/25)*Calculateur!AQ178*Calculateur!AS178*VLOOKUP('Données projet'!$B$10,Paramètres!$A$1:$I$89,3,0)*0.475*44/12</f>
        <v>16.80661795007773</v>
      </c>
      <c r="AW178" s="21">
        <f>EXP(-LN(2)/2)*AW177+(1-EXP(-LN(2)/2))/(LN(2)/2)*AQ178*AT178*VLOOKUP('Données projet'!$B$10,Paramètres!$A$1:$I$89,3,0)*0.475*44/12</f>
        <v>1.5116322430767461E-7</v>
      </c>
      <c r="AX178" s="21">
        <f t="shared" si="166"/>
        <v>54.961702486851976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-3.1036506698001178E-14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207.02306964567629</v>
      </c>
      <c r="BJ178" s="59">
        <f t="shared" si="146"/>
        <v>342.06887933351783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4.6537212413729909</v>
      </c>
      <c r="BQ178" s="21">
        <f>EXP(-LN(2)/25)*BQ177+(1-EXP(-LN(2)/25))/(LN(2)/25)*Calculateur!BL178*Calculateur!BN178*VLOOKUP('Données projet'!$B$11,Paramètres!$A$1:$I$89,3,0)*0.475*44/12</f>
        <v>3.5506631049557518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8.2043843463287427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233.89079999999998</v>
      </c>
      <c r="CA178" s="13">
        <f t="shared" si="170"/>
        <v>57.123140349023068</v>
      </c>
      <c r="CB178" s="20">
        <f t="shared" si="171"/>
        <v>506.84927944121517</v>
      </c>
      <c r="CC178" s="59">
        <f t="shared" si="119"/>
        <v>800.18261277454849</v>
      </c>
      <c r="CD178" s="59">
        <f ca="1">AVERAGE(OFFSET($CC$3,0,0,'Données projet'!$E$12+1,1))-AVERAGE(OFFSET($H$3,0,0,'Données projet'!$E$12+1,1))</f>
        <v>328.55201074501201</v>
      </c>
      <c r="CE178" s="59">
        <f t="shared" si="148"/>
        <v>321.81422611044985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5.101660092824174</v>
      </c>
      <c r="CL178" s="21">
        <f>EXP(-LN(2)/25)*CL177+(1-EXP(-LN(2)/25))/(LN(2)/25)*Calculateur!CG178*Calculateur!CI178*VLOOKUP('Données projet'!$B$12,Paramètres!$A$1:$I$89,3,0)*0.475*44/12</f>
        <v>0.40503153893224925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5.5066916317564232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354.24684313982857</v>
      </c>
      <c r="CZ178" s="59">
        <f t="shared" si="150"/>
        <v>322.65043486962185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22.165206591733728</v>
      </c>
      <c r="DG178" s="21">
        <f>EXP(-LN(2)/25)*DG177+(1-EXP(-LN(2)/25))/(LN(2)/25)*Calculateur!DB178*Calculateur!DD178*VLOOKUP('Données projet'!$B$13,Paramètres!$A$1:$I$89,3,0)*0.475*44/12</f>
        <v>4.3741349698218981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26.539341561555627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1.7053025658242404E-13</v>
      </c>
      <c r="DP178" s="17">
        <f>DO178*VLOOKUP('Données projet'!$B$14,Paramètres!$A$1:$I$89,3,0)*VLOOKUP('Données projet'!$B$14,Paramètres!$A$1:$I$89,5,0)</f>
        <v>1.3301360013429075E-13</v>
      </c>
      <c r="DQ178" s="13">
        <f t="shared" si="176"/>
        <v>1.9329766731057041E-12</v>
      </c>
      <c r="DR178" s="20">
        <f t="shared" si="177"/>
        <v>3.5982663925596575E-12</v>
      </c>
      <c r="DS178" s="59">
        <f t="shared" si="125"/>
        <v>293.3333333333369</v>
      </c>
      <c r="DT178" s="59">
        <f ca="1">AVERAGE(OFFSET($DS$3,0,0,'Données projet'!$E$14+1,1))-AVERAGE(OFFSET($H$3,0,0,'Données projet'!$E$14+1,1))</f>
        <v>288.80569134263209</v>
      </c>
      <c r="DU178" s="59">
        <f t="shared" si="152"/>
        <v>283.48738729114024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9.9428329471514161</v>
      </c>
      <c r="EB178" s="21">
        <f>EXP(-LN(2)/25)*EB177+(1-EXP(-LN(2)/25))/(LN(2)/25)*Calculateur!DW178*Calculateur!DY178*VLOOKUP('Données projet'!$B$14,Paramètres!$A$1:$I$89,3,0)*0.475*44/12</f>
        <v>3.6097567948622906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13.552589742013707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-6.3550942286383367E-14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335.04906256888819</v>
      </c>
      <c r="EP178" s="59">
        <f t="shared" si="154"/>
        <v>440.84111898279554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21.050695586800998</v>
      </c>
      <c r="EW178" s="21">
        <f>EXP(-LN(2)/25)*EW177+(1-EXP(-LN(2)/25))/(LN(2)/25)*Calculateur!ER178*Calculateur!ET178*VLOOKUP('Données projet'!$B$15,Paramètres!$A$1:$I$89,3,0)*0.475*44/12</f>
        <v>2.0679327405364449</v>
      </c>
      <c r="EX178" s="21">
        <f>EXP(-LN(2)/2)*EX177+(1-EXP(-LN(2)/2))/(LN(2)/2)*ER178*EU178*VLOOKUP('Données projet'!$B$15,Paramètres!$A$1:$I$89,3,0)*0.475*44/12</f>
        <v>2.9630208012957204E-17</v>
      </c>
      <c r="EY178" s="22">
        <f t="shared" si="181"/>
        <v>23.118628327337444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1.7053025658242404E-13</v>
      </c>
      <c r="O179" s="13">
        <f>N179*VLOOKUP('Données projet'!$B$9,Paramètres!$A$1:$I$89,3,0)*VLOOKUP('Données projet'!$B$9,Paramètres!$A$1:$I$89,5,0)</f>
        <v>1.383341441396624E-13</v>
      </c>
      <c r="P179" s="13">
        <f t="shared" si="141"/>
        <v>2.0011390722884082E-12</v>
      </c>
      <c r="Q179" s="20">
        <f t="shared" si="162"/>
        <v>3.7262491852788889E-12</v>
      </c>
      <c r="R179" s="59">
        <f t="shared" si="109"/>
        <v>293.33333333333707</v>
      </c>
      <c r="S179" s="59">
        <f ca="1">AVERAGE(OFFSET($R$3,0,0,'Données projet'!$E$9+1,1))-AVERAGE(OFFSET($H$3,0,0,'Données projet'!$E$9+1,1))</f>
        <v>298.96480270023716</v>
      </c>
      <c r="T179" s="59">
        <f t="shared" si="142"/>
        <v>293.11447542333889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12.495396427306945</v>
      </c>
      <c r="AA179" s="21">
        <f>EXP(-LN(2)/25)*AA178+(1-EXP(-LN(2)/25))/(LN(2)/25)*Calculateur!V179*Calculateur!X179*VLOOKUP('Données projet'!$B$9,Paramètres!$A$1:$I$89,3,0)*0.475*44/12</f>
        <v>4.5006733729754256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16.99606980028237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1.9895196601282805E-13</v>
      </c>
      <c r="AJ179" s="13">
        <f>AI179*VLOOKUP('Données projet'!$B$10,Paramètres!$A$1:$I$89,3,0)*VLOOKUP('Données projet'!$B$10,Paramètres!$A$1:$I$89,5,0)</f>
        <v>1.707007868390065E-13</v>
      </c>
      <c r="AK179" s="13">
        <f t="shared" si="164"/>
        <v>2.4096578055149408E-12</v>
      </c>
      <c r="AL179" s="20">
        <f t="shared" si="165"/>
        <v>4.4941245483497909E-12</v>
      </c>
      <c r="AM179" s="59">
        <f t="shared" si="113"/>
        <v>293.33333333333781</v>
      </c>
      <c r="AN179" s="59">
        <f ca="1">AVERAGE(OFFSET($AM$3,0,0,'Données projet'!$E$10+1,1))-AVERAGE(OFFSET($H$3,0,0,'Données projet'!$E$10+1,1))</f>
        <v>335.02113791949211</v>
      </c>
      <c r="AO179" s="59">
        <f t="shared" si="144"/>
        <v>222.06886429435099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37.406886453112712</v>
      </c>
      <c r="AV179" s="21">
        <f>EXP(-LN(2)/25)*AV178+(1-EXP(-LN(2)/25))/(LN(2)/25)*Calculateur!AQ179*Calculateur!AS179*VLOOKUP('Données projet'!$B$10,Paramètres!$A$1:$I$89,3,0)*0.475*44/12</f>
        <v>16.347040098411227</v>
      </c>
      <c r="AW179" s="21">
        <f>EXP(-LN(2)/2)*AW178+(1-EXP(-LN(2)/2))/(LN(2)/2)*AQ179*AT179*VLOOKUP('Données projet'!$B$10,Paramètres!$A$1:$I$89,3,0)*0.475*44/12</f>
        <v>1.0688854097397988E-7</v>
      </c>
      <c r="AX179" s="21">
        <f t="shared" si="166"/>
        <v>53.753926658412482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-3.1036506698001178E-14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207.02306964567629</v>
      </c>
      <c r="BJ179" s="59">
        <f t="shared" si="146"/>
        <v>342.06887933351783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4.5624646063193461</v>
      </c>
      <c r="BQ179" s="21">
        <f>EXP(-LN(2)/25)*BQ178+(1-EXP(-LN(2)/25))/(LN(2)/25)*Calculateur!BL179*Calculateur!BN179*VLOOKUP('Données projet'!$B$11,Paramètres!$A$1:$I$89,3,0)*0.475*44/12</f>
        <v>3.4535700356294794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8.016034641948826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233.89079999999998</v>
      </c>
      <c r="CA179" s="13">
        <f t="shared" si="170"/>
        <v>57.123140349023068</v>
      </c>
      <c r="CB179" s="20">
        <f t="shared" si="171"/>
        <v>506.84927944121517</v>
      </c>
      <c r="CC179" s="59">
        <f t="shared" si="119"/>
        <v>800.18261277454849</v>
      </c>
      <c r="CD179" s="59">
        <f ca="1">AVERAGE(OFFSET($CC$3,0,0,'Données projet'!$E$12+1,1))-AVERAGE(OFFSET($H$3,0,0,'Données projet'!$E$12+1,1))</f>
        <v>328.55201074501201</v>
      </c>
      <c r="CE179" s="59">
        <f t="shared" si="148"/>
        <v>321.81422611044985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5.0016196501092933</v>
      </c>
      <c r="CL179" s="21">
        <f>EXP(-LN(2)/25)*CL178+(1-EXP(-LN(2)/25))/(LN(2)/25)*Calculateur!CG179*Calculateur!CI179*VLOOKUP('Données projet'!$B$12,Paramètres!$A$1:$I$89,3,0)*0.475*44/12</f>
        <v>0.39395593020046399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5.3955755803097576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354.24684313982857</v>
      </c>
      <c r="CZ179" s="59">
        <f t="shared" si="150"/>
        <v>322.65043486962185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21.730560409910918</v>
      </c>
      <c r="DG179" s="21">
        <f>EXP(-LN(2)/25)*DG178+(1-EXP(-LN(2)/25))/(LN(2)/25)*Calculateur!DB179*Calculateur!DD179*VLOOKUP('Données projet'!$B$13,Paramètres!$A$1:$I$89,3,0)*0.475*44/12</f>
        <v>4.2545240190463574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25.985084428957276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1.7053025658242404E-13</v>
      </c>
      <c r="DP179" s="17">
        <f>DO179*VLOOKUP('Données projet'!$B$14,Paramètres!$A$1:$I$89,3,0)*VLOOKUP('Données projet'!$B$14,Paramètres!$A$1:$I$89,5,0)</f>
        <v>1.3301360013429075E-13</v>
      </c>
      <c r="DQ179" s="13">
        <f t="shared" si="176"/>
        <v>1.9329766731057041E-12</v>
      </c>
      <c r="DR179" s="20">
        <f t="shared" si="177"/>
        <v>3.5982663925596575E-12</v>
      </c>
      <c r="DS179" s="59">
        <f t="shared" si="125"/>
        <v>293.3333333333369</v>
      </c>
      <c r="DT179" s="59">
        <f ca="1">AVERAGE(OFFSET($DS$3,0,0,'Données projet'!$E$14+1,1))-AVERAGE(OFFSET($H$3,0,0,'Données projet'!$E$14+1,1))</f>
        <v>288.80569134263209</v>
      </c>
      <c r="DU179" s="59">
        <f t="shared" si="152"/>
        <v>283.48738729114024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9.7478600575870527</v>
      </c>
      <c r="EB179" s="21">
        <f>EXP(-LN(2)/25)*EB178+(1-EXP(-LN(2)/25))/(LN(2)/25)*Calculateur!DW179*Calculateur!DY179*VLOOKUP('Données projet'!$B$14,Paramètres!$A$1:$I$89,3,0)*0.475*44/12</f>
        <v>3.5110478054779217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13.258907863064975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-6.3550942286383367E-14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335.04906256888819</v>
      </c>
      <c r="EP179" s="59">
        <f t="shared" si="154"/>
        <v>440.84111898279554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20.637904286000328</v>
      </c>
      <c r="EW179" s="21">
        <f>EXP(-LN(2)/25)*EW178+(1-EXP(-LN(2)/25))/(LN(2)/25)*Calculateur!ER179*Calculateur!ET179*VLOOKUP('Données projet'!$B$15,Paramètres!$A$1:$I$89,3,0)*0.475*44/12</f>
        <v>2.0113850109986195</v>
      </c>
      <c r="EX179" s="21">
        <f>EXP(-LN(2)/2)*EX178+(1-EXP(-LN(2)/2))/(LN(2)/2)*ER179*EU179*VLOOKUP('Données projet'!$B$15,Paramètres!$A$1:$I$89,3,0)*0.475*44/12</f>
        <v>2.0951721013930017E-17</v>
      </c>
      <c r="EY179" s="22">
        <f t="shared" si="181"/>
        <v>22.649289296998948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1.7053025658242404E-13</v>
      </c>
      <c r="O180" s="13">
        <f>N180*VLOOKUP('Données projet'!$B$9,Paramètres!$A$1:$I$89,3,0)*VLOOKUP('Données projet'!$B$9,Paramètres!$A$1:$I$89,5,0)</f>
        <v>1.383341441396624E-13</v>
      </c>
      <c r="P180" s="13">
        <f t="shared" si="141"/>
        <v>2.0011390722884082E-12</v>
      </c>
      <c r="Q180" s="20">
        <f t="shared" si="162"/>
        <v>3.7262491852788889E-12</v>
      </c>
      <c r="R180" s="59">
        <f t="shared" si="109"/>
        <v>293.33333333333707</v>
      </c>
      <c r="S180" s="59">
        <f ca="1">AVERAGE(OFFSET($R$3,0,0,'Données projet'!$E$9+1,1))-AVERAGE(OFFSET($H$3,0,0,'Données projet'!$E$9+1,1))</f>
        <v>298.96480270023716</v>
      </c>
      <c r="T180" s="59">
        <f t="shared" si="142"/>
        <v>293.11447542333889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12.250369324806721</v>
      </c>
      <c r="AA180" s="21">
        <f>EXP(-LN(2)/25)*AA179+(1-EXP(-LN(2)/25))/(LN(2)/25)*Calculateur!V180*Calculateur!X180*VLOOKUP('Données projet'!$B$9,Paramètres!$A$1:$I$89,3,0)*0.475*44/12</f>
        <v>4.3776022229112863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16.627971547718008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1.9895196601282805E-13</v>
      </c>
      <c r="AJ180" s="13">
        <f>AI180*VLOOKUP('Données projet'!$B$10,Paramètres!$A$1:$I$89,3,0)*VLOOKUP('Données projet'!$B$10,Paramètres!$A$1:$I$89,5,0)</f>
        <v>1.707007868390065E-13</v>
      </c>
      <c r="AK180" s="13">
        <f t="shared" si="164"/>
        <v>2.4096578055149408E-12</v>
      </c>
      <c r="AL180" s="20">
        <f t="shared" si="165"/>
        <v>4.4941245483497909E-12</v>
      </c>
      <c r="AM180" s="59">
        <f t="shared" si="113"/>
        <v>293.33333333333781</v>
      </c>
      <c r="AN180" s="59">
        <f ca="1">AVERAGE(OFFSET($AM$3,0,0,'Données projet'!$E$10+1,1))-AVERAGE(OFFSET($H$3,0,0,'Données projet'!$E$10+1,1))</f>
        <v>335.02113791949211</v>
      </c>
      <c r="AO180" s="59">
        <f t="shared" si="144"/>
        <v>222.06886429435099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36.673360225715022</v>
      </c>
      <c r="AV180" s="21">
        <f>EXP(-LN(2)/25)*AV179+(1-EXP(-LN(2)/25))/(LN(2)/25)*Calculateur!AQ180*Calculateur!AS180*VLOOKUP('Données projet'!$B$10,Paramètres!$A$1:$I$89,3,0)*0.475*44/12</f>
        <v>15.900029427266695</v>
      </c>
      <c r="AW180" s="21">
        <f>EXP(-LN(2)/2)*AW179+(1-EXP(-LN(2)/2))/(LN(2)/2)*AQ180*AT180*VLOOKUP('Données projet'!$B$10,Paramètres!$A$1:$I$89,3,0)*0.475*44/12</f>
        <v>7.5581612153837307E-8</v>
      </c>
      <c r="AX180" s="21">
        <f t="shared" si="166"/>
        <v>52.573389728563328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-3.1036506698001178E-14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207.02306964567629</v>
      </c>
      <c r="BJ180" s="59">
        <f t="shared" si="146"/>
        <v>342.06887933351783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4.4729974582180523</v>
      </c>
      <c r="BQ180" s="21">
        <f>EXP(-LN(2)/25)*BQ179+(1-EXP(-LN(2)/25))/(LN(2)/25)*Calculateur!BL180*Calculateur!BN180*VLOOKUP('Données projet'!$B$11,Paramètres!$A$1:$I$89,3,0)*0.475*44/12</f>
        <v>3.3591319813898362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7.832129439607888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233.89079999999998</v>
      </c>
      <c r="CA180" s="13">
        <f t="shared" si="170"/>
        <v>57.123140349023068</v>
      </c>
      <c r="CB180" s="20">
        <f t="shared" si="171"/>
        <v>506.84927944121517</v>
      </c>
      <c r="CC180" s="59">
        <f t="shared" si="119"/>
        <v>800.18261277454849</v>
      </c>
      <c r="CD180" s="59">
        <f ca="1">AVERAGE(OFFSET($CC$3,0,0,'Données projet'!$E$12+1,1))-AVERAGE(OFFSET($H$3,0,0,'Données projet'!$E$12+1,1))</f>
        <v>328.55201074501201</v>
      </c>
      <c r="CE180" s="59">
        <f t="shared" si="148"/>
        <v>321.81422611044985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4.9035409394574065</v>
      </c>
      <c r="CL180" s="21">
        <f>EXP(-LN(2)/25)*CL179+(1-EXP(-LN(2)/25))/(LN(2)/25)*Calculateur!CG180*Calculateur!CI180*VLOOKUP('Données projet'!$B$12,Paramètres!$A$1:$I$89,3,0)*0.475*44/12</f>
        <v>0.38318318457189032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5.2867241240292966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354.24684313982857</v>
      </c>
      <c r="CZ180" s="59">
        <f t="shared" si="150"/>
        <v>322.65043486962185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21.304437374605659</v>
      </c>
      <c r="DG180" s="21">
        <f>EXP(-LN(2)/25)*DG179+(1-EXP(-LN(2)/25))/(LN(2)/25)*Calculateur!DB180*Calculateur!DD180*VLOOKUP('Données projet'!$B$13,Paramètres!$A$1:$I$89,3,0)*0.475*44/12</f>
        <v>4.1381838360098406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25.442621210615499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1.7053025658242404E-13</v>
      </c>
      <c r="DP180" s="17">
        <f>DO180*VLOOKUP('Données projet'!$B$14,Paramètres!$A$1:$I$89,3,0)*VLOOKUP('Données projet'!$B$14,Paramètres!$A$1:$I$89,5,0)</f>
        <v>1.3301360013429075E-13</v>
      </c>
      <c r="DQ180" s="13">
        <f t="shared" si="176"/>
        <v>1.9329766731057041E-12</v>
      </c>
      <c r="DR180" s="20">
        <f t="shared" si="177"/>
        <v>3.5982663925596575E-12</v>
      </c>
      <c r="DS180" s="59">
        <f t="shared" si="125"/>
        <v>293.3333333333369</v>
      </c>
      <c r="DT180" s="59">
        <f ca="1">AVERAGE(OFFSET($DS$3,0,0,'Données projet'!$E$14+1,1))-AVERAGE(OFFSET($H$3,0,0,'Données projet'!$E$14+1,1))</f>
        <v>288.80569134263209</v>
      </c>
      <c r="DU180" s="59">
        <f t="shared" si="152"/>
        <v>283.48738729114024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9.5567104674653258</v>
      </c>
      <c r="EB180" s="21">
        <f>EXP(-LN(2)/25)*EB179+(1-EXP(-LN(2)/25))/(LN(2)/25)*Calculateur!DW180*Calculateur!DY180*VLOOKUP('Données projet'!$B$14,Paramètres!$A$1:$I$89,3,0)*0.475*44/12</f>
        <v>3.4150380185991485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12.971748486064474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-6.3550942286383367E-14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335.04906256888819</v>
      </c>
      <c r="EP180" s="59">
        <f t="shared" si="154"/>
        <v>440.84111898279554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20.233207570830526</v>
      </c>
      <c r="EW180" s="21">
        <f>EXP(-LN(2)/25)*EW179+(1-EXP(-LN(2)/25))/(LN(2)/25)*Calculateur!ER180*Calculateur!ET180*VLOOKUP('Données projet'!$B$15,Paramètres!$A$1:$I$89,3,0)*0.475*44/12</f>
        <v>1.9563835820987217</v>
      </c>
      <c r="EX180" s="21">
        <f>EXP(-LN(2)/2)*EX179+(1-EXP(-LN(2)/2))/(LN(2)/2)*ER180*EU180*VLOOKUP('Données projet'!$B$15,Paramètres!$A$1:$I$89,3,0)*0.475*44/12</f>
        <v>1.4815104006478602E-17</v>
      </c>
      <c r="EY180" s="22">
        <f t="shared" si="181"/>
        <v>22.189591152929246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1.7053025658242404E-13</v>
      </c>
      <c r="O181" s="13">
        <f>N181*VLOOKUP('Données projet'!$B$9,Paramètres!$A$1:$I$89,3,0)*VLOOKUP('Données projet'!$B$9,Paramètres!$A$1:$I$89,5,0)</f>
        <v>1.383341441396624E-13</v>
      </c>
      <c r="P181" s="13">
        <f t="shared" si="141"/>
        <v>2.0011390722884082E-12</v>
      </c>
      <c r="Q181" s="20">
        <f t="shared" si="162"/>
        <v>3.7262491852788889E-12</v>
      </c>
      <c r="R181" s="59">
        <f t="shared" si="109"/>
        <v>293.33333333333707</v>
      </c>
      <c r="S181" s="59">
        <f ca="1">AVERAGE(OFFSET($R$3,0,0,'Données projet'!$E$9+1,1))-AVERAGE(OFFSET($H$3,0,0,'Données projet'!$E$9+1,1))</f>
        <v>298.96480270023716</v>
      </c>
      <c r="T181" s="59">
        <f t="shared" si="142"/>
        <v>293.11447542333889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12.010147054334752</v>
      </c>
      <c r="AA181" s="21">
        <f>EXP(-LN(2)/25)*AA180+(1-EXP(-LN(2)/25))/(LN(2)/25)*Calculateur!V181*Calculateur!X181*VLOOKUP('Données projet'!$B$9,Paramètres!$A$1:$I$89,3,0)*0.475*44/12</f>
        <v>4.2578964599176814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16.268043514252433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1.9895196601282805E-13</v>
      </c>
      <c r="AJ181" s="13">
        <f>AI181*VLOOKUP('Données projet'!$B$10,Paramètres!$A$1:$I$89,3,0)*VLOOKUP('Données projet'!$B$10,Paramètres!$A$1:$I$89,5,0)</f>
        <v>1.707007868390065E-13</v>
      </c>
      <c r="AK181" s="13">
        <f t="shared" si="164"/>
        <v>2.4096578055149408E-12</v>
      </c>
      <c r="AL181" s="20">
        <f t="shared" si="165"/>
        <v>4.4941245483497909E-12</v>
      </c>
      <c r="AM181" s="59">
        <f t="shared" si="113"/>
        <v>293.33333333333781</v>
      </c>
      <c r="AN181" s="59">
        <f ca="1">AVERAGE(OFFSET($AM$3,0,0,'Données projet'!$E$10+1,1))-AVERAGE(OFFSET($H$3,0,0,'Données projet'!$E$10+1,1))</f>
        <v>335.02113791949211</v>
      </c>
      <c r="AO181" s="59">
        <f t="shared" si="144"/>
        <v>222.06886429435099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35.95421800022978</v>
      </c>
      <c r="AV181" s="21">
        <f>EXP(-LN(2)/25)*AV180+(1-EXP(-LN(2)/25))/(LN(2)/25)*Calculateur!AQ181*Calculateur!AS181*VLOOKUP('Données projet'!$B$10,Paramètres!$A$1:$I$89,3,0)*0.475*44/12</f>
        <v>15.465242286431879</v>
      </c>
      <c r="AW181" s="21">
        <f>EXP(-LN(2)/2)*AW180+(1-EXP(-LN(2)/2))/(LN(2)/2)*AQ181*AT181*VLOOKUP('Données projet'!$B$10,Paramètres!$A$1:$I$89,3,0)*0.475*44/12</f>
        <v>5.3444270486989938E-8</v>
      </c>
      <c r="AX181" s="21">
        <f t="shared" si="166"/>
        <v>51.419460340105928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-3.1036506698001178E-14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207.02306964567629</v>
      </c>
      <c r="BJ181" s="59">
        <f t="shared" si="146"/>
        <v>342.06887933351783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4.3852847063214524</v>
      </c>
      <c r="BQ181" s="21">
        <f>EXP(-LN(2)/25)*BQ180+(1-EXP(-LN(2)/25))/(LN(2)/25)*Calculateur!BL181*Calculateur!BN181*VLOOKUP('Données projet'!$B$11,Paramètres!$A$1:$I$89,3,0)*0.475*44/12</f>
        <v>3.2672763407096577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7.6525610470311101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233.89079999999998</v>
      </c>
      <c r="CA181" s="13">
        <f t="shared" si="170"/>
        <v>57.123140349023068</v>
      </c>
      <c r="CB181" s="20">
        <f t="shared" si="171"/>
        <v>506.84927944121517</v>
      </c>
      <c r="CC181" s="59">
        <f t="shared" si="119"/>
        <v>800.18261277454849</v>
      </c>
      <c r="CD181" s="59">
        <f ca="1">AVERAGE(OFFSET($CC$3,0,0,'Données projet'!$E$12+1,1))-AVERAGE(OFFSET($H$3,0,0,'Données projet'!$E$12+1,1))</f>
        <v>328.55201074501201</v>
      </c>
      <c r="CE181" s="59">
        <f t="shared" si="148"/>
        <v>321.81422611044985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4.8073854924992965</v>
      </c>
      <c r="CL181" s="21">
        <f>EXP(-LN(2)/25)*CL180+(1-EXP(-LN(2)/25))/(LN(2)/25)*Calculateur!CG181*Calculateur!CI181*VLOOKUP('Données projet'!$B$12,Paramètres!$A$1:$I$89,3,0)*0.475*44/12</f>
        <v>0.37270502023904406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5.1800905127383405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354.24684313982857</v>
      </c>
      <c r="CZ181" s="59">
        <f t="shared" si="150"/>
        <v>322.65043486962185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20.886670352113349</v>
      </c>
      <c r="DG181" s="21">
        <f>EXP(-LN(2)/25)*DG180+(1-EXP(-LN(2)/25))/(LN(2)/25)*Calculateur!DB181*Calculateur!DD181*VLOOKUP('Données projet'!$B$13,Paramètres!$A$1:$I$89,3,0)*0.475*44/12</f>
        <v>4.0250249813965215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24.911695333509869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1.7053025658242404E-13</v>
      </c>
      <c r="DP181" s="17">
        <f>DO181*VLOOKUP('Données projet'!$B$14,Paramètres!$A$1:$I$89,3,0)*VLOOKUP('Données projet'!$B$14,Paramètres!$A$1:$I$89,5,0)</f>
        <v>1.3301360013429075E-13</v>
      </c>
      <c r="DQ181" s="13">
        <f t="shared" si="176"/>
        <v>1.9329766731057041E-12</v>
      </c>
      <c r="DR181" s="20">
        <f t="shared" si="177"/>
        <v>3.5982663925596575E-12</v>
      </c>
      <c r="DS181" s="59">
        <f t="shared" si="125"/>
        <v>293.3333333333369</v>
      </c>
      <c r="DT181" s="59">
        <f ca="1">AVERAGE(OFFSET($DS$3,0,0,'Données projet'!$E$14+1,1))-AVERAGE(OFFSET($H$3,0,0,'Données projet'!$E$14+1,1))</f>
        <v>288.80569134263209</v>
      </c>
      <c r="DU181" s="59">
        <f t="shared" si="152"/>
        <v>283.48738729114024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9.3693092042161474</v>
      </c>
      <c r="EB181" s="21">
        <f>EXP(-LN(2)/25)*EB180+(1-EXP(-LN(2)/25))/(LN(2)/25)*Calculateur!DW181*Calculateur!DY181*VLOOKUP('Données projet'!$B$14,Paramètres!$A$1:$I$89,3,0)*0.475*44/12</f>
        <v>3.3216536243915105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12.690962828607658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-6.3550942286383367E-14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335.04906256888819</v>
      </c>
      <c r="EP181" s="59">
        <f t="shared" si="154"/>
        <v>440.84111898279554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19.83644671140458</v>
      </c>
      <c r="EW181" s="21">
        <f>EXP(-LN(2)/25)*EW180+(1-EXP(-LN(2)/25))/(LN(2)/25)*Calculateur!ER181*Calculateur!ET181*VLOOKUP('Données projet'!$B$15,Paramètres!$A$1:$I$89,3,0)*0.475*44/12</f>
        <v>1.9028861701644908</v>
      </c>
      <c r="EX181" s="21">
        <f>EXP(-LN(2)/2)*EX180+(1-EXP(-LN(2)/2))/(LN(2)/2)*ER181*EU181*VLOOKUP('Données projet'!$B$15,Paramètres!$A$1:$I$89,3,0)*0.475*44/12</f>
        <v>1.0475860506965008E-17</v>
      </c>
      <c r="EY181" s="22">
        <f t="shared" si="181"/>
        <v>21.739332881569069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1.7053025658242404E-13</v>
      </c>
      <c r="O182" s="13">
        <f>N182*VLOOKUP('Données projet'!$B$9,Paramètres!$A$1:$I$89,3,0)*VLOOKUP('Données projet'!$B$9,Paramètres!$A$1:$I$89,5,0)</f>
        <v>1.383341441396624E-13</v>
      </c>
      <c r="P182" s="13">
        <f t="shared" si="141"/>
        <v>2.0011390722884082E-12</v>
      </c>
      <c r="Q182" s="20">
        <f t="shared" si="162"/>
        <v>3.7262491852788889E-12</v>
      </c>
      <c r="R182" s="59">
        <f t="shared" si="109"/>
        <v>293.33333333333707</v>
      </c>
      <c r="S182" s="59">
        <f ca="1">AVERAGE(OFFSET($R$3,0,0,'Données projet'!$E$9+1,1))-AVERAGE(OFFSET($H$3,0,0,'Données projet'!$E$9+1,1))</f>
        <v>298.96480270023716</v>
      </c>
      <c r="T182" s="59">
        <f t="shared" si="142"/>
        <v>293.11447542333889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11.774635396065621</v>
      </c>
      <c r="AA182" s="21">
        <f>EXP(-LN(2)/25)*AA181+(1-EXP(-LN(2)/25))/(LN(2)/25)*Calculateur!V182*Calculateur!X182*VLOOKUP('Données projet'!$B$9,Paramètres!$A$1:$I$89,3,0)*0.475*44/12</f>
        <v>4.1414640573081893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15.91609945337381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1.9895196601282805E-13</v>
      </c>
      <c r="AJ182" s="13">
        <f>AI182*VLOOKUP('Données projet'!$B$10,Paramètres!$A$1:$I$89,3,0)*VLOOKUP('Données projet'!$B$10,Paramètres!$A$1:$I$89,5,0)</f>
        <v>1.707007868390065E-13</v>
      </c>
      <c r="AK182" s="13">
        <f t="shared" si="164"/>
        <v>2.4096578055149408E-12</v>
      </c>
      <c r="AL182" s="20">
        <f t="shared" si="165"/>
        <v>4.4941245483497909E-12</v>
      </c>
      <c r="AM182" s="59">
        <f t="shared" si="113"/>
        <v>293.33333333333781</v>
      </c>
      <c r="AN182" s="59">
        <f ca="1">AVERAGE(OFFSET($AM$3,0,0,'Données projet'!$E$10+1,1))-AVERAGE(OFFSET($H$3,0,0,'Données projet'!$E$10+1,1))</f>
        <v>335.02113791949211</v>
      </c>
      <c r="AO182" s="59">
        <f t="shared" si="144"/>
        <v>222.06886429435099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35.249177715152854</v>
      </c>
      <c r="AV182" s="21">
        <f>EXP(-LN(2)/25)*AV181+(1-EXP(-LN(2)/25))/(LN(2)/25)*Calculateur!AQ182*Calculateur!AS182*VLOOKUP('Données projet'!$B$10,Paramètres!$A$1:$I$89,3,0)*0.475*44/12</f>
        <v>15.042344422827654</v>
      </c>
      <c r="AW182" s="21">
        <f>EXP(-LN(2)/2)*AW181+(1-EXP(-LN(2)/2))/(LN(2)/2)*AQ182*AT182*VLOOKUP('Données projet'!$B$10,Paramètres!$A$1:$I$89,3,0)*0.475*44/12</f>
        <v>3.7790806076918653E-8</v>
      </c>
      <c r="AX182" s="21">
        <f t="shared" si="166"/>
        <v>50.291522175771313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-3.1036506698001178E-14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207.02306964567629</v>
      </c>
      <c r="BJ182" s="59">
        <f t="shared" si="146"/>
        <v>342.06887933351783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4.2992919479900493</v>
      </c>
      <c r="BQ182" s="21">
        <f>EXP(-LN(2)/25)*BQ181+(1-EXP(-LN(2)/25))/(LN(2)/25)*Calculateur!BL182*Calculateur!BN182*VLOOKUP('Données projet'!$B$11,Paramètres!$A$1:$I$89,3,0)*0.475*44/12</f>
        <v>3.1779324973543566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7.4772244453444063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233.89079999999998</v>
      </c>
      <c r="CA182" s="13">
        <f t="shared" si="170"/>
        <v>57.123140349023068</v>
      </c>
      <c r="CB182" s="20">
        <f t="shared" si="171"/>
        <v>506.84927944121517</v>
      </c>
      <c r="CC182" s="59">
        <f t="shared" si="119"/>
        <v>800.18261277454849</v>
      </c>
      <c r="CD182" s="59">
        <f ca="1">AVERAGE(OFFSET($CC$3,0,0,'Données projet'!$E$12+1,1))-AVERAGE(OFFSET($H$3,0,0,'Données projet'!$E$12+1,1))</f>
        <v>328.55201074501201</v>
      </c>
      <c r="CE182" s="59">
        <f t="shared" si="148"/>
        <v>321.81422611044985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4.7131155952070038</v>
      </c>
      <c r="CL182" s="21">
        <f>EXP(-LN(2)/25)*CL181+(1-EXP(-LN(2)/25))/(LN(2)/25)*Calculateur!CG182*Calculateur!CI182*VLOOKUP('Données projet'!$B$12,Paramètres!$A$1:$I$89,3,0)*0.475*44/12</f>
        <v>0.36251338186090221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5.0756289770679057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354.24684313982857</v>
      </c>
      <c r="CZ182" s="59">
        <f t="shared" si="150"/>
        <v>322.65043486962185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20.477095486119389</v>
      </c>
      <c r="DG182" s="21">
        <f>EXP(-LN(2)/25)*DG181+(1-EXP(-LN(2)/25))/(LN(2)/25)*Calculateur!DB182*Calculateur!DD182*VLOOKUP('Données projet'!$B$13,Paramètres!$A$1:$I$89,3,0)*0.475*44/12</f>
        <v>3.9149604616133691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24.392055947732757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1.7053025658242404E-13</v>
      </c>
      <c r="DP182" s="17">
        <f>DO182*VLOOKUP('Données projet'!$B$14,Paramètres!$A$1:$I$89,3,0)*VLOOKUP('Données projet'!$B$14,Paramètres!$A$1:$I$89,5,0)</f>
        <v>1.3301360013429075E-13</v>
      </c>
      <c r="DQ182" s="13">
        <f t="shared" si="176"/>
        <v>1.9329766731057041E-12</v>
      </c>
      <c r="DR182" s="20">
        <f t="shared" si="177"/>
        <v>3.5982663925596575E-12</v>
      </c>
      <c r="DS182" s="59">
        <f t="shared" si="125"/>
        <v>293.3333333333369</v>
      </c>
      <c r="DT182" s="59">
        <f ca="1">AVERAGE(OFFSET($DS$3,0,0,'Données projet'!$E$14+1,1))-AVERAGE(OFFSET($H$3,0,0,'Données projet'!$E$14+1,1))</f>
        <v>288.80569134263209</v>
      </c>
      <c r="DU182" s="59">
        <f t="shared" si="152"/>
        <v>283.48738729114024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9.185582765435802</v>
      </c>
      <c r="EB182" s="21">
        <f>EXP(-LN(2)/25)*EB181+(1-EXP(-LN(2)/25))/(LN(2)/25)*Calculateur!DW182*Calculateur!DY182*VLOOKUP('Données projet'!$B$14,Paramètres!$A$1:$I$89,3,0)*0.475*44/12</f>
        <v>3.2308228313543523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12.416405596790154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-6.3550942286383367E-14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335.04906256888819</v>
      </c>
      <c r="EP182" s="59">
        <f t="shared" si="154"/>
        <v>440.84111898279554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19.44746609043175</v>
      </c>
      <c r="EW182" s="21">
        <f>EXP(-LN(2)/25)*EW181+(1-EXP(-LN(2)/25))/(LN(2)/25)*Calculateur!ER182*Calculateur!ET182*VLOOKUP('Données projet'!$B$15,Paramètres!$A$1:$I$89,3,0)*0.475*44/12</f>
        <v>1.8508516477729082</v>
      </c>
      <c r="EX182" s="21">
        <f>EXP(-LN(2)/2)*EX181+(1-EXP(-LN(2)/2))/(LN(2)/2)*ER182*EU182*VLOOKUP('Données projet'!$B$15,Paramètres!$A$1:$I$89,3,0)*0.475*44/12</f>
        <v>7.407552003239301E-18</v>
      </c>
      <c r="EY182" s="22">
        <f t="shared" si="181"/>
        <v>21.298317738204659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1.7053025658242404E-13</v>
      </c>
      <c r="O183" s="13">
        <f>N183*VLOOKUP('Données projet'!$B$9,Paramètres!$A$1:$I$89,3,0)*VLOOKUP('Données projet'!$B$9,Paramètres!$A$1:$I$89,5,0)</f>
        <v>1.383341441396624E-13</v>
      </c>
      <c r="P183" s="13">
        <f t="shared" si="141"/>
        <v>2.0011390722884082E-12</v>
      </c>
      <c r="Q183" s="20">
        <f t="shared" si="162"/>
        <v>3.7262491852788889E-12</v>
      </c>
      <c r="R183" s="59">
        <f t="shared" si="109"/>
        <v>293.33333333333707</v>
      </c>
      <c r="S183" s="59">
        <f ca="1">AVERAGE(OFFSET($R$3,0,0,'Données projet'!$E$9+1,1))-AVERAGE(OFFSET($H$3,0,0,'Données projet'!$E$9+1,1))</f>
        <v>298.96480270023716</v>
      </c>
      <c r="T183" s="59">
        <f t="shared" si="142"/>
        <v>293.11447542333889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11.543741977767221</v>
      </c>
      <c r="AA183" s="21">
        <f>EXP(-LN(2)/25)*AA182+(1-EXP(-LN(2)/25))/(LN(2)/25)*Calculateur!V183*Calculateur!X183*VLOOKUP('Données projet'!$B$9,Paramètres!$A$1:$I$89,3,0)*0.475*44/12</f>
        <v>4.0282155048709676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15.571957482638188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1.9895196601282805E-13</v>
      </c>
      <c r="AJ183" s="13">
        <f>AI183*VLOOKUP('Données projet'!$B$10,Paramètres!$A$1:$I$89,3,0)*VLOOKUP('Données projet'!$B$10,Paramètres!$A$1:$I$89,5,0)</f>
        <v>1.707007868390065E-13</v>
      </c>
      <c r="AK183" s="13">
        <f t="shared" si="164"/>
        <v>2.4096578055149408E-12</v>
      </c>
      <c r="AL183" s="20">
        <f t="shared" si="165"/>
        <v>4.4941245483497909E-12</v>
      </c>
      <c r="AM183" s="59">
        <f t="shared" si="113"/>
        <v>293.33333333333781</v>
      </c>
      <c r="AN183" s="59">
        <f ca="1">AVERAGE(OFFSET($AM$3,0,0,'Données projet'!$E$10+1,1))-AVERAGE(OFFSET($H$3,0,0,'Données projet'!$E$10+1,1))</f>
        <v>335.02113791949211</v>
      </c>
      <c r="AO183" s="59">
        <f t="shared" si="144"/>
        <v>222.06886429435099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34.557962840034179</v>
      </c>
      <c r="AV183" s="21">
        <f>EXP(-LN(2)/25)*AV182+(1-EXP(-LN(2)/25))/(LN(2)/25)*Calculateur!AQ183*Calculateur!AS183*VLOOKUP('Données projet'!$B$10,Paramètres!$A$1:$I$89,3,0)*0.475*44/12</f>
        <v>14.631010723542918</v>
      </c>
      <c r="AW183" s="21">
        <f>EXP(-LN(2)/2)*AW182+(1-EXP(-LN(2)/2))/(LN(2)/2)*AQ183*AT183*VLOOKUP('Données projet'!$B$10,Paramètres!$A$1:$I$89,3,0)*0.475*44/12</f>
        <v>2.6722135243494969E-8</v>
      </c>
      <c r="AX183" s="21">
        <f t="shared" si="166"/>
        <v>49.188973590299227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-3.1036506698001178E-14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207.02306964567629</v>
      </c>
      <c r="BJ183" s="59">
        <f t="shared" si="146"/>
        <v>342.06887933351783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4.2149854551991215</v>
      </c>
      <c r="BQ183" s="21">
        <f>EXP(-LN(2)/25)*BQ182+(1-EXP(-LN(2)/25))/(LN(2)/25)*Calculateur!BL183*Calculateur!BN183*VLOOKUP('Données projet'!$B$11,Paramètres!$A$1:$I$89,3,0)*0.475*44/12</f>
        <v>3.091031766093995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7.306017221293116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233.89079999999998</v>
      </c>
      <c r="CA183" s="13">
        <f t="shared" si="170"/>
        <v>57.123140349023068</v>
      </c>
      <c r="CB183" s="20">
        <f t="shared" si="171"/>
        <v>506.84927944121517</v>
      </c>
      <c r="CC183" s="59">
        <f t="shared" si="119"/>
        <v>800.18261277454849</v>
      </c>
      <c r="CD183" s="59">
        <f ca="1">AVERAGE(OFFSET($CC$3,0,0,'Données projet'!$E$12+1,1))-AVERAGE(OFFSET($H$3,0,0,'Données projet'!$E$12+1,1))</f>
        <v>328.55201074501201</v>
      </c>
      <c r="CE183" s="59">
        <f t="shared" si="148"/>
        <v>321.81422611044985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4.6206942731016527</v>
      </c>
      <c r="CL183" s="21">
        <f>EXP(-LN(2)/25)*CL182+(1-EXP(-LN(2)/25))/(LN(2)/25)*Calculateur!CG183*Calculateur!CI183*VLOOKUP('Données projet'!$B$12,Paramètres!$A$1:$I$89,3,0)*0.475*44/12</f>
        <v>0.35260043437016564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4.9732947074718181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354.24684313982857</v>
      </c>
      <c r="CZ183" s="59">
        <f t="shared" si="150"/>
        <v>322.65043486962185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20.075552133431568</v>
      </c>
      <c r="DG183" s="21">
        <f>EXP(-LN(2)/25)*DG182+(1-EXP(-LN(2)/25))/(LN(2)/25)*Calculateur!DB183*Calculateur!DD183*VLOOKUP('Données projet'!$B$13,Paramètres!$A$1:$I$89,3,0)*0.475*44/12</f>
        <v>3.8079056619117284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23.883457795343297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1.7053025658242404E-13</v>
      </c>
      <c r="DP183" s="17">
        <f>DO183*VLOOKUP('Données projet'!$B$14,Paramètres!$A$1:$I$89,3,0)*VLOOKUP('Données projet'!$B$14,Paramètres!$A$1:$I$89,5,0)</f>
        <v>1.3301360013429075E-13</v>
      </c>
      <c r="DQ183" s="13">
        <f t="shared" si="176"/>
        <v>1.9329766731057041E-12</v>
      </c>
      <c r="DR183" s="20">
        <f t="shared" si="177"/>
        <v>3.5982663925596575E-12</v>
      </c>
      <c r="DS183" s="59">
        <f t="shared" si="125"/>
        <v>293.3333333333369</v>
      </c>
      <c r="DT183" s="59">
        <f ca="1">AVERAGE(OFFSET($DS$3,0,0,'Données projet'!$E$14+1,1))-AVERAGE(OFFSET($H$3,0,0,'Données projet'!$E$14+1,1))</f>
        <v>288.80569134263209</v>
      </c>
      <c r="DU183" s="59">
        <f t="shared" si="152"/>
        <v>283.48738729114024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9.0054590900578777</v>
      </c>
      <c r="EB183" s="21">
        <f>EXP(-LN(2)/25)*EB182+(1-EXP(-LN(2)/25))/(LN(2)/25)*Calculateur!DW183*Calculateur!DY183*VLOOKUP('Données projet'!$B$14,Paramètres!$A$1:$I$89,3,0)*0.475*44/12</f>
        <v>3.1424758111293789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12.147934901187256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-6.3550942286383367E-14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335.04906256888819</v>
      </c>
      <c r="EP183" s="59">
        <f t="shared" si="154"/>
        <v>440.84111898279554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19.066113142181443</v>
      </c>
      <c r="EW183" s="21">
        <f>EXP(-LN(2)/25)*EW182+(1-EXP(-LN(2)/25))/(LN(2)/25)*Calculateur!ER183*Calculateur!ET183*VLOOKUP('Données projet'!$B$15,Paramètres!$A$1:$I$89,3,0)*0.475*44/12</f>
        <v>1.8002400121325002</v>
      </c>
      <c r="EX183" s="21">
        <f>EXP(-LN(2)/2)*EX182+(1-EXP(-LN(2)/2))/(LN(2)/2)*ER183*EU183*VLOOKUP('Données projet'!$B$15,Paramètres!$A$1:$I$89,3,0)*0.475*44/12</f>
        <v>5.2379302534825042E-18</v>
      </c>
      <c r="EY183" s="22">
        <f t="shared" si="181"/>
        <v>20.866353154313945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1.7053025658242404E-13</v>
      </c>
      <c r="O184" s="13">
        <f>N184*VLOOKUP('Données projet'!$B$9,Paramètres!$A$1:$I$89,3,0)*VLOOKUP('Données projet'!$B$9,Paramètres!$A$1:$I$89,5,0)</f>
        <v>1.383341441396624E-13</v>
      </c>
      <c r="P184" s="13">
        <f t="shared" si="141"/>
        <v>2.0011390722884082E-12</v>
      </c>
      <c r="Q184" s="20">
        <f t="shared" si="162"/>
        <v>3.7262491852788889E-12</v>
      </c>
      <c r="R184" s="59">
        <f t="shared" si="109"/>
        <v>293.33333333333707</v>
      </c>
      <c r="S184" s="59">
        <f ca="1">AVERAGE(OFFSET($R$3,0,0,'Données projet'!$E$9+1,1))-AVERAGE(OFFSET($H$3,0,0,'Données projet'!$E$9+1,1))</f>
        <v>298.96480270023716</v>
      </c>
      <c r="T184" s="59">
        <f t="shared" si="142"/>
        <v>293.11447542333889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11.317376238570573</v>
      </c>
      <c r="AA184" s="21">
        <f>EXP(-LN(2)/25)*AA183+(1-EXP(-LN(2)/25))/(LN(2)/25)*Calculateur!V184*Calculateur!X184*VLOOKUP('Données projet'!$B$9,Paramètres!$A$1:$I$89,3,0)*0.475*44/12</f>
        <v>3.918063740055624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15.235439978626196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1.9895196601282805E-13</v>
      </c>
      <c r="AJ184" s="13">
        <f>AI184*VLOOKUP('Données projet'!$B$10,Paramètres!$A$1:$I$89,3,0)*VLOOKUP('Données projet'!$B$10,Paramètres!$A$1:$I$89,5,0)</f>
        <v>1.707007868390065E-13</v>
      </c>
      <c r="AK184" s="13">
        <f t="shared" si="164"/>
        <v>2.4096578055149408E-12</v>
      </c>
      <c r="AL184" s="20">
        <f t="shared" si="165"/>
        <v>4.4941245483497909E-12</v>
      </c>
      <c r="AM184" s="59">
        <f t="shared" si="113"/>
        <v>293.33333333333781</v>
      </c>
      <c r="AN184" s="59">
        <f ca="1">AVERAGE(OFFSET($AM$3,0,0,'Données projet'!$E$10+1,1))-AVERAGE(OFFSET($H$3,0,0,'Données projet'!$E$10+1,1))</f>
        <v>335.02113791949211</v>
      </c>
      <c r="AO184" s="59">
        <f t="shared" si="144"/>
        <v>222.06886429435099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33.880302267017136</v>
      </c>
      <c r="AV184" s="21">
        <f>EXP(-LN(2)/25)*AV183+(1-EXP(-LN(2)/25))/(LN(2)/25)*Calculateur!AQ184*Calculateur!AS184*VLOOKUP('Données projet'!$B$10,Paramètres!$A$1:$I$89,3,0)*0.475*44/12</f>
        <v>14.230924965896222</v>
      </c>
      <c r="AW184" s="21">
        <f>EXP(-LN(2)/2)*AW183+(1-EXP(-LN(2)/2))/(LN(2)/2)*AQ184*AT184*VLOOKUP('Données projet'!$B$10,Paramètres!$A$1:$I$89,3,0)*0.475*44/12</f>
        <v>1.8895403038459327E-8</v>
      </c>
      <c r="AX184" s="21">
        <f t="shared" si="166"/>
        <v>48.111227251808764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-3.1036506698001178E-14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207.02306964567629</v>
      </c>
      <c r="BJ184" s="59">
        <f t="shared" si="146"/>
        <v>342.06887933351783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4.1323321613099404</v>
      </c>
      <c r="BQ184" s="21">
        <f>EXP(-LN(2)/25)*BQ183+(1-EXP(-LN(2)/25))/(LN(2)/25)*Calculateur!BL184*Calculateur!BN184*VLOOKUP('Données projet'!$B$11,Paramètres!$A$1:$I$89,3,0)*0.475*44/12</f>
        <v>3.006507339899859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7.1388395012097998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233.89079999999998</v>
      </c>
      <c r="CA184" s="13">
        <f t="shared" si="170"/>
        <v>57.123140349023068</v>
      </c>
      <c r="CB184" s="20">
        <f t="shared" si="171"/>
        <v>506.84927944121517</v>
      </c>
      <c r="CC184" s="59">
        <f t="shared" si="119"/>
        <v>800.18261277454849</v>
      </c>
      <c r="CD184" s="59">
        <f ca="1">AVERAGE(OFFSET($CC$3,0,0,'Données projet'!$E$12+1,1))-AVERAGE(OFFSET($H$3,0,0,'Données projet'!$E$12+1,1))</f>
        <v>328.55201074501201</v>
      </c>
      <c r="CE184" s="59">
        <f t="shared" si="148"/>
        <v>321.81422611044985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4.5300852767513478</v>
      </c>
      <c r="CL184" s="21">
        <f>EXP(-LN(2)/25)*CL183+(1-EXP(-LN(2)/25))/(LN(2)/25)*Calculateur!CG184*Calculateur!CI184*VLOOKUP('Données projet'!$B$12,Paramètres!$A$1:$I$89,3,0)*0.475*44/12</f>
        <v>0.34295855694986249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4.8730438337012103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354.24684313982857</v>
      </c>
      <c r="CZ184" s="59">
        <f t="shared" si="150"/>
        <v>322.65043486962185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19.681882800972694</v>
      </c>
      <c r="DG184" s="21">
        <f>EXP(-LN(2)/25)*DG183+(1-EXP(-LN(2)/25))/(LN(2)/25)*Calculateur!DB184*Calculateur!DD184*VLOOKUP('Données projet'!$B$13,Paramètres!$A$1:$I$89,3,0)*0.475*44/12</f>
        <v>3.7037782813376965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23.385661082310392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1.7053025658242404E-13</v>
      </c>
      <c r="DP184" s="17">
        <f>DO184*VLOOKUP('Données projet'!$B$14,Paramètres!$A$1:$I$89,3,0)*VLOOKUP('Données projet'!$B$14,Paramètres!$A$1:$I$89,5,0)</f>
        <v>1.3301360013429075E-13</v>
      </c>
      <c r="DQ184" s="13">
        <f t="shared" si="176"/>
        <v>1.9329766731057041E-12</v>
      </c>
      <c r="DR184" s="20">
        <f t="shared" si="177"/>
        <v>3.5982663925596575E-12</v>
      </c>
      <c r="DS184" s="59">
        <f t="shared" si="125"/>
        <v>293.3333333333369</v>
      </c>
      <c r="DT184" s="59">
        <f ca="1">AVERAGE(OFFSET($DS$3,0,0,'Données projet'!$E$14+1,1))-AVERAGE(OFFSET($H$3,0,0,'Données projet'!$E$14+1,1))</f>
        <v>288.80569134263209</v>
      </c>
      <c r="DU184" s="59">
        <f t="shared" si="152"/>
        <v>283.48738729114024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8.8288675300895196</v>
      </c>
      <c r="EB184" s="21">
        <f>EXP(-LN(2)/25)*EB183+(1-EXP(-LN(2)/25))/(LN(2)/25)*Calculateur!DW184*Calculateur!DY184*VLOOKUP('Données projet'!$B$14,Paramètres!$A$1:$I$89,3,0)*0.475*44/12</f>
        <v>3.0565446448184255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11.885412174907945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-6.3550942286383367E-14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335.04906256888819</v>
      </c>
      <c r="EP184" s="59">
        <f t="shared" si="154"/>
        <v>440.84111898279554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18.692238292643996</v>
      </c>
      <c r="EW184" s="21">
        <f>EXP(-LN(2)/25)*EW183+(1-EXP(-LN(2)/25))/(LN(2)/25)*Calculateur!ER184*Calculateur!ET184*VLOOKUP('Données projet'!$B$15,Paramètres!$A$1:$I$89,3,0)*0.475*44/12</f>
        <v>1.7510123543302292</v>
      </c>
      <c r="EX184" s="21">
        <f>EXP(-LN(2)/2)*EX183+(1-EXP(-LN(2)/2))/(LN(2)/2)*ER184*EU184*VLOOKUP('Données projet'!$B$15,Paramètres!$A$1:$I$89,3,0)*0.475*44/12</f>
        <v>3.7037760016196505E-18</v>
      </c>
      <c r="EY184" s="22">
        <f t="shared" si="181"/>
        <v>20.443250646974224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1.7053025658242404E-13</v>
      </c>
      <c r="O185" s="13">
        <f>N185*VLOOKUP('Données projet'!$B$9,Paramètres!$A$1:$I$89,3,0)*VLOOKUP('Données projet'!$B$9,Paramètres!$A$1:$I$89,5,0)</f>
        <v>1.383341441396624E-13</v>
      </c>
      <c r="P185" s="13">
        <f t="shared" si="141"/>
        <v>2.0011390722884082E-12</v>
      </c>
      <c r="Q185" s="20">
        <f t="shared" si="162"/>
        <v>3.7262491852788889E-12</v>
      </c>
      <c r="R185" s="59">
        <f t="shared" si="109"/>
        <v>293.33333333333707</v>
      </c>
      <c r="S185" s="59">
        <f ca="1">AVERAGE(OFFSET($R$3,0,0,'Données projet'!$E$9+1,1))-AVERAGE(OFFSET($H$3,0,0,'Données projet'!$E$9+1,1))</f>
        <v>298.96480270023716</v>
      </c>
      <c r="T185" s="59">
        <f t="shared" si="142"/>
        <v>293.11447542333889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11.095449393450103</v>
      </c>
      <c r="AA185" s="21">
        <f>EXP(-LN(2)/25)*AA184+(1-EXP(-LN(2)/25))/(LN(2)/25)*Calculateur!V185*Calculateur!X185*VLOOKUP('Données projet'!$B$9,Paramètres!$A$1:$I$89,3,0)*0.475*44/12</f>
        <v>3.8109240810417857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14.90637347449189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1.9895196601282805E-13</v>
      </c>
      <c r="AJ185" s="13">
        <f>AI185*VLOOKUP('Données projet'!$B$10,Paramètres!$A$1:$I$89,3,0)*VLOOKUP('Données projet'!$B$10,Paramètres!$A$1:$I$89,5,0)</f>
        <v>1.707007868390065E-13</v>
      </c>
      <c r="AK185" s="13">
        <f t="shared" si="164"/>
        <v>2.4096578055149408E-12</v>
      </c>
      <c r="AL185" s="20">
        <f t="shared" si="165"/>
        <v>4.4941245483497909E-12</v>
      </c>
      <c r="AM185" s="59">
        <f t="shared" si="113"/>
        <v>293.33333333333781</v>
      </c>
      <c r="AN185" s="59">
        <f ca="1">AVERAGE(OFFSET($AM$3,0,0,'Données projet'!$E$10+1,1))-AVERAGE(OFFSET($H$3,0,0,'Données projet'!$E$10+1,1))</f>
        <v>335.02113791949211</v>
      </c>
      <c r="AO185" s="59">
        <f t="shared" si="144"/>
        <v>222.06886429435099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33.215930204504822</v>
      </c>
      <c r="AV185" s="21">
        <f>EXP(-LN(2)/25)*AV184+(1-EXP(-LN(2)/25))/(LN(2)/25)*Calculateur!AQ185*Calculateur!AS185*VLOOKUP('Données projet'!$B$10,Paramètres!$A$1:$I$89,3,0)*0.475*44/12</f>
        <v>13.841779574331971</v>
      </c>
      <c r="AW185" s="21">
        <f>EXP(-LN(2)/2)*AW184+(1-EXP(-LN(2)/2))/(LN(2)/2)*AQ185*AT185*VLOOKUP('Données projet'!$B$10,Paramètres!$A$1:$I$89,3,0)*0.475*44/12</f>
        <v>1.3361067621747485E-8</v>
      </c>
      <c r="AX185" s="21">
        <f t="shared" si="166"/>
        <v>47.057709792197862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-3.1036506698001178E-14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207.02306964567629</v>
      </c>
      <c r="BJ185" s="59">
        <f t="shared" si="146"/>
        <v>342.06887933351783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4.0512996481003949</v>
      </c>
      <c r="BQ185" s="21">
        <f>EXP(-LN(2)/25)*BQ184+(1-EXP(-LN(2)/25))/(LN(2)/25)*Calculateur!BL185*Calculateur!BN185*VLOOKUP('Données projet'!$B$11,Paramètres!$A$1:$I$89,3,0)*0.475*44/12</f>
        <v>2.924294238584948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6.9755938866853429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233.89079999999998</v>
      </c>
      <c r="CA185" s="13">
        <f t="shared" si="170"/>
        <v>57.123140349023068</v>
      </c>
      <c r="CB185" s="20">
        <f t="shared" si="171"/>
        <v>506.84927944121517</v>
      </c>
      <c r="CC185" s="59">
        <f t="shared" si="119"/>
        <v>800.18261277454849</v>
      </c>
      <c r="CD185" s="59">
        <f ca="1">AVERAGE(OFFSET($CC$3,0,0,'Données projet'!$E$12+1,1))-AVERAGE(OFFSET($H$3,0,0,'Données projet'!$E$12+1,1))</f>
        <v>328.55201074501201</v>
      </c>
      <c r="CE185" s="59">
        <f t="shared" si="148"/>
        <v>321.81422611044985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4.4412530675534416</v>
      </c>
      <c r="CL185" s="21">
        <f>EXP(-LN(2)/25)*CL184+(1-EXP(-LN(2)/25))/(LN(2)/25)*Calculateur!CG185*Calculateur!CI185*VLOOKUP('Données projet'!$B$12,Paramètres!$A$1:$I$89,3,0)*0.475*44/12</f>
        <v>0.33358033717466185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4.7748334047281036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354.24684313982857</v>
      </c>
      <c r="CZ185" s="59">
        <f t="shared" si="150"/>
        <v>322.65043486962185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19.295933084008755</v>
      </c>
      <c r="DG185" s="21">
        <f>EXP(-LN(2)/25)*DG184+(1-EXP(-LN(2)/25))/(LN(2)/25)*Calculateur!DB185*Calculateur!DD185*VLOOKUP('Données projet'!$B$13,Paramètres!$A$1:$I$89,3,0)*0.475*44/12</f>
        <v>3.6024982694612824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22.898431353470038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1.7053025658242404E-13</v>
      </c>
      <c r="DP185" s="17">
        <f>DO185*VLOOKUP('Données projet'!$B$14,Paramètres!$A$1:$I$89,3,0)*VLOOKUP('Données projet'!$B$14,Paramètres!$A$1:$I$89,5,0)</f>
        <v>1.3301360013429075E-13</v>
      </c>
      <c r="DQ185" s="13">
        <f t="shared" si="176"/>
        <v>1.9329766731057041E-12</v>
      </c>
      <c r="DR185" s="20">
        <f t="shared" si="177"/>
        <v>3.5982663925596575E-12</v>
      </c>
      <c r="DS185" s="59">
        <f t="shared" si="125"/>
        <v>293.3333333333369</v>
      </c>
      <c r="DT185" s="59">
        <f ca="1">AVERAGE(OFFSET($DS$3,0,0,'Données projet'!$E$14+1,1))-AVERAGE(OFFSET($H$3,0,0,'Données projet'!$E$14+1,1))</f>
        <v>288.80569134263209</v>
      </c>
      <c r="DU185" s="59">
        <f t="shared" si="152"/>
        <v>283.48738729114024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8.6557388229019256</v>
      </c>
      <c r="EB185" s="21">
        <f>EXP(-LN(2)/25)*EB184+(1-EXP(-LN(2)/25))/(LN(2)/25)*Calculateur!DW185*Calculateur!DY185*VLOOKUP('Données projet'!$B$14,Paramètres!$A$1:$I$89,3,0)*0.475*44/12</f>
        <v>2.9729632707691684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11.628702093671095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-6.3550942286383367E-14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335.04906256888819</v>
      </c>
      <c r="EP185" s="59">
        <f t="shared" si="154"/>
        <v>440.84111898279554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18.325694900864836</v>
      </c>
      <c r="EW185" s="21">
        <f>EXP(-LN(2)/25)*EW184+(1-EXP(-LN(2)/25))/(LN(2)/25)*Calculateur!ER185*Calculateur!ET185*VLOOKUP('Données projet'!$B$15,Paramètres!$A$1:$I$89,3,0)*0.475*44/12</f>
        <v>1.7031308294193312</v>
      </c>
      <c r="EX185" s="21">
        <f>EXP(-LN(2)/2)*EX184+(1-EXP(-LN(2)/2))/(LN(2)/2)*ER185*EU185*VLOOKUP('Données projet'!$B$15,Paramètres!$A$1:$I$89,3,0)*0.475*44/12</f>
        <v>2.6189651267412521E-18</v>
      </c>
      <c r="EY185" s="22">
        <f t="shared" si="181"/>
        <v>20.028825730284169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1.7053025658242404E-13</v>
      </c>
      <c r="O186" s="13">
        <f>N186*VLOOKUP('Données projet'!$B$9,Paramètres!$A$1:$I$89,3,0)*VLOOKUP('Données projet'!$B$9,Paramètres!$A$1:$I$89,5,0)</f>
        <v>1.383341441396624E-13</v>
      </c>
      <c r="P186" s="13">
        <f t="shared" si="141"/>
        <v>2.0011390722884082E-12</v>
      </c>
      <c r="Q186" s="20">
        <f t="shared" si="162"/>
        <v>3.7262491852788889E-12</v>
      </c>
      <c r="R186" s="59">
        <f t="shared" si="109"/>
        <v>293.33333333333707</v>
      </c>
      <c r="S186" s="59">
        <f ca="1">AVERAGE(OFFSET($R$3,0,0,'Données projet'!$E$9+1,1))-AVERAGE(OFFSET($H$3,0,0,'Données projet'!$E$9+1,1))</f>
        <v>298.96480270023716</v>
      </c>
      <c r="T186" s="59">
        <f t="shared" si="142"/>
        <v>293.11447542333889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10.877874398400436</v>
      </c>
      <c r="AA186" s="21">
        <f>EXP(-LN(2)/25)*AA185+(1-EXP(-LN(2)/25))/(LN(2)/25)*Calculateur!V186*Calculateur!X186*VLOOKUP('Données projet'!$B$9,Paramètres!$A$1:$I$89,3,0)*0.475*44/12</f>
        <v>3.7067141616379105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14.584588560038346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1.9895196601282805E-13</v>
      </c>
      <c r="AJ186" s="13">
        <f>AI186*VLOOKUP('Données projet'!$B$10,Paramètres!$A$1:$I$89,3,0)*VLOOKUP('Données projet'!$B$10,Paramètres!$A$1:$I$89,5,0)</f>
        <v>1.707007868390065E-13</v>
      </c>
      <c r="AK186" s="13">
        <f t="shared" si="164"/>
        <v>2.4096578055149408E-12</v>
      </c>
      <c r="AL186" s="20">
        <f t="shared" si="165"/>
        <v>4.4941245483497909E-12</v>
      </c>
      <c r="AM186" s="59">
        <f t="shared" si="113"/>
        <v>293.33333333333781</v>
      </c>
      <c r="AN186" s="59">
        <f ca="1">AVERAGE(OFFSET($AM$3,0,0,'Données projet'!$E$10+1,1))-AVERAGE(OFFSET($H$3,0,0,'Données projet'!$E$10+1,1))</f>
        <v>335.02113791949211</v>
      </c>
      <c r="AO186" s="59">
        <f t="shared" si="144"/>
        <v>222.06886429435099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32.564586072911425</v>
      </c>
      <c r="AV186" s="21">
        <f>EXP(-LN(2)/25)*AV185+(1-EXP(-LN(2)/25))/(LN(2)/25)*Calculateur!AQ186*Calculateur!AS186*VLOOKUP('Données projet'!$B$10,Paramètres!$A$1:$I$89,3,0)*0.475*44/12</f>
        <v>13.463275383964312</v>
      </c>
      <c r="AW186" s="21">
        <f>EXP(-LN(2)/2)*AW185+(1-EXP(-LN(2)/2))/(LN(2)/2)*AQ186*AT186*VLOOKUP('Données projet'!$B$10,Paramètres!$A$1:$I$89,3,0)*0.475*44/12</f>
        <v>9.4477015192296633E-9</v>
      </c>
      <c r="AX186" s="21">
        <f t="shared" si="166"/>
        <v>46.027861466323444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-3.1036506698001178E-14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207.02306964567629</v>
      </c>
      <c r="BJ186" s="59">
        <f t="shared" si="146"/>
        <v>342.06887933351783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3.9718561330499358</v>
      </c>
      <c r="BQ186" s="21">
        <f>EXP(-LN(2)/25)*BQ185+(1-EXP(-LN(2)/25))/(LN(2)/25)*Calculateur!BL186*Calculateur!BN186*VLOOKUP('Données projet'!$B$11,Paramètres!$A$1:$I$89,3,0)*0.475*44/12</f>
        <v>2.8443292588488922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6.816185391898828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233.89079999999998</v>
      </c>
      <c r="CA186" s="13">
        <f t="shared" si="170"/>
        <v>57.123140349023068</v>
      </c>
      <c r="CB186" s="20">
        <f t="shared" si="171"/>
        <v>506.84927944121517</v>
      </c>
      <c r="CC186" s="59">
        <f t="shared" si="119"/>
        <v>800.18261277454849</v>
      </c>
      <c r="CD186" s="59">
        <f ca="1">AVERAGE(OFFSET($CC$3,0,0,'Données projet'!$E$12+1,1))-AVERAGE(OFFSET($H$3,0,0,'Données projet'!$E$12+1,1))</f>
        <v>328.55201074501201</v>
      </c>
      <c r="CE186" s="59">
        <f t="shared" si="148"/>
        <v>321.81422611044985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4.3541628037956084</v>
      </c>
      <c r="CL186" s="21">
        <f>EXP(-LN(2)/25)*CL185+(1-EXP(-LN(2)/25))/(LN(2)/25)*Calculateur!CG186*Calculateur!CI186*VLOOKUP('Données projet'!$B$12,Paramètres!$A$1:$I$89,3,0)*0.475*44/12</f>
        <v>0.3244585653123932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4.6786213691080016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354.24684313982857</v>
      </c>
      <c r="CZ186" s="59">
        <f t="shared" si="150"/>
        <v>322.65043486962185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18.917551605588397</v>
      </c>
      <c r="DG186" s="21">
        <f>EXP(-LN(2)/25)*DG185+(1-EXP(-LN(2)/25))/(LN(2)/25)*Calculateur!DB186*Calculateur!DD186*VLOOKUP('Données projet'!$B$13,Paramètres!$A$1:$I$89,3,0)*0.475*44/12</f>
        <v>3.5039877648357134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22.42153937042411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1.7053025658242404E-13</v>
      </c>
      <c r="DP186" s="17">
        <f>DO186*VLOOKUP('Données projet'!$B$14,Paramètres!$A$1:$I$89,3,0)*VLOOKUP('Données projet'!$B$14,Paramètres!$A$1:$I$89,5,0)</f>
        <v>1.3301360013429075E-13</v>
      </c>
      <c r="DQ186" s="13">
        <f t="shared" si="176"/>
        <v>1.9329766731057041E-12</v>
      </c>
      <c r="DR186" s="20">
        <f t="shared" si="177"/>
        <v>3.5982663925596575E-12</v>
      </c>
      <c r="DS186" s="59">
        <f t="shared" si="125"/>
        <v>293.3333333333369</v>
      </c>
      <c r="DT186" s="59">
        <f ca="1">AVERAGE(OFFSET($DS$3,0,0,'Données projet'!$E$14+1,1))-AVERAGE(OFFSET($H$3,0,0,'Données projet'!$E$14+1,1))</f>
        <v>288.80569134263209</v>
      </c>
      <c r="DU186" s="59">
        <f t="shared" si="152"/>
        <v>283.48738729114024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8.4860050640641962</v>
      </c>
      <c r="EB186" s="21">
        <f>EXP(-LN(2)/25)*EB185+(1-EXP(-LN(2)/25))/(LN(2)/25)*Calculateur!DW186*Calculateur!DY186*VLOOKUP('Données projet'!$B$14,Paramètres!$A$1:$I$89,3,0)*0.475*44/12</f>
        <v>2.8916674337886419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11.377672497852839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-6.3550942286383367E-14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335.04906256888819</v>
      </c>
      <c r="EP186" s="59">
        <f t="shared" si="154"/>
        <v>440.84111898279554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17.966339201429072</v>
      </c>
      <c r="EW186" s="21">
        <f>EXP(-LN(2)/25)*EW185+(1-EXP(-LN(2)/25))/(LN(2)/25)*Calculateur!ER186*Calculateur!ET186*VLOOKUP('Données projet'!$B$15,Paramètres!$A$1:$I$89,3,0)*0.475*44/12</f>
        <v>1.6565586273251018</v>
      </c>
      <c r="EX186" s="21">
        <f>EXP(-LN(2)/2)*EX185+(1-EXP(-LN(2)/2))/(LN(2)/2)*ER186*EU186*VLOOKUP('Données projet'!$B$15,Paramètres!$A$1:$I$89,3,0)*0.475*44/12</f>
        <v>1.8518880008098253E-18</v>
      </c>
      <c r="EY186" s="22">
        <f t="shared" si="181"/>
        <v>19.622897828754173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1.7053025658242404E-13</v>
      </c>
      <c r="O187" s="13">
        <f>N187*VLOOKUP('Données projet'!$B$9,Paramètres!$A$1:$I$89,3,0)*VLOOKUP('Données projet'!$B$9,Paramètres!$A$1:$I$89,5,0)</f>
        <v>1.383341441396624E-13</v>
      </c>
      <c r="P187" s="13">
        <f t="shared" si="141"/>
        <v>2.0011390722884082E-12</v>
      </c>
      <c r="Q187" s="20">
        <f t="shared" si="162"/>
        <v>3.7262491852788889E-12</v>
      </c>
      <c r="R187" s="59">
        <f t="shared" si="109"/>
        <v>293.33333333333707</v>
      </c>
      <c r="S187" s="59">
        <f ca="1">AVERAGE(OFFSET($R$3,0,0,'Données projet'!$E$9+1,1))-AVERAGE(OFFSET($H$3,0,0,'Données projet'!$E$9+1,1))</f>
        <v>298.96480270023716</v>
      </c>
      <c r="T187" s="59">
        <f t="shared" si="142"/>
        <v>293.11447542333889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10.66456591629605</v>
      </c>
      <c r="AA187" s="21">
        <f>EXP(-LN(2)/25)*AA186+(1-EXP(-LN(2)/25))/(LN(2)/25)*Calculateur!V187*Calculateur!X187*VLOOKUP('Données projet'!$B$9,Paramètres!$A$1:$I$89,3,0)*0.475*44/12</f>
        <v>3.6053538679602957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14.269919784256345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1.9895196601282805E-13</v>
      </c>
      <c r="AJ187" s="13">
        <f>AI187*VLOOKUP('Données projet'!$B$10,Paramètres!$A$1:$I$89,3,0)*VLOOKUP('Données projet'!$B$10,Paramètres!$A$1:$I$89,5,0)</f>
        <v>1.707007868390065E-13</v>
      </c>
      <c r="AK187" s="13">
        <f t="shared" si="164"/>
        <v>2.4096578055149408E-12</v>
      </c>
      <c r="AL187" s="20">
        <f t="shared" si="165"/>
        <v>4.4941245483497909E-12</v>
      </c>
      <c r="AM187" s="59">
        <f t="shared" si="113"/>
        <v>293.33333333333781</v>
      </c>
      <c r="AN187" s="59">
        <f ca="1">AVERAGE(OFFSET($AM$3,0,0,'Données projet'!$E$10+1,1))-AVERAGE(OFFSET($H$3,0,0,'Données projet'!$E$10+1,1))</f>
        <v>335.02113791949211</v>
      </c>
      <c r="AO187" s="59">
        <f t="shared" si="144"/>
        <v>222.06886429435099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31.926014402457884</v>
      </c>
      <c r="AV187" s="21">
        <f>EXP(-LN(2)/25)*AV186+(1-EXP(-LN(2)/25))/(LN(2)/25)*Calculateur!AQ187*Calculateur!AS187*VLOOKUP('Données projet'!$B$10,Paramètres!$A$1:$I$89,3,0)*0.475*44/12</f>
        <v>13.095121410586927</v>
      </c>
      <c r="AW187" s="21">
        <f>EXP(-LN(2)/2)*AW186+(1-EXP(-LN(2)/2))/(LN(2)/2)*AQ187*AT187*VLOOKUP('Données projet'!$B$10,Paramètres!$A$1:$I$89,3,0)*0.475*44/12</f>
        <v>6.6805338108737423E-9</v>
      </c>
      <c r="AX187" s="21">
        <f t="shared" si="166"/>
        <v>45.021135819725345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-3.1036506698001178E-14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207.02306964567629</v>
      </c>
      <c r="BJ187" s="59">
        <f t="shared" si="146"/>
        <v>342.06887933351783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3.8939704568738565</v>
      </c>
      <c r="BQ187" s="21">
        <f>EXP(-LN(2)/25)*BQ186+(1-EXP(-LN(2)/25))/(LN(2)/25)*Calculateur!BL187*Calculateur!BN187*VLOOKUP('Données projet'!$B$11,Paramètres!$A$1:$I$89,3,0)*0.475*44/12</f>
        <v>2.7665509256888945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6.6605213825627505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233.89079999999998</v>
      </c>
      <c r="CA187" s="13">
        <f t="shared" si="170"/>
        <v>57.123140349023068</v>
      </c>
      <c r="CB187" s="20">
        <f t="shared" si="171"/>
        <v>506.84927944121517</v>
      </c>
      <c r="CC187" s="59">
        <f t="shared" si="119"/>
        <v>800.18261277454849</v>
      </c>
      <c r="CD187" s="59">
        <f ca="1">AVERAGE(OFFSET($CC$3,0,0,'Données projet'!$E$12+1,1))-AVERAGE(OFFSET($H$3,0,0,'Données projet'!$E$12+1,1))</f>
        <v>328.55201074501201</v>
      </c>
      <c r="CE187" s="59">
        <f t="shared" si="148"/>
        <v>321.81422611044985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4.2687803269902505</v>
      </c>
      <c r="CL187" s="21">
        <f>EXP(-LN(2)/25)*CL186+(1-EXP(-LN(2)/25))/(LN(2)/25)*Calculateur!CG187*Calculateur!CI187*VLOOKUP('Données projet'!$B$12,Paramètres!$A$1:$I$89,3,0)*0.475*44/12</f>
        <v>0.31558622878139142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4.5843665557716422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354.24684313982857</v>
      </c>
      <c r="CZ187" s="59">
        <f t="shared" si="150"/>
        <v>322.65043486962185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18.54658995716995</v>
      </c>
      <c r="DG187" s="21">
        <f>EXP(-LN(2)/25)*DG186+(1-EXP(-LN(2)/25))/(LN(2)/25)*Calculateur!DB187*Calculateur!DD187*VLOOKUP('Données projet'!$B$13,Paramètres!$A$1:$I$89,3,0)*0.475*44/12</f>
        <v>3.4081710351395729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21.954760992309524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1.7053025658242404E-13</v>
      </c>
      <c r="DP187" s="17">
        <f>DO187*VLOOKUP('Données projet'!$B$14,Paramètres!$A$1:$I$89,3,0)*VLOOKUP('Données projet'!$B$14,Paramètres!$A$1:$I$89,5,0)</f>
        <v>1.3301360013429075E-13</v>
      </c>
      <c r="DQ187" s="13">
        <f t="shared" si="176"/>
        <v>1.9329766731057041E-12</v>
      </c>
      <c r="DR187" s="20">
        <f t="shared" si="177"/>
        <v>3.5982663925596575E-12</v>
      </c>
      <c r="DS187" s="59">
        <f t="shared" si="125"/>
        <v>293.3333333333369</v>
      </c>
      <c r="DT187" s="59">
        <f ca="1">AVERAGE(OFFSET($DS$3,0,0,'Données projet'!$E$14+1,1))-AVERAGE(OFFSET($H$3,0,0,'Données projet'!$E$14+1,1))</f>
        <v>288.80569134263209</v>
      </c>
      <c r="DU187" s="59">
        <f t="shared" si="152"/>
        <v>283.48738729114024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8.3195996807099029</v>
      </c>
      <c r="EB187" s="21">
        <f>EXP(-LN(2)/25)*EB186+(1-EXP(-LN(2)/25))/(LN(2)/25)*Calculateur!DW187*Calculateur!DY187*VLOOKUP('Données projet'!$B$14,Paramètres!$A$1:$I$89,3,0)*0.475*44/12</f>
        <v>2.8125946357455103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11.132194316455413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-6.3550942286383367E-14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335.04906256888819</v>
      </c>
      <c r="EP187" s="59">
        <f t="shared" si="154"/>
        <v>440.84111898279554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17.614030248073909</v>
      </c>
      <c r="EW187" s="21">
        <f>EXP(-LN(2)/25)*EW186+(1-EXP(-LN(2)/25))/(LN(2)/25)*Calculateur!ER187*Calculateur!ET187*VLOOKUP('Données projet'!$B$15,Paramètres!$A$1:$I$89,3,0)*0.475*44/12</f>
        <v>1.6112599445462648</v>
      </c>
      <c r="EX187" s="21">
        <f>EXP(-LN(2)/2)*EX186+(1-EXP(-LN(2)/2))/(LN(2)/2)*ER187*EU187*VLOOKUP('Données projet'!$B$15,Paramètres!$A$1:$I$89,3,0)*0.475*44/12</f>
        <v>1.3094825633706261E-18</v>
      </c>
      <c r="EY187" s="22">
        <f t="shared" si="181"/>
        <v>19.225290192620175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1.7053025658242404E-13</v>
      </c>
      <c r="O188" s="13">
        <f>N188*VLOOKUP('Données projet'!$B$9,Paramètres!$A$1:$I$89,3,0)*VLOOKUP('Données projet'!$B$9,Paramètres!$A$1:$I$89,5,0)</f>
        <v>1.383341441396624E-13</v>
      </c>
      <c r="P188" s="13">
        <f t="shared" si="141"/>
        <v>2.0011390722884082E-12</v>
      </c>
      <c r="Q188" s="20">
        <f t="shared" si="162"/>
        <v>3.7262491852788889E-12</v>
      </c>
      <c r="R188" s="59">
        <f t="shared" si="109"/>
        <v>293.33333333333707</v>
      </c>
      <c r="S188" s="59">
        <f ca="1">AVERAGE(OFFSET($R$3,0,0,'Données projet'!$E$9+1,1))-AVERAGE(OFFSET($H$3,0,0,'Données projet'!$E$9+1,1))</f>
        <v>298.96480270023716</v>
      </c>
      <c r="T188" s="59">
        <f t="shared" si="142"/>
        <v>293.11447542333889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10.455440283420403</v>
      </c>
      <c r="AA188" s="21">
        <f>EXP(-LN(2)/25)*AA187+(1-EXP(-LN(2)/25))/(LN(2)/25)*Calculateur!V188*Calculateur!X188*VLOOKUP('Données projet'!$B$9,Paramètres!$A$1:$I$89,3,0)*0.475*44/12</f>
        <v>3.5067652768436015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13.962205560264005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1.9895196601282805E-13</v>
      </c>
      <c r="AJ188" s="13">
        <f>AI188*VLOOKUP('Données projet'!$B$10,Paramètres!$A$1:$I$89,3,0)*VLOOKUP('Données projet'!$B$10,Paramètres!$A$1:$I$89,5,0)</f>
        <v>1.707007868390065E-13</v>
      </c>
      <c r="AK188" s="13">
        <f t="shared" si="164"/>
        <v>2.4096578055149408E-12</v>
      </c>
      <c r="AL188" s="20">
        <f t="shared" si="165"/>
        <v>4.4941245483497909E-12</v>
      </c>
      <c r="AM188" s="59">
        <f t="shared" si="113"/>
        <v>293.33333333333781</v>
      </c>
      <c r="AN188" s="59">
        <f ca="1">AVERAGE(OFFSET($AM$3,0,0,'Données projet'!$E$10+1,1))-AVERAGE(OFFSET($H$3,0,0,'Données projet'!$E$10+1,1))</f>
        <v>335.02113791949211</v>
      </c>
      <c r="AO188" s="59">
        <f t="shared" si="144"/>
        <v>222.06886429435099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31.299964732971677</v>
      </c>
      <c r="AV188" s="21">
        <f>EXP(-LN(2)/25)*AV187+(1-EXP(-LN(2)/25))/(LN(2)/25)*Calculateur!AQ188*Calculateur!AS188*VLOOKUP('Données projet'!$B$10,Paramètres!$A$1:$I$89,3,0)*0.475*44/12</f>
        <v>12.737034626971921</v>
      </c>
      <c r="AW188" s="21">
        <f>EXP(-LN(2)/2)*AW187+(1-EXP(-LN(2)/2))/(LN(2)/2)*AQ188*AT188*VLOOKUP('Données projet'!$B$10,Paramètres!$A$1:$I$89,3,0)*0.475*44/12</f>
        <v>4.7238507596148317E-9</v>
      </c>
      <c r="AX188" s="21">
        <f t="shared" si="166"/>
        <v>44.036999364667452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-3.1036506698001178E-14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207.02306964567629</v>
      </c>
      <c r="BJ188" s="59">
        <f t="shared" si="146"/>
        <v>342.06887933351783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3.8176120713020185</v>
      </c>
      <c r="BQ188" s="21">
        <f>EXP(-LN(2)/25)*BQ187+(1-EXP(-LN(2)/25))/(LN(2)/25)*Calculateur!BL188*Calculateur!BN188*VLOOKUP('Données projet'!$B$11,Paramètres!$A$1:$I$89,3,0)*0.475*44/12</f>
        <v>2.6908994451393413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6.5085115164413594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233.89079999999998</v>
      </c>
      <c r="CA188" s="13">
        <f t="shared" si="170"/>
        <v>57.123140349023068</v>
      </c>
      <c r="CB188" s="20">
        <f t="shared" si="171"/>
        <v>506.84927944121517</v>
      </c>
      <c r="CC188" s="59">
        <f t="shared" si="119"/>
        <v>800.18261277454849</v>
      </c>
      <c r="CD188" s="59">
        <f ca="1">AVERAGE(OFFSET($CC$3,0,0,'Données projet'!$E$12+1,1))-AVERAGE(OFFSET($H$3,0,0,'Données projet'!$E$12+1,1))</f>
        <v>328.55201074501201</v>
      </c>
      <c r="CE188" s="59">
        <f t="shared" si="148"/>
        <v>321.81422611044985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4.1850721484768769</v>
      </c>
      <c r="CL188" s="21">
        <f>EXP(-LN(2)/25)*CL187+(1-EXP(-LN(2)/25))/(LN(2)/25)*Calculateur!CG188*Calculateur!CI188*VLOOKUP('Données projet'!$B$12,Paramètres!$A$1:$I$89,3,0)*0.475*44/12</f>
        <v>0.30695650675940578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4.4920286552362825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354.24684313982857</v>
      </c>
      <c r="CZ188" s="59">
        <f t="shared" si="150"/>
        <v>322.65043486962185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18.182902640412724</v>
      </c>
      <c r="DG188" s="21">
        <f>EXP(-LN(2)/25)*DG187+(1-EXP(-LN(2)/25))/(LN(2)/25)*Calculateur!DB188*Calculateur!DD188*VLOOKUP('Données projet'!$B$13,Paramètres!$A$1:$I$89,3,0)*0.475*44/12</f>
        <v>3.3149744189557562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21.497877059368481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1.7053025658242404E-13</v>
      </c>
      <c r="DP188" s="17">
        <f>DO188*VLOOKUP('Données projet'!$B$14,Paramètres!$A$1:$I$89,3,0)*VLOOKUP('Données projet'!$B$14,Paramètres!$A$1:$I$89,5,0)</f>
        <v>1.3301360013429075E-13</v>
      </c>
      <c r="DQ188" s="13">
        <f t="shared" si="176"/>
        <v>1.9329766731057041E-12</v>
      </c>
      <c r="DR188" s="20">
        <f t="shared" si="177"/>
        <v>3.5982663925596575E-12</v>
      </c>
      <c r="DS188" s="59">
        <f t="shared" si="125"/>
        <v>293.3333333333369</v>
      </c>
      <c r="DT188" s="59">
        <f ca="1">AVERAGE(OFFSET($DS$3,0,0,'Données projet'!$E$14+1,1))-AVERAGE(OFFSET($H$3,0,0,'Données projet'!$E$14+1,1))</f>
        <v>288.80569134263209</v>
      </c>
      <c r="DU188" s="59">
        <f t="shared" si="152"/>
        <v>283.48738729114024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8.1564574054259253</v>
      </c>
      <c r="EB188" s="21">
        <f>EXP(-LN(2)/25)*EB187+(1-EXP(-LN(2)/25))/(LN(2)/25)*Calculateur!DW188*Calculateur!DY188*VLOOKUP('Données projet'!$B$14,Paramètres!$A$1:$I$89,3,0)*0.475*44/12</f>
        <v>2.7356840875231256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10.892141492949051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-6.3550942286383367E-14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335.04906256888819</v>
      </c>
      <c r="EP188" s="59">
        <f t="shared" si="154"/>
        <v>440.84111898279554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17.268629858406801</v>
      </c>
      <c r="EW188" s="21">
        <f>EXP(-LN(2)/25)*EW187+(1-EXP(-LN(2)/25))/(LN(2)/25)*Calculateur!ER188*Calculateur!ET188*VLOOKUP('Données projet'!$B$15,Paramètres!$A$1:$I$89,3,0)*0.475*44/12</f>
        <v>1.5671999566301693</v>
      </c>
      <c r="EX188" s="21">
        <f>EXP(-LN(2)/2)*EX187+(1-EXP(-LN(2)/2))/(LN(2)/2)*ER188*EU188*VLOOKUP('Données projet'!$B$15,Paramètres!$A$1:$I$89,3,0)*0.475*44/12</f>
        <v>9.2594400040491263E-19</v>
      </c>
      <c r="EY188" s="22">
        <f t="shared" si="181"/>
        <v>18.83582981503697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1.7053025658242404E-13</v>
      </c>
      <c r="O189" s="13">
        <f>N189*VLOOKUP('Données projet'!$B$9,Paramètres!$A$1:$I$89,3,0)*VLOOKUP('Données projet'!$B$9,Paramètres!$A$1:$I$89,5,0)</f>
        <v>1.383341441396624E-13</v>
      </c>
      <c r="P189" s="13">
        <f t="shared" si="141"/>
        <v>2.0011390722884082E-12</v>
      </c>
      <c r="Q189" s="20">
        <f t="shared" si="162"/>
        <v>3.7262491852788889E-12</v>
      </c>
      <c r="R189" s="59">
        <f t="shared" si="109"/>
        <v>293.33333333333707</v>
      </c>
      <c r="S189" s="59">
        <f ca="1">AVERAGE(OFFSET($R$3,0,0,'Données projet'!$E$9+1,1))-AVERAGE(OFFSET($H$3,0,0,'Données projet'!$E$9+1,1))</f>
        <v>298.96480270023716</v>
      </c>
      <c r="T189" s="59">
        <f t="shared" si="142"/>
        <v>293.11447542333889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10.250415476651407</v>
      </c>
      <c r="AA189" s="21">
        <f>EXP(-LN(2)/25)*AA188+(1-EXP(-LN(2)/25))/(LN(2)/25)*Calculateur!V189*Calculateur!X189*VLOOKUP('Données projet'!$B$9,Paramètres!$A$1:$I$89,3,0)*0.475*44/12</f>
        <v>3.4108725959355422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13.661288072586949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1.9895196601282805E-13</v>
      </c>
      <c r="AJ189" s="13">
        <f>AI189*VLOOKUP('Données projet'!$B$10,Paramètres!$A$1:$I$89,3,0)*VLOOKUP('Données projet'!$B$10,Paramètres!$A$1:$I$89,5,0)</f>
        <v>1.707007868390065E-13</v>
      </c>
      <c r="AK189" s="13">
        <f t="shared" si="164"/>
        <v>2.4096578055149408E-12</v>
      </c>
      <c r="AL189" s="20">
        <f t="shared" si="165"/>
        <v>4.4941245483497909E-12</v>
      </c>
      <c r="AM189" s="59">
        <f t="shared" si="113"/>
        <v>293.33333333333781</v>
      </c>
      <c r="AN189" s="59">
        <f ca="1">AVERAGE(OFFSET($AM$3,0,0,'Données projet'!$E$10+1,1))-AVERAGE(OFFSET($H$3,0,0,'Données projet'!$E$10+1,1))</f>
        <v>335.02113791949211</v>
      </c>
      <c r="AO189" s="59">
        <f t="shared" si="144"/>
        <v>222.06886429435099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30.686191515651501</v>
      </c>
      <c r="AV189" s="21">
        <f>EXP(-LN(2)/25)*AV188+(1-EXP(-LN(2)/25))/(LN(2)/25)*Calculateur!AQ189*Calculateur!AS189*VLOOKUP('Données projet'!$B$10,Paramètres!$A$1:$I$89,3,0)*0.475*44/12</f>
        <v>12.388739745285834</v>
      </c>
      <c r="AW189" s="21">
        <f>EXP(-LN(2)/2)*AW188+(1-EXP(-LN(2)/2))/(LN(2)/2)*AQ189*AT189*VLOOKUP('Données projet'!$B$10,Paramètres!$A$1:$I$89,3,0)*0.475*44/12</f>
        <v>3.3402669054368712E-9</v>
      </c>
      <c r="AX189" s="21">
        <f t="shared" si="166"/>
        <v>43.074931264277602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-3.1036506698001178E-14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207.02306964567629</v>
      </c>
      <c r="BJ189" s="59">
        <f t="shared" si="146"/>
        <v>342.06887933351783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3.7427510270972277</v>
      </c>
      <c r="BQ189" s="21">
        <f>EXP(-LN(2)/25)*BQ188+(1-EXP(-LN(2)/25))/(LN(2)/25)*Calculateur!BL189*Calculateur!BN189*VLOOKUP('Données projet'!$B$11,Paramètres!$A$1:$I$89,3,0)*0.475*44/12</f>
        <v>2.6173166583037544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6.3600676854009821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233.89079999999998</v>
      </c>
      <c r="CA189" s="13">
        <f t="shared" si="170"/>
        <v>57.123140349023068</v>
      </c>
      <c r="CB189" s="20">
        <f t="shared" si="171"/>
        <v>506.84927944121517</v>
      </c>
      <c r="CC189" s="59">
        <f t="shared" si="119"/>
        <v>800.18261277454849</v>
      </c>
      <c r="CD189" s="59">
        <f ca="1">AVERAGE(OFFSET($CC$3,0,0,'Données projet'!$E$12+1,1))-AVERAGE(OFFSET($H$3,0,0,'Données projet'!$E$12+1,1))</f>
        <v>328.55201074501201</v>
      </c>
      <c r="CE189" s="59">
        <f t="shared" si="148"/>
        <v>321.81422611044985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4.1030054362872033</v>
      </c>
      <c r="CL189" s="21">
        <f>EXP(-LN(2)/25)*CL188+(1-EXP(-LN(2)/25))/(LN(2)/25)*Calculateur!CG189*Calculateur!CI189*VLOOKUP('Données projet'!$B$12,Paramètres!$A$1:$I$89,3,0)*0.475*44/12</f>
        <v>0.29856276493992867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4.401568201227132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354.24684313982857</v>
      </c>
      <c r="CZ189" s="59">
        <f t="shared" si="150"/>
        <v>322.65043486962185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17.826347010109746</v>
      </c>
      <c r="DG189" s="21">
        <f>EXP(-LN(2)/25)*DG188+(1-EXP(-LN(2)/25))/(LN(2)/25)*Calculateur!DB189*Calculateur!DD189*VLOOKUP('Données projet'!$B$13,Paramètres!$A$1:$I$89,3,0)*0.475*44/12</f>
        <v>3.224326269142483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21.05067327925223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1.7053025658242404E-13</v>
      </c>
      <c r="DP189" s="17">
        <f>DO189*VLOOKUP('Données projet'!$B$14,Paramètres!$A$1:$I$89,3,0)*VLOOKUP('Données projet'!$B$14,Paramètres!$A$1:$I$89,5,0)</f>
        <v>1.3301360013429075E-13</v>
      </c>
      <c r="DQ189" s="13">
        <f t="shared" si="176"/>
        <v>1.9329766731057041E-12</v>
      </c>
      <c r="DR189" s="20">
        <f t="shared" si="177"/>
        <v>3.5982663925596575E-12</v>
      </c>
      <c r="DS189" s="59">
        <f t="shared" si="125"/>
        <v>293.3333333333369</v>
      </c>
      <c r="DT189" s="59">
        <f ca="1">AVERAGE(OFFSET($DS$3,0,0,'Données projet'!$E$14+1,1))-AVERAGE(OFFSET($H$3,0,0,'Données projet'!$E$14+1,1))</f>
        <v>288.80569134263209</v>
      </c>
      <c r="DU189" s="59">
        <f t="shared" si="152"/>
        <v>283.48738729114024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7.9965142506533047</v>
      </c>
      <c r="EB189" s="21">
        <f>EXP(-LN(2)/25)*EB188+(1-EXP(-LN(2)/25))/(LN(2)/25)*Calculateur!DW189*Calculateur!DY189*VLOOKUP('Données projet'!$B$14,Paramètres!$A$1:$I$89,3,0)*0.475*44/12</f>
        <v>2.6608766622864319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10.657390912939736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-6.3550942286383367E-14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335.04906256888819</v>
      </c>
      <c r="EP189" s="59">
        <f t="shared" si="154"/>
        <v>440.84111898279554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16.930002559707628</v>
      </c>
      <c r="EW189" s="21">
        <f>EXP(-LN(2)/25)*EW188+(1-EXP(-LN(2)/25))/(LN(2)/25)*Calculateur!ER189*Calculateur!ET189*VLOOKUP('Données projet'!$B$15,Paramètres!$A$1:$I$89,3,0)*0.475*44/12</f>
        <v>1.5243447914006536</v>
      </c>
      <c r="EX189" s="21">
        <f>EXP(-LN(2)/2)*EX188+(1-EXP(-LN(2)/2))/(LN(2)/2)*ER189*EU189*VLOOKUP('Données projet'!$B$15,Paramètres!$A$1:$I$89,3,0)*0.475*44/12</f>
        <v>6.5474128168531303E-19</v>
      </c>
      <c r="EY189" s="22">
        <f t="shared" si="181"/>
        <v>18.454347351108282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1.7053025658242404E-13</v>
      </c>
      <c r="O190" s="13">
        <f>N190*VLOOKUP('Données projet'!$B$9,Paramètres!$A$1:$I$89,3,0)*VLOOKUP('Données projet'!$B$9,Paramètres!$A$1:$I$89,5,0)</f>
        <v>1.383341441396624E-13</v>
      </c>
      <c r="P190" s="13">
        <f t="shared" si="141"/>
        <v>2.0011390722884082E-12</v>
      </c>
      <c r="Q190" s="20">
        <f t="shared" si="162"/>
        <v>3.7262491852788889E-12</v>
      </c>
      <c r="R190" s="59">
        <f t="shared" si="109"/>
        <v>293.33333333333707</v>
      </c>
      <c r="S190" s="59">
        <f ca="1">AVERAGE(OFFSET($R$3,0,0,'Données projet'!$E$9+1,1))-AVERAGE(OFFSET($H$3,0,0,'Données projet'!$E$9+1,1))</f>
        <v>298.96480270023716</v>
      </c>
      <c r="T190" s="59">
        <f t="shared" si="142"/>
        <v>293.11447542333889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10.049411081290366</v>
      </c>
      <c r="AA190" s="21">
        <f>EXP(-LN(2)/25)*AA189+(1-EXP(-LN(2)/25))/(LN(2)/25)*Calculateur!V190*Calculateur!X190*VLOOKUP('Données projet'!$B$9,Paramètres!$A$1:$I$89,3,0)*0.475*44/12</f>
        <v>3.3176021054296907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13.367013186720056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1.9895196601282805E-13</v>
      </c>
      <c r="AJ190" s="13">
        <f>AI190*VLOOKUP('Données projet'!$B$10,Paramètres!$A$1:$I$89,3,0)*VLOOKUP('Données projet'!$B$10,Paramètres!$A$1:$I$89,5,0)</f>
        <v>1.707007868390065E-13</v>
      </c>
      <c r="AK190" s="13">
        <f t="shared" si="164"/>
        <v>2.4096578055149408E-12</v>
      </c>
      <c r="AL190" s="20">
        <f t="shared" si="165"/>
        <v>4.4941245483497909E-12</v>
      </c>
      <c r="AM190" s="59">
        <f t="shared" si="113"/>
        <v>293.33333333333781</v>
      </c>
      <c r="AN190" s="59">
        <f ca="1">AVERAGE(OFFSET($AM$3,0,0,'Données projet'!$E$10+1,1))-AVERAGE(OFFSET($H$3,0,0,'Données projet'!$E$10+1,1))</f>
        <v>335.02113791949211</v>
      </c>
      <c r="AO190" s="59">
        <f t="shared" si="144"/>
        <v>222.06886429435099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30.084454016758276</v>
      </c>
      <c r="AV190" s="21">
        <f>EXP(-LN(2)/25)*AV189+(1-EXP(-LN(2)/25))/(LN(2)/25)*Calculateur!AQ190*Calculateur!AS190*VLOOKUP('Données projet'!$B$10,Paramètres!$A$1:$I$89,3,0)*0.475*44/12</f>
        <v>12.049969005455484</v>
      </c>
      <c r="AW190" s="21">
        <f>EXP(-LN(2)/2)*AW189+(1-EXP(-LN(2)/2))/(LN(2)/2)*AQ190*AT190*VLOOKUP('Données projet'!$B$10,Paramètres!$A$1:$I$89,3,0)*0.475*44/12</f>
        <v>2.3619253798074158E-9</v>
      </c>
      <c r="AX190" s="21">
        <f t="shared" si="166"/>
        <v>42.134423024575682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-3.1036506698001178E-14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207.02306964567629</v>
      </c>
      <c r="BJ190" s="59">
        <f t="shared" si="146"/>
        <v>342.06887933351783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3.6693579623085646</v>
      </c>
      <c r="BQ190" s="21">
        <f>EXP(-LN(2)/25)*BQ189+(1-EXP(-LN(2)/25))/(LN(2)/25)*Calculateur!BL190*Calculateur!BN190*VLOOKUP('Données projet'!$B$11,Paramètres!$A$1:$I$89,3,0)*0.475*44/12</f>
        <v>2.545745996643737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6.2151039589523016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233.89079999999998</v>
      </c>
      <c r="CA190" s="13">
        <f t="shared" si="170"/>
        <v>57.123140349023068</v>
      </c>
      <c r="CB190" s="20">
        <f t="shared" si="171"/>
        <v>506.84927944121517</v>
      </c>
      <c r="CC190" s="59">
        <f t="shared" si="119"/>
        <v>800.18261277454849</v>
      </c>
      <c r="CD190" s="59">
        <f ca="1">AVERAGE(OFFSET($CC$3,0,0,'Données projet'!$E$12+1,1))-AVERAGE(OFFSET($H$3,0,0,'Données projet'!$E$12+1,1))</f>
        <v>328.55201074501201</v>
      </c>
      <c r="CE190" s="59">
        <f t="shared" si="148"/>
        <v>321.81422611044985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4.0225480022678175</v>
      </c>
      <c r="CL190" s="21">
        <f>EXP(-LN(2)/25)*CL189+(1-EXP(-LN(2)/25))/(LN(2)/25)*Calculateur!CG190*Calculateur!CI190*VLOOKUP('Données projet'!$B$12,Paramètres!$A$1:$I$89,3,0)*0.475*44/12</f>
        <v>0.29039855043191287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4.3129465526997306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354.24684313982857</v>
      </c>
      <c r="CZ190" s="59">
        <f t="shared" si="150"/>
        <v>322.65043486962185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17.47678321823955</v>
      </c>
      <c r="DG190" s="21">
        <f>EXP(-LN(2)/25)*DG189+(1-EXP(-LN(2)/25))/(LN(2)/25)*Calculateur!DB190*Calculateur!DD190*VLOOKUP('Données projet'!$B$13,Paramètres!$A$1:$I$89,3,0)*0.475*44/12</f>
        <v>3.1361568977528327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20.612940115992384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1.7053025658242404E-13</v>
      </c>
      <c r="DP190" s="17">
        <f>DO190*VLOOKUP('Données projet'!$B$14,Paramètres!$A$1:$I$89,3,0)*VLOOKUP('Données projet'!$B$14,Paramètres!$A$1:$I$89,5,0)</f>
        <v>1.3301360013429075E-13</v>
      </c>
      <c r="DQ190" s="13">
        <f t="shared" si="176"/>
        <v>1.9329766731057041E-12</v>
      </c>
      <c r="DR190" s="20">
        <f t="shared" si="177"/>
        <v>3.5982663925596575E-12</v>
      </c>
      <c r="DS190" s="59">
        <f t="shared" si="125"/>
        <v>293.3333333333369</v>
      </c>
      <c r="DT190" s="59">
        <f ca="1">AVERAGE(OFFSET($DS$3,0,0,'Données projet'!$E$14+1,1))-AVERAGE(OFFSET($H$3,0,0,'Données projet'!$E$14+1,1))</f>
        <v>288.80569134263209</v>
      </c>
      <c r="DU190" s="59">
        <f t="shared" si="152"/>
        <v>283.48738729114024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7.8397074835900842</v>
      </c>
      <c r="EB190" s="21">
        <f>EXP(-LN(2)/25)*EB189+(1-EXP(-LN(2)/25))/(LN(2)/25)*Calculateur!DW190*Calculateur!DY190*VLOOKUP('Données projet'!$B$14,Paramètres!$A$1:$I$89,3,0)*0.475*44/12</f>
        <v>2.5881148500267872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10.427822333616872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-6.3550942286383367E-14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335.04906256888819</v>
      </c>
      <c r="EP190" s="59">
        <f t="shared" si="154"/>
        <v>440.84111898279554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16.598015535793689</v>
      </c>
      <c r="EW190" s="21">
        <f>EXP(-LN(2)/25)*EW189+(1-EXP(-LN(2)/25))/(LN(2)/25)*Calculateur!ER190*Calculateur!ET190*VLOOKUP('Données projet'!$B$15,Paramètres!$A$1:$I$89,3,0)*0.475*44/12</f>
        <v>1.4826615029179941</v>
      </c>
      <c r="EX190" s="21">
        <f>EXP(-LN(2)/2)*EX189+(1-EXP(-LN(2)/2))/(LN(2)/2)*ER190*EU190*VLOOKUP('Données projet'!$B$15,Paramètres!$A$1:$I$89,3,0)*0.475*44/12</f>
        <v>4.6297200020245631E-19</v>
      </c>
      <c r="EY190" s="22">
        <f t="shared" si="181"/>
        <v>18.080677038711684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1.7053025658242404E-13</v>
      </c>
      <c r="O191" s="13">
        <f>N191*VLOOKUP('Données projet'!$B$9,Paramètres!$A$1:$I$89,3,0)*VLOOKUP('Données projet'!$B$9,Paramètres!$A$1:$I$89,5,0)</f>
        <v>1.383341441396624E-13</v>
      </c>
      <c r="P191" s="13">
        <f t="shared" si="141"/>
        <v>2.0011390722884082E-12</v>
      </c>
      <c r="Q191" s="20">
        <f t="shared" si="162"/>
        <v>3.7262491852788889E-12</v>
      </c>
      <c r="R191" s="59">
        <f t="shared" si="109"/>
        <v>293.33333333333707</v>
      </c>
      <c r="S191" s="59">
        <f ca="1">AVERAGE(OFFSET($R$3,0,0,'Données projet'!$E$9+1,1))-AVERAGE(OFFSET($H$3,0,0,'Données projet'!$E$9+1,1))</f>
        <v>298.96480270023716</v>
      </c>
      <c r="T191" s="59">
        <f t="shared" si="142"/>
        <v>293.11447542333889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9.8523482595217793</v>
      </c>
      <c r="AA191" s="21">
        <f>EXP(-LN(2)/25)*AA190+(1-EXP(-LN(2)/25))/(LN(2)/25)*Calculateur!V191*Calculateur!X191*VLOOKUP('Données projet'!$B$9,Paramètres!$A$1:$I$89,3,0)*0.475*44/12</f>
        <v>3.2268821013916034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13.079230360913382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1.9895196601282805E-13</v>
      </c>
      <c r="AJ191" s="13">
        <f>AI191*VLOOKUP('Données projet'!$B$10,Paramètres!$A$1:$I$89,3,0)*VLOOKUP('Données projet'!$B$10,Paramètres!$A$1:$I$89,5,0)</f>
        <v>1.707007868390065E-13</v>
      </c>
      <c r="AK191" s="13">
        <f t="shared" si="164"/>
        <v>2.4096578055149408E-12</v>
      </c>
      <c r="AL191" s="20">
        <f t="shared" si="165"/>
        <v>4.4941245483497909E-12</v>
      </c>
      <c r="AM191" s="59">
        <f t="shared" si="113"/>
        <v>293.33333333333781</v>
      </c>
      <c r="AN191" s="59">
        <f ca="1">AVERAGE(OFFSET($AM$3,0,0,'Données projet'!$E$10+1,1))-AVERAGE(OFFSET($H$3,0,0,'Données projet'!$E$10+1,1))</f>
        <v>335.02113791949211</v>
      </c>
      <c r="AO191" s="59">
        <f t="shared" si="144"/>
        <v>222.06886429435099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29.494516223194712</v>
      </c>
      <c r="AV191" s="21">
        <f>EXP(-LN(2)/25)*AV190+(1-EXP(-LN(2)/25))/(LN(2)/25)*Calculateur!AQ191*Calculateur!AS191*VLOOKUP('Données projet'!$B$10,Paramètres!$A$1:$I$89,3,0)*0.475*44/12</f>
        <v>11.720461969320974</v>
      </c>
      <c r="AW191" s="21">
        <f>EXP(-LN(2)/2)*AW190+(1-EXP(-LN(2)/2))/(LN(2)/2)*AQ191*AT191*VLOOKUP('Données projet'!$B$10,Paramètres!$A$1:$I$89,3,0)*0.475*44/12</f>
        <v>1.6701334527184356E-9</v>
      </c>
      <c r="AX191" s="21">
        <f t="shared" si="166"/>
        <v>41.214978194185818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-3.1036506698001178E-14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207.02306964567629</v>
      </c>
      <c r="BJ191" s="59">
        <f t="shared" si="146"/>
        <v>342.06887933351783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3.5974040907550577</v>
      </c>
      <c r="BQ191" s="21">
        <f>EXP(-LN(2)/25)*BQ190+(1-EXP(-LN(2)/25))/(LN(2)/25)*Calculateur!BL191*Calculateur!BN191*VLOOKUP('Données projet'!$B$11,Paramètres!$A$1:$I$89,3,0)*0.475*44/12</f>
        <v>2.4761324384905503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6.0735365292456081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233.89079999999998</v>
      </c>
      <c r="CA191" s="13">
        <f t="shared" si="170"/>
        <v>57.123140349023068</v>
      </c>
      <c r="CB191" s="20">
        <f t="shared" si="171"/>
        <v>506.84927944121517</v>
      </c>
      <c r="CC191" s="59">
        <f t="shared" si="119"/>
        <v>800.18261277454849</v>
      </c>
      <c r="CD191" s="59">
        <f ca="1">AVERAGE(OFFSET($CC$3,0,0,'Données projet'!$E$12+1,1))-AVERAGE(OFFSET($H$3,0,0,'Données projet'!$E$12+1,1))</f>
        <v>328.55201074501201</v>
      </c>
      <c r="CE191" s="59">
        <f t="shared" si="148"/>
        <v>321.81422611044985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3.943668289455363</v>
      </c>
      <c r="CL191" s="21">
        <f>EXP(-LN(2)/25)*CL190+(1-EXP(-LN(2)/25))/(LN(2)/25)*Calculateur!CG191*Calculateur!CI191*VLOOKUP('Données projet'!$B$12,Paramètres!$A$1:$I$89,3,0)*0.475*44/12</f>
        <v>0.28245758679895616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4.2261258762543195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354.24684313982857</v>
      </c>
      <c r="CZ191" s="59">
        <f t="shared" si="150"/>
        <v>322.65043486962185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17.13407415911507</v>
      </c>
      <c r="DG191" s="21">
        <f>EXP(-LN(2)/25)*DG190+(1-EXP(-LN(2)/25))/(LN(2)/25)*Calculateur!DB191*Calculateur!DD191*VLOOKUP('Données projet'!$B$13,Paramètres!$A$1:$I$89,3,0)*0.475*44/12</f>
        <v>3.050398522460458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20.184472681575528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1.7053025658242404E-13</v>
      </c>
      <c r="DP191" s="17">
        <f>DO191*VLOOKUP('Données projet'!$B$14,Paramètres!$A$1:$I$89,3,0)*VLOOKUP('Données projet'!$B$14,Paramètres!$A$1:$I$89,5,0)</f>
        <v>1.3301360013429075E-13</v>
      </c>
      <c r="DQ191" s="13">
        <f t="shared" si="176"/>
        <v>1.9329766731057041E-12</v>
      </c>
      <c r="DR191" s="20">
        <f t="shared" si="177"/>
        <v>3.5982663925596575E-12</v>
      </c>
      <c r="DS191" s="59">
        <f t="shared" si="125"/>
        <v>293.3333333333369</v>
      </c>
      <c r="DT191" s="59">
        <f ca="1">AVERAGE(OFFSET($DS$3,0,0,'Données projet'!$E$14+1,1))-AVERAGE(OFFSET($H$3,0,0,'Données projet'!$E$14+1,1))</f>
        <v>288.80569134263209</v>
      </c>
      <c r="DU191" s="59">
        <f t="shared" si="152"/>
        <v>283.48738729114024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7.6859756015862892</v>
      </c>
      <c r="EB191" s="21">
        <f>EXP(-LN(2)/25)*EB190+(1-EXP(-LN(2)/25))/(LN(2)/25)*Calculateur!DW191*Calculateur!DY191*VLOOKUP('Données projet'!$B$14,Paramètres!$A$1:$I$89,3,0)*0.475*44/12</f>
        <v>2.5173427133497599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10.203318314936048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-6.3550942286383367E-14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335.04906256888819</v>
      </c>
      <c r="EP191" s="59">
        <f t="shared" si="154"/>
        <v>440.84111898279554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16.27253857492661</v>
      </c>
      <c r="EW191" s="21">
        <f>EXP(-LN(2)/25)*EW190+(1-EXP(-LN(2)/25))/(LN(2)/25)*Calculateur!ER191*Calculateur!ET191*VLOOKUP('Données projet'!$B$15,Paramètres!$A$1:$I$89,3,0)*0.475*44/12</f>
        <v>1.4421180461509218</v>
      </c>
      <c r="EX191" s="21">
        <f>EXP(-LN(2)/2)*EX190+(1-EXP(-LN(2)/2))/(LN(2)/2)*ER191*EU191*VLOOKUP('Données projet'!$B$15,Paramètres!$A$1:$I$89,3,0)*0.475*44/12</f>
        <v>3.2737064084265651E-19</v>
      </c>
      <c r="EY191" s="22">
        <f t="shared" si="181"/>
        <v>17.71465662107753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1.7053025658242404E-13</v>
      </c>
      <c r="O192" s="13">
        <f>N192*VLOOKUP('Données projet'!$B$9,Paramètres!$A$1:$I$89,3,0)*VLOOKUP('Données projet'!$B$9,Paramètres!$A$1:$I$89,5,0)</f>
        <v>1.383341441396624E-13</v>
      </c>
      <c r="P192" s="13">
        <f t="shared" si="141"/>
        <v>2.0011390722884082E-12</v>
      </c>
      <c r="Q192" s="20">
        <f t="shared" si="162"/>
        <v>3.7262491852788889E-12</v>
      </c>
      <c r="R192" s="59">
        <f t="shared" si="109"/>
        <v>293.33333333333707</v>
      </c>
      <c r="S192" s="59">
        <f ca="1">AVERAGE(OFFSET($R$3,0,0,'Données projet'!$E$9+1,1))-AVERAGE(OFFSET($H$3,0,0,'Données projet'!$E$9+1,1))</f>
        <v>298.96480270023716</v>
      </c>
      <c r="T192" s="59">
        <f t="shared" si="142"/>
        <v>293.11447542333889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9.6591497194916229</v>
      </c>
      <c r="AA192" s="21">
        <f>EXP(-LN(2)/25)*AA191+(1-EXP(-LN(2)/25))/(LN(2)/25)*Calculateur!V192*Calculateur!X192*VLOOKUP('Données projet'!$B$9,Paramètres!$A$1:$I$89,3,0)*0.475*44/12</f>
        <v>3.1386428406346956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12.797792560126318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1.9895196601282805E-13</v>
      </c>
      <c r="AJ192" s="13">
        <f>AI192*VLOOKUP('Données projet'!$B$10,Paramètres!$A$1:$I$89,3,0)*VLOOKUP('Données projet'!$B$10,Paramètres!$A$1:$I$89,5,0)</f>
        <v>1.707007868390065E-13</v>
      </c>
      <c r="AK192" s="13">
        <f t="shared" si="164"/>
        <v>2.4096578055149408E-12</v>
      </c>
      <c r="AL192" s="20">
        <f t="shared" si="165"/>
        <v>4.4941245483497909E-12</v>
      </c>
      <c r="AM192" s="59">
        <f t="shared" si="113"/>
        <v>293.33333333333781</v>
      </c>
      <c r="AN192" s="59">
        <f ca="1">AVERAGE(OFFSET($AM$3,0,0,'Données projet'!$E$10+1,1))-AVERAGE(OFFSET($H$3,0,0,'Données projet'!$E$10+1,1))</f>
        <v>335.02113791949211</v>
      </c>
      <c r="AO192" s="59">
        <f t="shared" si="144"/>
        <v>222.06886429435099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28.916146749936406</v>
      </c>
      <c r="AV192" s="21">
        <f>EXP(-LN(2)/25)*AV191+(1-EXP(-LN(2)/25))/(LN(2)/25)*Calculateur!AQ192*Calculateur!AS192*VLOOKUP('Données projet'!$B$10,Paramètres!$A$1:$I$89,3,0)*0.475*44/12</f>
        <v>11.399965320417584</v>
      </c>
      <c r="AW192" s="21">
        <f>EXP(-LN(2)/2)*AW191+(1-EXP(-LN(2)/2))/(LN(2)/2)*AQ192*AT192*VLOOKUP('Données projet'!$B$10,Paramètres!$A$1:$I$89,3,0)*0.475*44/12</f>
        <v>1.1809626899037079E-9</v>
      </c>
      <c r="AX192" s="21">
        <f t="shared" si="166"/>
        <v>40.316112071534953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-3.1036506698001178E-14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207.02306964567629</v>
      </c>
      <c r="BJ192" s="59">
        <f t="shared" si="146"/>
        <v>342.06887933351783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3.526861190735187</v>
      </c>
      <c r="BQ192" s="21">
        <f>EXP(-LN(2)/25)*BQ191+(1-EXP(-LN(2)/25))/(LN(2)/25)*Calculateur!BL192*Calculateur!BN192*VLOOKUP('Données projet'!$B$11,Paramètres!$A$1:$I$89,3,0)*0.475*44/12</f>
        <v>2.4084224667458805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5.935283657481067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233.89079999999998</v>
      </c>
      <c r="CA192" s="13">
        <f t="shared" si="170"/>
        <v>57.123140349023068</v>
      </c>
      <c r="CB192" s="20">
        <f t="shared" si="171"/>
        <v>506.84927944121517</v>
      </c>
      <c r="CC192" s="59">
        <f t="shared" si="119"/>
        <v>800.18261277454849</v>
      </c>
      <c r="CD192" s="59">
        <f ca="1">AVERAGE(OFFSET($CC$3,0,0,'Données projet'!$E$12+1,1))-AVERAGE(OFFSET($H$3,0,0,'Données projet'!$E$12+1,1))</f>
        <v>328.55201074501201</v>
      </c>
      <c r="CE192" s="59">
        <f t="shared" si="148"/>
        <v>321.81422611044985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3.8663353596992862</v>
      </c>
      <c r="CL192" s="21">
        <f>EXP(-LN(2)/25)*CL191+(1-EXP(-LN(2)/25))/(LN(2)/25)*Calculateur!CG192*Calculateur!CI192*VLOOKUP('Données projet'!$B$12,Paramètres!$A$1:$I$89,3,0)*0.475*44/12</f>
        <v>0.27473376923413978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4.1410691289334256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354.24684313982857</v>
      </c>
      <c r="CZ192" s="59">
        <f t="shared" si="150"/>
        <v>322.65043486962185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16.798085415608135</v>
      </c>
      <c r="DG192" s="21">
        <f>EXP(-LN(2)/25)*DG191+(1-EXP(-LN(2)/25))/(LN(2)/25)*Calculateur!DB192*Calculateur!DD192*VLOOKUP('Données projet'!$B$13,Paramètres!$A$1:$I$89,3,0)*0.475*44/12</f>
        <v>2.9669852144502902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19.765070630058425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1.7053025658242404E-13</v>
      </c>
      <c r="DP192" s="17">
        <f>DO192*VLOOKUP('Données projet'!$B$14,Paramètres!$A$1:$I$89,3,0)*VLOOKUP('Données projet'!$B$14,Paramètres!$A$1:$I$89,5,0)</f>
        <v>1.3301360013429075E-13</v>
      </c>
      <c r="DQ192" s="13">
        <f t="shared" si="176"/>
        <v>1.9329766731057041E-12</v>
      </c>
      <c r="DR192" s="20">
        <f t="shared" si="177"/>
        <v>3.5982663925596575E-12</v>
      </c>
      <c r="DS192" s="59">
        <f t="shared" si="125"/>
        <v>293.3333333333369</v>
      </c>
      <c r="DT192" s="59">
        <f ca="1">AVERAGE(OFFSET($DS$3,0,0,'Données projet'!$E$14+1,1))-AVERAGE(OFFSET($H$3,0,0,'Données projet'!$E$14+1,1))</f>
        <v>288.80569134263209</v>
      </c>
      <c r="DU192" s="59">
        <f t="shared" si="152"/>
        <v>283.48738729114024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7.5352583080213993</v>
      </c>
      <c r="EB192" s="21">
        <f>EXP(-LN(2)/25)*EB191+(1-EXP(-LN(2)/25))/(LN(2)/25)*Calculateur!DW192*Calculateur!DY192*VLOOKUP('Données projet'!$B$14,Paramètres!$A$1:$I$89,3,0)*0.475*44/12</f>
        <v>2.448505844471911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9.9837641524933112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-6.3550942286383367E-14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335.04906256888819</v>
      </c>
      <c r="EP192" s="59">
        <f t="shared" si="154"/>
        <v>440.84111898279554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15.953444018740791</v>
      </c>
      <c r="EW192" s="21">
        <f>EXP(-LN(2)/25)*EW191+(1-EXP(-LN(2)/25))/(LN(2)/25)*Calculateur!ER192*Calculateur!ET192*VLOOKUP('Données projet'!$B$15,Paramètres!$A$1:$I$89,3,0)*0.475*44/12</f>
        <v>1.4026832523412327</v>
      </c>
      <c r="EX192" s="21">
        <f>EXP(-LN(2)/2)*EX191+(1-EXP(-LN(2)/2))/(LN(2)/2)*ER192*EU192*VLOOKUP('Données projet'!$B$15,Paramètres!$A$1:$I$89,3,0)*0.475*44/12</f>
        <v>2.3148600010122816E-19</v>
      </c>
      <c r="EY192" s="22">
        <f t="shared" si="181"/>
        <v>17.356127271082023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1.7053025658242404E-13</v>
      </c>
      <c r="O193" s="13">
        <f>N193*VLOOKUP('Données projet'!$B$9,Paramètres!$A$1:$I$89,3,0)*VLOOKUP('Données projet'!$B$9,Paramètres!$A$1:$I$89,5,0)</f>
        <v>1.383341441396624E-13</v>
      </c>
      <c r="P193" s="13">
        <f t="shared" si="141"/>
        <v>2.0011390722884082E-12</v>
      </c>
      <c r="Q193" s="20">
        <f t="shared" si="162"/>
        <v>3.7262491852788889E-12</v>
      </c>
      <c r="R193" s="59">
        <f t="shared" si="109"/>
        <v>293.33333333333707</v>
      </c>
      <c r="S193" s="59">
        <f ca="1">AVERAGE(OFFSET($R$3,0,0,'Données projet'!$E$9+1,1))-AVERAGE(OFFSET($H$3,0,0,'Données projet'!$E$9+1,1))</f>
        <v>298.96480270023716</v>
      </c>
      <c r="T193" s="59">
        <f t="shared" si="142"/>
        <v>293.11447542333889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9.4697396849919837</v>
      </c>
      <c r="AA193" s="21">
        <f>EXP(-LN(2)/25)*AA192+(1-EXP(-LN(2)/25))/(LN(2)/25)*Calculateur!V193*Calculateur!X193*VLOOKUP('Données projet'!$B$9,Paramètres!$A$1:$I$89,3,0)*0.475*44/12</f>
        <v>3.0528164871034864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12.52255617209547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1.9895196601282805E-13</v>
      </c>
      <c r="AJ193" s="13">
        <f>AI193*VLOOKUP('Données projet'!$B$10,Paramètres!$A$1:$I$89,3,0)*VLOOKUP('Données projet'!$B$10,Paramètres!$A$1:$I$89,5,0)</f>
        <v>1.707007868390065E-13</v>
      </c>
      <c r="AK193" s="13">
        <f t="shared" si="164"/>
        <v>2.4096578055149408E-12</v>
      </c>
      <c r="AL193" s="20">
        <f t="shared" si="165"/>
        <v>4.4941245483497909E-12</v>
      </c>
      <c r="AM193" s="59">
        <f t="shared" si="113"/>
        <v>293.33333333333781</v>
      </c>
      <c r="AN193" s="59">
        <f ca="1">AVERAGE(OFFSET($AM$3,0,0,'Données projet'!$E$10+1,1))-AVERAGE(OFFSET($H$3,0,0,'Données projet'!$E$10+1,1))</f>
        <v>335.02113791949211</v>
      </c>
      <c r="AO193" s="59">
        <f t="shared" si="144"/>
        <v>222.06886429435099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28.349118749278151</v>
      </c>
      <c r="AV193" s="21">
        <f>EXP(-LN(2)/25)*AV192+(1-EXP(-LN(2)/25))/(LN(2)/25)*Calculateur!AQ193*Calculateur!AS193*VLOOKUP('Données projet'!$B$10,Paramètres!$A$1:$I$89,3,0)*0.475*44/12</f>
        <v>11.088232669232644</v>
      </c>
      <c r="AW193" s="21">
        <f>EXP(-LN(2)/2)*AW192+(1-EXP(-LN(2)/2))/(LN(2)/2)*AQ193*AT193*VLOOKUP('Données projet'!$B$10,Paramètres!$A$1:$I$89,3,0)*0.475*44/12</f>
        <v>8.3506672635921779E-10</v>
      </c>
      <c r="AX193" s="21">
        <f t="shared" si="166"/>
        <v>39.437351419345859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-3.1036506698001178E-14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207.02306964567629</v>
      </c>
      <c r="BJ193" s="59">
        <f t="shared" si="146"/>
        <v>342.06887933351783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3.4577015939577858</v>
      </c>
      <c r="BQ193" s="21">
        <f>EXP(-LN(2)/25)*BQ192+(1-EXP(-LN(2)/25))/(LN(2)/25)*Calculateur!BL193*Calculateur!BN193*VLOOKUP('Données projet'!$B$11,Paramètres!$A$1:$I$89,3,0)*0.475*44/12</f>
        <v>2.3425640277392814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5.8002656216970667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233.89079999999998</v>
      </c>
      <c r="CA193" s="13">
        <f t="shared" si="170"/>
        <v>57.123140349023068</v>
      </c>
      <c r="CB193" s="20">
        <f t="shared" si="171"/>
        <v>506.84927944121517</v>
      </c>
      <c r="CC193" s="59">
        <f t="shared" si="119"/>
        <v>800.18261277454849</v>
      </c>
      <c r="CD193" s="59">
        <f ca="1">AVERAGE(OFFSET($CC$3,0,0,'Données projet'!$E$12+1,1))-AVERAGE(OFFSET($H$3,0,0,'Données projet'!$E$12+1,1))</f>
        <v>328.55201074501201</v>
      </c>
      <c r="CE193" s="59">
        <f t="shared" si="148"/>
        <v>321.81422611044985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3.7905188815272965</v>
      </c>
      <c r="CL193" s="21">
        <f>EXP(-LN(2)/25)*CL192+(1-EXP(-LN(2)/25))/(LN(2)/25)*Calculateur!CG193*Calculateur!CI193*VLOOKUP('Données projet'!$B$12,Paramètres!$A$1:$I$89,3,0)*0.475*44/12</f>
        <v>0.26722115986681122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4.0577400413941076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354.24684313982857</v>
      </c>
      <c r="CZ193" s="59">
        <f t="shared" si="150"/>
        <v>322.65043486962185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16.468685206428471</v>
      </c>
      <c r="DG193" s="21">
        <f>EXP(-LN(2)/25)*DG192+(1-EXP(-LN(2)/25))/(LN(2)/25)*Calculateur!DB193*Calculateur!DD193*VLOOKUP('Données projet'!$B$13,Paramètres!$A$1:$I$89,3,0)*0.475*44/12</f>
        <v>2.8858528477341756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19.354538054162646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1.7053025658242404E-13</v>
      </c>
      <c r="DP193" s="17">
        <f>DO193*VLOOKUP('Données projet'!$B$14,Paramètres!$A$1:$I$89,3,0)*VLOOKUP('Données projet'!$B$14,Paramètres!$A$1:$I$89,5,0)</f>
        <v>1.3301360013429075E-13</v>
      </c>
      <c r="DQ193" s="13">
        <f t="shared" si="176"/>
        <v>1.9329766731057041E-12</v>
      </c>
      <c r="DR193" s="20">
        <f t="shared" si="177"/>
        <v>3.5982663925596575E-12</v>
      </c>
      <c r="DS193" s="59">
        <f t="shared" si="125"/>
        <v>293.3333333333369</v>
      </c>
      <c r="DT193" s="59">
        <f ca="1">AVERAGE(OFFSET($DS$3,0,0,'Données projet'!$E$14+1,1))-AVERAGE(OFFSET($H$3,0,0,'Données projet'!$E$14+1,1))</f>
        <v>288.80569134263209</v>
      </c>
      <c r="DU193" s="59">
        <f t="shared" si="152"/>
        <v>283.48738729114024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7.3874964886548451</v>
      </c>
      <c r="EB193" s="21">
        <f>EXP(-LN(2)/25)*EB192+(1-EXP(-LN(2)/25))/(LN(2)/25)*Calculateur!DW193*Calculateur!DY193*VLOOKUP('Données projet'!$B$14,Paramètres!$A$1:$I$89,3,0)*0.475*44/12</f>
        <v>2.3815513233935004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9.7690478120483455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-6.3550942286383367E-14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335.04906256888819</v>
      </c>
      <c r="EP193" s="59">
        <f t="shared" si="154"/>
        <v>440.84111898279554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15.640606712173314</v>
      </c>
      <c r="EW193" s="21">
        <f>EXP(-LN(2)/25)*EW192+(1-EXP(-LN(2)/25))/(LN(2)/25)*Calculateur!ER193*Calculateur!ET193*VLOOKUP('Données projet'!$B$15,Paramètres!$A$1:$I$89,3,0)*0.475*44/12</f>
        <v>1.3643268050420554</v>
      </c>
      <c r="EX193" s="21">
        <f>EXP(-LN(2)/2)*EX192+(1-EXP(-LN(2)/2))/(LN(2)/2)*ER193*EU193*VLOOKUP('Données projet'!$B$15,Paramètres!$A$1:$I$89,3,0)*0.475*44/12</f>
        <v>1.6368532042132826E-19</v>
      </c>
      <c r="EY193" s="22">
        <f t="shared" si="181"/>
        <v>17.00493351721537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1.7053025658242404E-13</v>
      </c>
      <c r="O194" s="13">
        <f>N194*VLOOKUP('Données projet'!$B$9,Paramètres!$A$1:$I$89,3,0)*VLOOKUP('Données projet'!$B$9,Paramètres!$A$1:$I$89,5,0)</f>
        <v>1.383341441396624E-13</v>
      </c>
      <c r="P194" s="13">
        <f t="shared" si="141"/>
        <v>2.0011390722884082E-12</v>
      </c>
      <c r="Q194" s="20">
        <f t="shared" si="162"/>
        <v>3.7262491852788889E-12</v>
      </c>
      <c r="R194" s="59">
        <f t="shared" si="109"/>
        <v>293.33333333333707</v>
      </c>
      <c r="S194" s="59">
        <f ca="1">AVERAGE(OFFSET($R$3,0,0,'Données projet'!$E$9+1,1))-AVERAGE(OFFSET($H$3,0,0,'Données projet'!$E$9+1,1))</f>
        <v>298.96480270023716</v>
      </c>
      <c r="T194" s="59">
        <f t="shared" si="142"/>
        <v>293.11447542333889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9.2840438657401698</v>
      </c>
      <c r="AA194" s="21">
        <f>EXP(-LN(2)/25)*AA193+(1-EXP(-LN(2)/25))/(LN(2)/25)*Calculateur!V194*Calculateur!X194*VLOOKUP('Données projet'!$B$9,Paramètres!$A$1:$I$89,3,0)*0.475*44/12</f>
        <v>2.9693370597229998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12.253380925463169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1.9895196601282805E-13</v>
      </c>
      <c r="AJ194" s="13">
        <f>AI194*VLOOKUP('Données projet'!$B$10,Paramètres!$A$1:$I$89,3,0)*VLOOKUP('Données projet'!$B$10,Paramètres!$A$1:$I$89,5,0)</f>
        <v>1.707007868390065E-13</v>
      </c>
      <c r="AK194" s="13">
        <f t="shared" si="164"/>
        <v>2.4096578055149408E-12</v>
      </c>
      <c r="AL194" s="20">
        <f t="shared" si="165"/>
        <v>4.4941245483497909E-12</v>
      </c>
      <c r="AM194" s="59">
        <f t="shared" si="113"/>
        <v>293.33333333333781</v>
      </c>
      <c r="AN194" s="59">
        <f ca="1">AVERAGE(OFFSET($AM$3,0,0,'Données projet'!$E$10+1,1))-AVERAGE(OFFSET($H$3,0,0,'Données projet'!$E$10+1,1))</f>
        <v>335.02113791949211</v>
      </c>
      <c r="AO194" s="59">
        <f t="shared" si="144"/>
        <v>222.06886429435099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27.793209821859875</v>
      </c>
      <c r="AV194" s="21">
        <f>EXP(-LN(2)/25)*AV193+(1-EXP(-LN(2)/25))/(LN(2)/25)*Calculateur!AQ194*Calculateur!AS194*VLOOKUP('Données projet'!$B$10,Paramètres!$A$1:$I$89,3,0)*0.475*44/12</f>
        <v>10.785024363787663</v>
      </c>
      <c r="AW194" s="21">
        <f>EXP(-LN(2)/2)*AW193+(1-EXP(-LN(2)/2))/(LN(2)/2)*AQ194*AT194*VLOOKUP('Données projet'!$B$10,Paramètres!$A$1:$I$89,3,0)*0.475*44/12</f>
        <v>5.9048134495185396E-10</v>
      </c>
      <c r="AX194" s="21">
        <f t="shared" si="166"/>
        <v>38.578234186238021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-3.1036506698001178E-14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207.02306964567629</v>
      </c>
      <c r="BJ194" s="59">
        <f t="shared" si="146"/>
        <v>342.06887933351783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3.3898981746900003</v>
      </c>
      <c r="BQ194" s="21">
        <f>EXP(-LN(2)/25)*BQ193+(1-EXP(-LN(2)/25))/(LN(2)/25)*Calculateur!BL194*Calculateur!BN194*VLOOKUP('Données projet'!$B$11,Paramètres!$A$1:$I$89,3,0)*0.475*44/12</f>
        <v>2.2785064912106625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5.6684046659006633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233.89079999999998</v>
      </c>
      <c r="CA194" s="13">
        <f t="shared" si="170"/>
        <v>57.123140349023068</v>
      </c>
      <c r="CB194" s="20">
        <f t="shared" si="171"/>
        <v>506.84927944121517</v>
      </c>
      <c r="CC194" s="59">
        <f t="shared" si="119"/>
        <v>800.18261277454849</v>
      </c>
      <c r="CD194" s="59">
        <f ca="1">AVERAGE(OFFSET($CC$3,0,0,'Données projet'!$E$12+1,1))-AVERAGE(OFFSET($H$3,0,0,'Données projet'!$E$12+1,1))</f>
        <v>328.55201074501201</v>
      </c>
      <c r="CE194" s="59">
        <f t="shared" si="148"/>
        <v>321.81422611044985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3.7161891182487743</v>
      </c>
      <c r="CL194" s="21">
        <f>EXP(-LN(2)/25)*CL193+(1-EXP(-LN(2)/25))/(LN(2)/25)*Calculateur!CG194*Calculateur!CI194*VLOOKUP('Données projet'!$B$12,Paramètres!$A$1:$I$89,3,0)*0.475*44/12</f>
        <v>0.2599139831977032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3.9761031014464776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354.24684313982857</v>
      </c>
      <c r="CZ194" s="59">
        <f t="shared" si="150"/>
        <v>322.65043486962185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16.145744334436532</v>
      </c>
      <c r="DG194" s="21">
        <f>EXP(-LN(2)/25)*DG193+(1-EXP(-LN(2)/25))/(LN(2)/25)*Calculateur!DB194*Calculateur!DD194*VLOOKUP('Données projet'!$B$13,Paramètres!$A$1:$I$89,3,0)*0.475*44/12</f>
        <v>2.8069390498524789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18.95268338428901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1.7053025658242404E-13</v>
      </c>
      <c r="DP194" s="17">
        <f>DO194*VLOOKUP('Données projet'!$B$14,Paramètres!$A$1:$I$89,3,0)*VLOOKUP('Données projet'!$B$14,Paramètres!$A$1:$I$89,5,0)</f>
        <v>1.3301360013429075E-13</v>
      </c>
      <c r="DQ194" s="13">
        <f t="shared" si="176"/>
        <v>1.9329766731057041E-12</v>
      </c>
      <c r="DR194" s="20">
        <f t="shared" si="177"/>
        <v>3.5982663925596575E-12</v>
      </c>
      <c r="DS194" s="59">
        <f t="shared" si="125"/>
        <v>293.3333333333369</v>
      </c>
      <c r="DT194" s="59">
        <f ca="1">AVERAGE(OFFSET($DS$3,0,0,'Données projet'!$E$14+1,1))-AVERAGE(OFFSET($H$3,0,0,'Données projet'!$E$14+1,1))</f>
        <v>288.80569134263209</v>
      </c>
      <c r="DU194" s="59">
        <f t="shared" si="152"/>
        <v>283.48738729114024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7.2426321884402585</v>
      </c>
      <c r="EB194" s="21">
        <f>EXP(-LN(2)/25)*EB193+(1-EXP(-LN(2)/25))/(LN(2)/25)*Calculateur!DW194*Calculateur!DY194*VLOOKUP('Données projet'!$B$14,Paramètres!$A$1:$I$89,3,0)*0.475*44/12</f>
        <v>2.3164276772149641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9.5590598656552217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-6.3550942286383367E-14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335.04906256888819</v>
      </c>
      <c r="EP194" s="59">
        <f t="shared" si="154"/>
        <v>440.84111898279554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15.33390395437571</v>
      </c>
      <c r="EW194" s="21">
        <f>EXP(-LN(2)/25)*EW193+(1-EXP(-LN(2)/25))/(LN(2)/25)*Calculateur!ER194*Calculateur!ET194*VLOOKUP('Données projet'!$B$15,Paramètres!$A$1:$I$89,3,0)*0.475*44/12</f>
        <v>1.3270192168113519</v>
      </c>
      <c r="EX194" s="21">
        <f>EXP(-LN(2)/2)*EX193+(1-EXP(-LN(2)/2))/(LN(2)/2)*ER194*EU194*VLOOKUP('Données projet'!$B$15,Paramètres!$A$1:$I$89,3,0)*0.475*44/12</f>
        <v>1.1574300005061408E-19</v>
      </c>
      <c r="EY194" s="22">
        <f t="shared" si="181"/>
        <v>16.660923171187061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1.7053025658242404E-13</v>
      </c>
      <c r="O195" s="13">
        <f>N195*VLOOKUP('Données projet'!$B$9,Paramètres!$A$1:$I$89,3,0)*VLOOKUP('Données projet'!$B$9,Paramètres!$A$1:$I$89,5,0)</f>
        <v>1.383341441396624E-13</v>
      </c>
      <c r="P195" s="13">
        <f t="shared" si="141"/>
        <v>2.0011390722884082E-12</v>
      </c>
      <c r="Q195" s="20">
        <f t="shared" si="162"/>
        <v>3.7262491852788889E-12</v>
      </c>
      <c r="R195" s="59">
        <f t="shared" ref="R195:R203" si="191">Q195+(I195+J195)*44/12</f>
        <v>293.33333333333707</v>
      </c>
      <c r="S195" s="59">
        <f ca="1">AVERAGE(OFFSET($R$3,0,0,'Données projet'!$E$9+1,1))-AVERAGE(OFFSET($H$3,0,0,'Données projet'!$E$9+1,1))</f>
        <v>298.96480270023716</v>
      </c>
      <c r="T195" s="59">
        <f t="shared" si="142"/>
        <v>293.11447542333889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9.1019894282406177</v>
      </c>
      <c r="AA195" s="21">
        <f>EXP(-LN(2)/25)*AA194+(1-EXP(-LN(2)/25))/(LN(2)/25)*Calculateur!V195*Calculateur!X195*VLOOKUP('Données projet'!$B$9,Paramètres!$A$1:$I$89,3,0)*0.475*44/12</f>
        <v>2.888140381674225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11.990129809914842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1.9895196601282805E-13</v>
      </c>
      <c r="AJ195" s="13">
        <f>AI195*VLOOKUP('Données projet'!$B$10,Paramètres!$A$1:$I$89,3,0)*VLOOKUP('Données projet'!$B$10,Paramètres!$A$1:$I$89,5,0)</f>
        <v>1.707007868390065E-13</v>
      </c>
      <c r="AK195" s="13">
        <f t="shared" si="164"/>
        <v>2.4096578055149408E-12</v>
      </c>
      <c r="AL195" s="20">
        <f t="shared" si="165"/>
        <v>4.4941245483497909E-12</v>
      </c>
      <c r="AM195" s="59">
        <f t="shared" si="113"/>
        <v>293.33333333333781</v>
      </c>
      <c r="AN195" s="59">
        <f ca="1">AVERAGE(OFFSET($AM$3,0,0,'Données projet'!$E$10+1,1))-AVERAGE(OFFSET($H$3,0,0,'Données projet'!$E$10+1,1))</f>
        <v>335.02113791949211</v>
      </c>
      <c r="AO195" s="59">
        <f t="shared" si="144"/>
        <v>222.06886429435099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27.248201929437304</v>
      </c>
      <c r="AV195" s="21">
        <f>EXP(-LN(2)/25)*AV194+(1-EXP(-LN(2)/25))/(LN(2)/25)*Calculateur!AQ195*Calculateur!AS195*VLOOKUP('Données projet'!$B$10,Paramètres!$A$1:$I$89,3,0)*0.475*44/12</f>
        <v>10.490107305400107</v>
      </c>
      <c r="AW195" s="21">
        <f>EXP(-LN(2)/2)*AW194+(1-EXP(-LN(2)/2))/(LN(2)/2)*AQ195*AT195*VLOOKUP('Données projet'!$B$10,Paramètres!$A$1:$I$89,3,0)*0.475*44/12</f>
        <v>4.1753336317960889E-10</v>
      </c>
      <c r="AX195" s="21">
        <f t="shared" si="166"/>
        <v>37.738309235254945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-3.1036506698001178E-14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207.02306964567629</v>
      </c>
      <c r="BJ195" s="59">
        <f t="shared" si="146"/>
        <v>342.06887933351783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3.3234243391180542</v>
      </c>
      <c r="BQ195" s="21">
        <f>EXP(-LN(2)/25)*BQ194+(1-EXP(-LN(2)/25))/(LN(2)/25)*Calculateur!BL195*Calculateur!BN195*VLOOKUP('Données projet'!$B$11,Paramètres!$A$1:$I$89,3,0)*0.475*44/12</f>
        <v>2.216200611387058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5.5396249505051127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233.89079999999998</v>
      </c>
      <c r="CA195" s="13">
        <f t="shared" si="170"/>
        <v>57.123140349023068</v>
      </c>
      <c r="CB195" s="20">
        <f t="shared" si="171"/>
        <v>506.84927944121517</v>
      </c>
      <c r="CC195" s="59">
        <f t="shared" si="119"/>
        <v>800.18261277454849</v>
      </c>
      <c r="CD195" s="59">
        <f ca="1">AVERAGE(OFFSET($CC$3,0,0,'Données projet'!$E$12+1,1))-AVERAGE(OFFSET($H$3,0,0,'Données projet'!$E$12+1,1))</f>
        <v>328.55201074501201</v>
      </c>
      <c r="CE195" s="59">
        <f t="shared" si="148"/>
        <v>321.81422611044985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3.6433169162914649</v>
      </c>
      <c r="CL195" s="21">
        <f>EXP(-LN(2)/25)*CL194+(1-EXP(-LN(2)/25))/(LN(2)/25)*Calculateur!CG195*Calculateur!CI195*VLOOKUP('Données projet'!$B$12,Paramètres!$A$1:$I$89,3,0)*0.475*44/12</f>
        <v>0.25280662165887968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3.8961235379503445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354.24684313982857</v>
      </c>
      <c r="CZ195" s="59">
        <f t="shared" si="150"/>
        <v>322.65043486962185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15.829136135969874</v>
      </c>
      <c r="DG195" s="21">
        <f>EXP(-LN(2)/25)*DG194+(1-EXP(-LN(2)/25))/(LN(2)/25)*Calculateur!DB195*Calculateur!DD195*VLOOKUP('Données projet'!$B$13,Paramètres!$A$1:$I$89,3,0)*0.475*44/12</f>
        <v>2.7301831539237535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18.559319289893626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1.7053025658242404E-13</v>
      </c>
      <c r="DP195" s="17">
        <f>DO195*VLOOKUP('Données projet'!$B$14,Paramètres!$A$1:$I$89,3,0)*VLOOKUP('Données projet'!$B$14,Paramètres!$A$1:$I$89,5,0)</f>
        <v>1.3301360013429075E-13</v>
      </c>
      <c r="DQ195" s="13">
        <f t="shared" si="176"/>
        <v>1.9329766731057041E-12</v>
      </c>
      <c r="DR195" s="20">
        <f t="shared" si="177"/>
        <v>3.5982663925596575E-12</v>
      </c>
      <c r="DS195" s="59">
        <f t="shared" si="125"/>
        <v>293.3333333333369</v>
      </c>
      <c r="DT195" s="59">
        <f ca="1">AVERAGE(OFFSET($DS$3,0,0,'Données projet'!$E$14+1,1))-AVERAGE(OFFSET($H$3,0,0,'Données projet'!$E$14+1,1))</f>
        <v>288.80569134263209</v>
      </c>
      <c r="DU195" s="59">
        <f t="shared" si="152"/>
        <v>283.48738729114024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7.1006085887943815</v>
      </c>
      <c r="EB195" s="21">
        <f>EXP(-LN(2)/25)*EB194+(1-EXP(-LN(2)/25))/(LN(2)/25)*Calculateur!DW195*Calculateur!DY195*VLOOKUP('Données projet'!$B$14,Paramètres!$A$1:$I$89,3,0)*0.475*44/12</f>
        <v>2.2530848405658834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9.3536934293602645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-6.3550942286383367E-14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335.04906256888819</v>
      </c>
      <c r="EP195" s="59">
        <f t="shared" si="154"/>
        <v>440.84111898279554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15.033215450588306</v>
      </c>
      <c r="EW195" s="21">
        <f>EXP(-LN(2)/25)*EW194+(1-EXP(-LN(2)/25))/(LN(2)/25)*Calculateur!ER195*Calculateur!ET195*VLOOKUP('Données projet'!$B$15,Paramètres!$A$1:$I$89,3,0)*0.475*44/12</f>
        <v>1.2907318065427378</v>
      </c>
      <c r="EX195" s="21">
        <f>EXP(-LN(2)/2)*EX194+(1-EXP(-LN(2)/2))/(LN(2)/2)*ER195*EU195*VLOOKUP('Données projet'!$B$15,Paramètres!$A$1:$I$89,3,0)*0.475*44/12</f>
        <v>8.1842660210664128E-20</v>
      </c>
      <c r="EY195" s="22">
        <f t="shared" si="181"/>
        <v>16.323947257131046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1.7053025658242404E-13</v>
      </c>
      <c r="O196" s="13">
        <f>N196*VLOOKUP('Données projet'!$B$9,Paramètres!$A$1:$I$89,3,0)*VLOOKUP('Données projet'!$B$9,Paramètres!$A$1:$I$89,5,0)</f>
        <v>1.383341441396624E-13</v>
      </c>
      <c r="P196" s="13">
        <f t="shared" si="141"/>
        <v>2.0011390722884082E-12</v>
      </c>
      <c r="Q196" s="20">
        <f t="shared" si="162"/>
        <v>3.7262491852788889E-12</v>
      </c>
      <c r="R196" s="59">
        <f t="shared" si="191"/>
        <v>293.33333333333707</v>
      </c>
      <c r="S196" s="59">
        <f ca="1">AVERAGE(OFFSET($R$3,0,0,'Données projet'!$E$9+1,1))-AVERAGE(OFFSET($H$3,0,0,'Données projet'!$E$9+1,1))</f>
        <v>298.96480270023716</v>
      </c>
      <c r="T196" s="59">
        <f t="shared" si="142"/>
        <v>293.11447542333889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8.9235049672181894</v>
      </c>
      <c r="AA196" s="21">
        <f>EXP(-LN(2)/25)*AA195+(1-EXP(-LN(2)/25))/(LN(2)/25)*Calculateur!V196*Calculateur!X196*VLOOKUP('Données projet'!$B$9,Paramètres!$A$1:$I$89,3,0)*0.475*44/12</f>
        <v>2.8091640310566417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11.732668998274832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1.9895196601282805E-13</v>
      </c>
      <c r="AJ196" s="13">
        <f>AI196*VLOOKUP('Données projet'!$B$10,Paramètres!$A$1:$I$89,3,0)*VLOOKUP('Données projet'!$B$10,Paramètres!$A$1:$I$89,5,0)</f>
        <v>1.707007868390065E-13</v>
      </c>
      <c r="AK196" s="13">
        <f t="shared" si="164"/>
        <v>2.4096578055149408E-12</v>
      </c>
      <c r="AL196" s="20">
        <f t="shared" si="165"/>
        <v>4.4941245483497909E-12</v>
      </c>
      <c r="AM196" s="59">
        <f t="shared" ref="AM196:AM203" si="193">AL196+(AD196+AE196)*44/12</f>
        <v>293.33333333333781</v>
      </c>
      <c r="AN196" s="59">
        <f ca="1">AVERAGE(OFFSET($AM$3,0,0,'Données projet'!$E$10+1,1))-AVERAGE(OFFSET($H$3,0,0,'Données projet'!$E$10+1,1))</f>
        <v>335.02113791949211</v>
      </c>
      <c r="AO196" s="59">
        <f t="shared" si="144"/>
        <v>222.06886429435099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26.713881309363149</v>
      </c>
      <c r="AV196" s="21">
        <f>EXP(-LN(2)/25)*AV195+(1-EXP(-LN(2)/25))/(LN(2)/25)*Calculateur!AQ196*Calculateur!AS196*VLOOKUP('Données projet'!$B$10,Paramètres!$A$1:$I$89,3,0)*0.475*44/12</f>
        <v>10.203254769483173</v>
      </c>
      <c r="AW196" s="21">
        <f>EXP(-LN(2)/2)*AW195+(1-EXP(-LN(2)/2))/(LN(2)/2)*AQ196*AT196*VLOOKUP('Données projet'!$B$10,Paramètres!$A$1:$I$89,3,0)*0.475*44/12</f>
        <v>2.9524067247592698E-10</v>
      </c>
      <c r="AX196" s="21">
        <f t="shared" si="166"/>
        <v>36.917136079141564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-3.1036506698001178E-14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207.02306964567629</v>
      </c>
      <c r="BJ196" s="59">
        <f t="shared" si="146"/>
        <v>342.06887933351783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3.2582540149166377</v>
      </c>
      <c r="BQ196" s="21">
        <f>EXP(-LN(2)/25)*BQ195+(1-EXP(-LN(2)/25))/(LN(2)/25)*Calculateur!BL196*Calculateur!BN196*VLOOKUP('Données projet'!$B$11,Paramètres!$A$1:$I$89,3,0)*0.475*44/12</f>
        <v>2.1555984891237538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5.413852504040392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233.89079999999998</v>
      </c>
      <c r="CA196" s="13">
        <f t="shared" si="170"/>
        <v>57.123140349023068</v>
      </c>
      <c r="CB196" s="20">
        <f t="shared" si="171"/>
        <v>506.84927944121517</v>
      </c>
      <c r="CC196" s="59">
        <f t="shared" ref="CC196:CC203" si="195">CB196+(BT196+BU196)*44/12</f>
        <v>800.18261277454849</v>
      </c>
      <c r="CD196" s="59">
        <f ca="1">AVERAGE(OFFSET($CC$3,0,0,'Données projet'!$E$12+1,1))-AVERAGE(OFFSET($H$3,0,0,'Données projet'!$E$12+1,1))</f>
        <v>328.55201074501201</v>
      </c>
      <c r="CE196" s="59">
        <f t="shared" si="148"/>
        <v>321.81422611044985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3.571873693766884</v>
      </c>
      <c r="CL196" s="21">
        <f>EXP(-LN(2)/25)*CL195+(1-EXP(-LN(2)/25))/(LN(2)/25)*Calculateur!CG196*Calculateur!CI196*VLOOKUP('Données projet'!$B$12,Paramètres!$A$1:$I$89,3,0)*0.475*44/12</f>
        <v>0.24589361129509518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3.8177673050619791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354.24684313982857</v>
      </c>
      <c r="CZ196" s="59">
        <f t="shared" si="150"/>
        <v>322.65043486962185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15.518736431163212</v>
      </c>
      <c r="DG196" s="21">
        <f>EXP(-LN(2)/25)*DG195+(1-EXP(-LN(2)/25))/(LN(2)/25)*Calculateur!DB196*Calculateur!DD196*VLOOKUP('Données projet'!$B$13,Paramètres!$A$1:$I$89,3,0)*0.475*44/12</f>
        <v>2.6555261520056161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18.174262583168829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1.7053025658242404E-13</v>
      </c>
      <c r="DP196" s="17">
        <f>DO196*VLOOKUP('Données projet'!$B$14,Paramètres!$A$1:$I$89,3,0)*VLOOKUP('Données projet'!$B$14,Paramètres!$A$1:$I$89,5,0)</f>
        <v>1.3301360013429075E-13</v>
      </c>
      <c r="DQ196" s="13">
        <f t="shared" si="176"/>
        <v>1.9329766731057041E-12</v>
      </c>
      <c r="DR196" s="20">
        <f t="shared" si="177"/>
        <v>3.5982663925596575E-12</v>
      </c>
      <c r="DS196" s="59">
        <f t="shared" ref="DS196:DS203" si="197">DR196+(DJ196+DK196)*44/12</f>
        <v>293.3333333333369</v>
      </c>
      <c r="DT196" s="59">
        <f ca="1">AVERAGE(OFFSET($DS$3,0,0,'Données projet'!$E$14+1,1))-AVERAGE(OFFSET($H$3,0,0,'Données projet'!$E$14+1,1))</f>
        <v>288.80569134263209</v>
      </c>
      <c r="DU196" s="59">
        <f t="shared" si="152"/>
        <v>283.48738729114024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6.9613699853117179</v>
      </c>
      <c r="EB196" s="21">
        <f>EXP(-LN(2)/25)*EB195+(1-EXP(-LN(2)/25))/(LN(2)/25)*Calculateur!DW196*Calculateur!DY196*VLOOKUP('Données projet'!$B$14,Paramètres!$A$1:$I$89,3,0)*0.475*44/12</f>
        <v>2.191474117116027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9.1528441024277445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-6.3550942286383367E-14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335.04906256888819</v>
      </c>
      <c r="EP196" s="59">
        <f t="shared" si="154"/>
        <v>440.84111898279554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14.738423264958296</v>
      </c>
      <c r="EW196" s="21">
        <f>EXP(-LN(2)/25)*EW195+(1-EXP(-LN(2)/25))/(LN(2)/25)*Calculateur!ER196*Calculateur!ET196*VLOOKUP('Données projet'!$B$15,Paramètres!$A$1:$I$89,3,0)*0.475*44/12</f>
        <v>1.2554366774161909</v>
      </c>
      <c r="EX196" s="21">
        <f>EXP(-LN(2)/2)*EX195+(1-EXP(-LN(2)/2))/(LN(2)/2)*ER196*EU196*VLOOKUP('Données projet'!$B$15,Paramètres!$A$1:$I$89,3,0)*0.475*44/12</f>
        <v>5.7871500025307039E-20</v>
      </c>
      <c r="EY196" s="22">
        <f t="shared" si="181"/>
        <v>15.993859942374486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1.7053025658242404E-13</v>
      </c>
      <c r="O197" s="13">
        <f>N197*VLOOKUP('Données projet'!$B$9,Paramètres!$A$1:$I$89,3,0)*VLOOKUP('Données projet'!$B$9,Paramètres!$A$1:$I$89,5,0)</f>
        <v>1.383341441396624E-13</v>
      </c>
      <c r="P197" s="13">
        <f t="shared" ref="P197:P203" si="203">EXP(-1.0587+0.8836*LN(O197)+0.284)</f>
        <v>2.0011390722884082E-12</v>
      </c>
      <c r="Q197" s="20">
        <f t="shared" si="162"/>
        <v>3.7262491852788889E-12</v>
      </c>
      <c r="R197" s="59">
        <f t="shared" si="191"/>
        <v>293.33333333333707</v>
      </c>
      <c r="S197" s="59">
        <f ca="1">AVERAGE(OFFSET($R$3,0,0,'Données projet'!$E$9+1,1))-AVERAGE(OFFSET($H$3,0,0,'Données projet'!$E$9+1,1))</f>
        <v>298.96480270023716</v>
      </c>
      <c r="T197" s="59">
        <f t="shared" ref="T197:T203" si="204">$T$3</f>
        <v>293.11447542333889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8.7485204776116383</v>
      </c>
      <c r="AA197" s="21">
        <f>EXP(-LN(2)/25)*AA196+(1-EXP(-LN(2)/25))/(LN(2)/25)*Calculateur!V197*Calculateur!X197*VLOOKUP('Données projet'!$B$9,Paramètres!$A$1:$I$89,3,0)*0.475*44/12</f>
        <v>2.732347292899882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11.480867770511519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1.9895196601282805E-13</v>
      </c>
      <c r="AJ197" s="13">
        <f>AI197*VLOOKUP('Données projet'!$B$10,Paramètres!$A$1:$I$89,3,0)*VLOOKUP('Données projet'!$B$10,Paramètres!$A$1:$I$89,5,0)</f>
        <v>1.707007868390065E-13</v>
      </c>
      <c r="AK197" s="13">
        <f t="shared" si="164"/>
        <v>2.4096578055149408E-12</v>
      </c>
      <c r="AL197" s="20">
        <f t="shared" si="165"/>
        <v>4.4941245483497909E-12</v>
      </c>
      <c r="AM197" s="59">
        <f t="shared" si="193"/>
        <v>293.33333333333781</v>
      </c>
      <c r="AN197" s="59">
        <f ca="1">AVERAGE(OFFSET($AM$3,0,0,'Données projet'!$E$10+1,1))-AVERAGE(OFFSET($H$3,0,0,'Données projet'!$E$10+1,1))</f>
        <v>335.02113791949211</v>
      </c>
      <c r="AO197" s="59">
        <f t="shared" ref="AO197:AO203" si="205">$AO$3</f>
        <v>222.06886429435099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26.190038390745251</v>
      </c>
      <c r="AV197" s="21">
        <f>EXP(-LN(2)/25)*AV196+(1-EXP(-LN(2)/25))/(LN(2)/25)*Calculateur!AQ197*Calculateur!AS197*VLOOKUP('Données projet'!$B$10,Paramètres!$A$1:$I$89,3,0)*0.475*44/12</f>
        <v>9.9242462312458084</v>
      </c>
      <c r="AW197" s="21">
        <f>EXP(-LN(2)/2)*AW196+(1-EXP(-LN(2)/2))/(LN(2)/2)*AQ197*AT197*VLOOKUP('Données projet'!$B$10,Paramètres!$A$1:$I$89,3,0)*0.475*44/12</f>
        <v>2.0876668158980445E-10</v>
      </c>
      <c r="AX197" s="21">
        <f t="shared" si="166"/>
        <v>36.114284622199825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-3.1036506698001178E-14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207.02306964567629</v>
      </c>
      <c r="BJ197" s="59">
        <f t="shared" ref="BJ197:BJ203" si="206">$BJ$3</f>
        <v>342.06887933351783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3.1943616410228381</v>
      </c>
      <c r="BQ197" s="21">
        <f>EXP(-LN(2)/25)*BQ196+(1-EXP(-LN(2)/25))/(LN(2)/25)*Calculateur!BL197*Calculateur!BN197*VLOOKUP('Données projet'!$B$11,Paramètres!$A$1:$I$89,3,0)*0.475*44/12</f>
        <v>2.0966535350806668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5.2910151761035049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233.89079999999998</v>
      </c>
      <c r="CA197" s="13">
        <f t="shared" si="170"/>
        <v>57.123140349023068</v>
      </c>
      <c r="CB197" s="20">
        <f t="shared" si="171"/>
        <v>506.84927944121517</v>
      </c>
      <c r="CC197" s="59">
        <f t="shared" si="195"/>
        <v>800.18261277454849</v>
      </c>
      <c r="CD197" s="59">
        <f ca="1">AVERAGE(OFFSET($CC$3,0,0,'Données projet'!$E$12+1,1))-AVERAGE(OFFSET($H$3,0,0,'Données projet'!$E$12+1,1))</f>
        <v>328.55201074501201</v>
      </c>
      <c r="CE197" s="59">
        <f t="shared" ref="CE197:CE203" si="207">$CE$3</f>
        <v>321.81422611044985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3.5018314292599468</v>
      </c>
      <c r="CL197" s="21">
        <f>EXP(-LN(2)/25)*CL196+(1-EXP(-LN(2)/25))/(LN(2)/25)*Calculateur!CG197*Calculateur!CI197*VLOOKUP('Données projet'!$B$12,Paramètres!$A$1:$I$89,3,0)*0.475*44/12</f>
        <v>0.23916963756324777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3.7410010668231948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354.24684313982857</v>
      </c>
      <c r="CZ197" s="59">
        <f t="shared" ref="CZ197:CZ203" si="208">$CZ$3</f>
        <v>322.65043486962185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15.214423475242684</v>
      </c>
      <c r="DG197" s="21">
        <f>EXP(-LN(2)/25)*DG196+(1-EXP(-LN(2)/25))/(LN(2)/25)*Calculateur!DB197*Calculateur!DD197*VLOOKUP('Données projet'!$B$13,Paramètres!$A$1:$I$89,3,0)*0.475*44/12</f>
        <v>2.5829106497309717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17.797334124973656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1.7053025658242404E-13</v>
      </c>
      <c r="DP197" s="17">
        <f>DO197*VLOOKUP('Données projet'!$B$14,Paramètres!$A$1:$I$89,3,0)*VLOOKUP('Données projet'!$B$14,Paramètres!$A$1:$I$89,5,0)</f>
        <v>1.3301360013429075E-13</v>
      </c>
      <c r="DQ197" s="13">
        <f t="shared" si="176"/>
        <v>1.9329766731057041E-12</v>
      </c>
      <c r="DR197" s="20">
        <f t="shared" si="177"/>
        <v>3.5982663925596575E-12</v>
      </c>
      <c r="DS197" s="59">
        <f t="shared" si="197"/>
        <v>293.3333333333369</v>
      </c>
      <c r="DT197" s="59">
        <f ca="1">AVERAGE(OFFSET($DS$3,0,0,'Données projet'!$E$14+1,1))-AVERAGE(OFFSET($H$3,0,0,'Données projet'!$E$14+1,1))</f>
        <v>288.80569134263209</v>
      </c>
      <c r="DU197" s="59">
        <f t="shared" ref="DU197:DU203" si="209">$DU$3</f>
        <v>283.48738729114024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6.8248617659161868</v>
      </c>
      <c r="EB197" s="21">
        <f>EXP(-LN(2)/25)*EB196+(1-EXP(-LN(2)/25))/(LN(2)/25)*Calculateur!DW197*Calculateur!DY197*VLOOKUP('Données projet'!$B$14,Paramètres!$A$1:$I$89,3,0)*0.475*44/12</f>
        <v>2.131548142138874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8.9564099080550612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-6.3550942286383367E-14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335.04906256888819</v>
      </c>
      <c r="EP197" s="59">
        <f t="shared" ref="EP197:EP203" si="210">$EP$3</f>
        <v>440.84111898279554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14.449411774283011</v>
      </c>
      <c r="EW197" s="21">
        <f>EXP(-LN(2)/25)*EW196+(1-EXP(-LN(2)/25))/(LN(2)/25)*Calculateur!ER197*Calculateur!ET197*VLOOKUP('Données projet'!$B$15,Paramètres!$A$1:$I$89,3,0)*0.475*44/12</f>
        <v>1.2211066954516996</v>
      </c>
      <c r="EX197" s="21">
        <f>EXP(-LN(2)/2)*EX196+(1-EXP(-LN(2)/2))/(LN(2)/2)*ER197*EU197*VLOOKUP('Données projet'!$B$15,Paramètres!$A$1:$I$89,3,0)*0.475*44/12</f>
        <v>4.0921330105332064E-20</v>
      </c>
      <c r="EY197" s="22">
        <f t="shared" si="181"/>
        <v>15.670518469734709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1.7053025658242404E-13</v>
      </c>
      <c r="O198" s="13">
        <f>N198*VLOOKUP('Données projet'!$B$9,Paramètres!$A$1:$I$89,3,0)*VLOOKUP('Données projet'!$B$9,Paramètres!$A$1:$I$89,5,0)</f>
        <v>1.383341441396624E-13</v>
      </c>
      <c r="P198" s="13">
        <f t="shared" si="203"/>
        <v>2.0011390722884082E-12</v>
      </c>
      <c r="Q198" s="20">
        <f t="shared" si="162"/>
        <v>3.7262491852788889E-12</v>
      </c>
      <c r="R198" s="59">
        <f t="shared" si="191"/>
        <v>293.33333333333707</v>
      </c>
      <c r="S198" s="59">
        <f ca="1">AVERAGE(OFFSET($R$3,0,0,'Données projet'!$E$9+1,1))-AVERAGE(OFFSET($H$3,0,0,'Données projet'!$E$9+1,1))</f>
        <v>298.96480270023716</v>
      </c>
      <c r="T198" s="59">
        <f t="shared" si="204"/>
        <v>293.11447542333889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8.5769673271162716</v>
      </c>
      <c r="AA198" s="21">
        <f>EXP(-LN(2)/25)*AA197+(1-EXP(-LN(2)/25))/(LN(2)/25)*Calculateur!V198*Calculateur!X198*VLOOKUP('Données projet'!$B$9,Paramètres!$A$1:$I$89,3,0)*0.475*44/12</f>
        <v>2.6576311124876355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11.234598439603907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1.9895196601282805E-13</v>
      </c>
      <c r="AJ198" s="13">
        <f>AI198*VLOOKUP('Données projet'!$B$10,Paramètres!$A$1:$I$89,3,0)*VLOOKUP('Données projet'!$B$10,Paramètres!$A$1:$I$89,5,0)</f>
        <v>1.707007868390065E-13</v>
      </c>
      <c r="AK198" s="13">
        <f t="shared" si="164"/>
        <v>2.4096578055149408E-12</v>
      </c>
      <c r="AL198" s="20">
        <f t="shared" si="165"/>
        <v>4.4941245483497909E-12</v>
      </c>
      <c r="AM198" s="59">
        <f t="shared" si="193"/>
        <v>293.33333333333781</v>
      </c>
      <c r="AN198" s="59">
        <f ca="1">AVERAGE(OFFSET($AM$3,0,0,'Données projet'!$E$10+1,1))-AVERAGE(OFFSET($H$3,0,0,'Données projet'!$E$10+1,1))</f>
        <v>335.02113791949211</v>
      </c>
      <c r="AO198" s="59">
        <f t="shared" si="205"/>
        <v>222.06886429435099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25.676467712248819</v>
      </c>
      <c r="AV198" s="21">
        <f>EXP(-LN(2)/25)*AV197+(1-EXP(-LN(2)/25))/(LN(2)/25)*Calculateur!AQ198*Calculateur!AS198*VLOOKUP('Données projet'!$B$10,Paramètres!$A$1:$I$89,3,0)*0.475*44/12</f>
        <v>9.6528671961589652</v>
      </c>
      <c r="AW198" s="21">
        <f>EXP(-LN(2)/2)*AW197+(1-EXP(-LN(2)/2))/(LN(2)/2)*AQ198*AT198*VLOOKUP('Données projet'!$B$10,Paramètres!$A$1:$I$89,3,0)*0.475*44/12</f>
        <v>1.4762033623796349E-10</v>
      </c>
      <c r="AX198" s="21">
        <f t="shared" si="166"/>
        <v>35.32933490855541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-3.1036506698001178E-14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207.02306964567629</v>
      </c>
      <c r="BJ198" s="59">
        <f t="shared" si="206"/>
        <v>342.06887933351783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3.131722157610596</v>
      </c>
      <c r="BQ198" s="21">
        <f>EXP(-LN(2)/25)*BQ197+(1-EXP(-LN(2)/25))/(LN(2)/25)*Calculateur!BL198*Calculateur!BN198*VLOOKUP('Données projet'!$B$11,Paramètres!$A$1:$I$89,3,0)*0.475*44/12</f>
        <v>2.0393204339056683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5.1710425915162643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233.89079999999998</v>
      </c>
      <c r="CA198" s="13">
        <f t="shared" si="170"/>
        <v>57.123140349023068</v>
      </c>
      <c r="CB198" s="20">
        <f t="shared" si="171"/>
        <v>506.84927944121517</v>
      </c>
      <c r="CC198" s="59">
        <f t="shared" si="195"/>
        <v>800.18261277454849</v>
      </c>
      <c r="CD198" s="59">
        <f ca="1">AVERAGE(OFFSET($CC$3,0,0,'Données projet'!$E$12+1,1))-AVERAGE(OFFSET($H$3,0,0,'Données projet'!$E$12+1,1))</f>
        <v>328.55201074501201</v>
      </c>
      <c r="CE198" s="59">
        <f t="shared" si="207"/>
        <v>321.81422611044985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3.4331626508384279</v>
      </c>
      <c r="CL198" s="21">
        <f>EXP(-LN(2)/25)*CL197+(1-EXP(-LN(2)/25))/(LN(2)/25)*Calculateur!CG198*Calculateur!CI198*VLOOKUP('Données projet'!$B$12,Paramètres!$A$1:$I$89,3,0)*0.475*44/12</f>
        <v>0.23262953124669616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3.665792182085124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354.24684313982857</v>
      </c>
      <c r="CZ198" s="59">
        <f t="shared" si="208"/>
        <v>322.65043486962185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14.916077910775183</v>
      </c>
      <c r="DG198" s="21">
        <f>EXP(-LN(2)/25)*DG197+(1-EXP(-LN(2)/25))/(LN(2)/25)*Calculateur!DB198*Calculateur!DD198*VLOOKUP('Données projet'!$B$13,Paramètres!$A$1:$I$89,3,0)*0.475*44/12</f>
        <v>2.5122808221847106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17.428358732959893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1.7053025658242404E-13</v>
      </c>
      <c r="DP198" s="17">
        <f>DO198*VLOOKUP('Données projet'!$B$14,Paramètres!$A$1:$I$89,3,0)*VLOOKUP('Données projet'!$B$14,Paramètres!$A$1:$I$89,5,0)</f>
        <v>1.3301360013429075E-13</v>
      </c>
      <c r="DQ198" s="13">
        <f t="shared" si="176"/>
        <v>1.9329766731057041E-12</v>
      </c>
      <c r="DR198" s="20">
        <f t="shared" si="177"/>
        <v>3.5982663925596575E-12</v>
      </c>
      <c r="DS198" s="59">
        <f t="shared" si="197"/>
        <v>293.3333333333369</v>
      </c>
      <c r="DT198" s="59">
        <f ca="1">AVERAGE(OFFSET($DS$3,0,0,'Données projet'!$E$14+1,1))-AVERAGE(OFFSET($H$3,0,0,'Données projet'!$E$14+1,1))</f>
        <v>288.80569134263209</v>
      </c>
      <c r="DU198" s="59">
        <f t="shared" si="209"/>
        <v>283.48738729114024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6.6910303894412095</v>
      </c>
      <c r="EB198" s="21">
        <f>EXP(-LN(2)/25)*EB197+(1-EXP(-LN(2)/25))/(LN(2)/25)*Calculateur!DW198*Calculateur!DY198*VLOOKUP('Données projet'!$B$14,Paramètres!$A$1:$I$89,3,0)*0.475*44/12</f>
        <v>2.0732608460988415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8.7642912355400515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-6.3550942286383367E-14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335.04906256888819</v>
      </c>
      <c r="EP198" s="59">
        <f t="shared" si="210"/>
        <v>440.84111898279554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14.166067622660265</v>
      </c>
      <c r="EW198" s="21">
        <f>EXP(-LN(2)/25)*EW197+(1-EXP(-LN(2)/25))/(LN(2)/25)*Calculateur!ER198*Calculateur!ET198*VLOOKUP('Données projet'!$B$15,Paramètres!$A$1:$I$89,3,0)*0.475*44/12</f>
        <v>1.1877154686493627</v>
      </c>
      <c r="EX198" s="21">
        <f>EXP(-LN(2)/2)*EX197+(1-EXP(-LN(2)/2))/(LN(2)/2)*ER198*EU198*VLOOKUP('Données projet'!$B$15,Paramètres!$A$1:$I$89,3,0)*0.475*44/12</f>
        <v>2.893575001265352E-20</v>
      </c>
      <c r="EY198" s="22">
        <f t="shared" si="181"/>
        <v>15.353783091309626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1.7053025658242404E-13</v>
      </c>
      <c r="O199" s="13">
        <f>N199*VLOOKUP('Données projet'!$B$9,Paramètres!$A$1:$I$89,3,0)*VLOOKUP('Données projet'!$B$9,Paramètres!$A$1:$I$89,5,0)</f>
        <v>1.383341441396624E-13</v>
      </c>
      <c r="P199" s="13">
        <f t="shared" si="203"/>
        <v>2.0011390722884082E-12</v>
      </c>
      <c r="Q199" s="20">
        <f t="shared" si="162"/>
        <v>3.7262491852788889E-12</v>
      </c>
      <c r="R199" s="59">
        <f t="shared" si="191"/>
        <v>293.33333333333707</v>
      </c>
      <c r="S199" s="59">
        <f ca="1">AVERAGE(OFFSET($R$3,0,0,'Données projet'!$E$9+1,1))-AVERAGE(OFFSET($H$3,0,0,'Données projet'!$E$9+1,1))</f>
        <v>298.96480270023716</v>
      </c>
      <c r="T199" s="59">
        <f t="shared" si="204"/>
        <v>293.11447542333889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8.4087782292650299</v>
      </c>
      <c r="AA199" s="21">
        <f>EXP(-LN(2)/25)*AA198+(1-EXP(-LN(2)/25))/(LN(2)/25)*Calculateur!V199*Calculateur!X199*VLOOKUP('Données projet'!$B$9,Paramètres!$A$1:$I$89,3,0)*0.475*44/12</f>
        <v>2.584958049957915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10.993736279222945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1.9895196601282805E-13</v>
      </c>
      <c r="AJ199" s="13">
        <f>AI199*VLOOKUP('Données projet'!$B$10,Paramètres!$A$1:$I$89,3,0)*VLOOKUP('Données projet'!$B$10,Paramètres!$A$1:$I$89,5,0)</f>
        <v>1.707007868390065E-13</v>
      </c>
      <c r="AK199" s="13">
        <f t="shared" si="164"/>
        <v>2.4096578055149408E-12</v>
      </c>
      <c r="AL199" s="20">
        <f t="shared" si="165"/>
        <v>4.4941245483497909E-12</v>
      </c>
      <c r="AM199" s="59">
        <f t="shared" si="193"/>
        <v>293.33333333333781</v>
      </c>
      <c r="AN199" s="59">
        <f ca="1">AVERAGE(OFFSET($AM$3,0,0,'Données projet'!$E$10+1,1))-AVERAGE(OFFSET($H$3,0,0,'Données projet'!$E$10+1,1))</f>
        <v>335.02113791949211</v>
      </c>
      <c r="AO199" s="59">
        <f t="shared" si="205"/>
        <v>222.06886429435099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25.17296784151052</v>
      </c>
      <c r="AV199" s="21">
        <f>EXP(-LN(2)/25)*AV198+(1-EXP(-LN(2)/25))/(LN(2)/25)*Calculateur!AQ199*Calculateur!AS199*VLOOKUP('Données projet'!$B$10,Paramètres!$A$1:$I$89,3,0)*0.475*44/12</f>
        <v>9.3889090350577735</v>
      </c>
      <c r="AW199" s="21">
        <f>EXP(-LN(2)/2)*AW198+(1-EXP(-LN(2)/2))/(LN(2)/2)*AQ199*AT199*VLOOKUP('Données projet'!$B$10,Paramètres!$A$1:$I$89,3,0)*0.475*44/12</f>
        <v>1.0438334079490222E-10</v>
      </c>
      <c r="AX199" s="21">
        <f t="shared" si="166"/>
        <v>34.561876876672677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-3.1036506698001178E-14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207.02306964567629</v>
      </c>
      <c r="BJ199" s="59">
        <f t="shared" si="206"/>
        <v>342.06887933351783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3.0703109962617554</v>
      </c>
      <c r="BQ199" s="21">
        <f>EXP(-LN(2)/25)*BQ198+(1-EXP(-LN(2)/25))/(LN(2)/25)*Calculateur!BL199*Calculateur!BN199*VLOOKUP('Données projet'!$B$11,Paramètres!$A$1:$I$89,3,0)*0.475*44/12</f>
        <v>1.9835551093973172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5.0538661056590728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233.89079999999998</v>
      </c>
      <c r="CA199" s="13">
        <f t="shared" si="170"/>
        <v>57.123140349023068</v>
      </c>
      <c r="CB199" s="20">
        <f t="shared" si="171"/>
        <v>506.84927944121517</v>
      </c>
      <c r="CC199" s="59">
        <f t="shared" si="195"/>
        <v>800.18261277454849</v>
      </c>
      <c r="CD199" s="59">
        <f ca="1">AVERAGE(OFFSET($CC$3,0,0,'Données projet'!$E$12+1,1))-AVERAGE(OFFSET($H$3,0,0,'Données projet'!$E$12+1,1))</f>
        <v>328.55201074501201</v>
      </c>
      <c r="CE199" s="59">
        <f t="shared" si="207"/>
        <v>321.81422611044985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3.3658404252779359</v>
      </c>
      <c r="CL199" s="21">
        <f>EXP(-LN(2)/25)*CL198+(1-EXP(-LN(2)/25))/(LN(2)/25)*Calculateur!CG199*Calculateur!CI199*VLOOKUP('Données projet'!$B$12,Paramètres!$A$1:$I$89,3,0)*0.475*44/12</f>
        <v>0.22626826448129989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3.592108689759236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354.24684313982857</v>
      </c>
      <c r="CZ199" s="59">
        <f t="shared" si="208"/>
        <v>322.65043486962185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14.623582720854063</v>
      </c>
      <c r="DG199" s="21">
        <f>EXP(-LN(2)/25)*DG198+(1-EXP(-LN(2)/25))/(LN(2)/25)*Calculateur!DB199*Calculateur!DD199*VLOOKUP('Données projet'!$B$13,Paramètres!$A$1:$I$89,3,0)*0.475*44/12</f>
        <v>2.4435823709869631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17.067165091841026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1.7053025658242404E-13</v>
      </c>
      <c r="DP199" s="17">
        <f>DO199*VLOOKUP('Données projet'!$B$14,Paramètres!$A$1:$I$89,3,0)*VLOOKUP('Données projet'!$B$14,Paramètres!$A$1:$I$89,5,0)</f>
        <v>1.3301360013429075E-13</v>
      </c>
      <c r="DQ199" s="13">
        <f t="shared" si="176"/>
        <v>1.9329766731057041E-12</v>
      </c>
      <c r="DR199" s="20">
        <f t="shared" si="177"/>
        <v>3.5982663925596575E-12</v>
      </c>
      <c r="DS199" s="59">
        <f t="shared" si="197"/>
        <v>293.3333333333369</v>
      </c>
      <c r="DT199" s="59">
        <f ca="1">AVERAGE(OFFSET($DS$3,0,0,'Données projet'!$E$14+1,1))-AVERAGE(OFFSET($H$3,0,0,'Données projet'!$E$14+1,1))</f>
        <v>288.80569134263209</v>
      </c>
      <c r="DU199" s="59">
        <f t="shared" si="209"/>
        <v>283.48738729114024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6.5598233646298274</v>
      </c>
      <c r="EB199" s="21">
        <f>EXP(-LN(2)/25)*EB198+(1-EXP(-LN(2)/25))/(LN(2)/25)*Calculateur!DW199*Calculateur!DY199*VLOOKUP('Données projet'!$B$14,Paramètres!$A$1:$I$89,3,0)*0.475*44/12</f>
        <v>2.0165674192342191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8.5763907838640456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-6.3550942286383367E-14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335.04906256888819</v>
      </c>
      <c r="EP199" s="59">
        <f t="shared" si="210"/>
        <v>440.84111898279554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13.888279677027974</v>
      </c>
      <c r="EW199" s="21">
        <f>EXP(-LN(2)/25)*EW198+(1-EXP(-LN(2)/25))/(LN(2)/25)*Calculateur!ER199*Calculateur!ET199*VLOOKUP('Données projet'!$B$15,Paramètres!$A$1:$I$89,3,0)*0.475*44/12</f>
        <v>1.1552373266999039</v>
      </c>
      <c r="EX199" s="21">
        <f>EXP(-LN(2)/2)*EX198+(1-EXP(-LN(2)/2))/(LN(2)/2)*ER199*EU199*VLOOKUP('Données projet'!$B$15,Paramètres!$A$1:$I$89,3,0)*0.475*44/12</f>
        <v>2.0460665052666032E-20</v>
      </c>
      <c r="EY199" s="22">
        <f t="shared" si="181"/>
        <v>15.043517003727878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1.7053025658242404E-13</v>
      </c>
      <c r="O200" s="13">
        <f>N200*VLOOKUP('Données projet'!$B$9,Paramètres!$A$1:$I$89,3,0)*VLOOKUP('Données projet'!$B$9,Paramètres!$A$1:$I$89,5,0)</f>
        <v>1.383341441396624E-13</v>
      </c>
      <c r="P200" s="13">
        <f t="shared" si="203"/>
        <v>2.0011390722884082E-12</v>
      </c>
      <c r="Q200" s="20">
        <f t="shared" si="162"/>
        <v>3.7262491852788889E-12</v>
      </c>
      <c r="R200" s="59">
        <f t="shared" si="191"/>
        <v>293.33333333333707</v>
      </c>
      <c r="S200" s="59">
        <f ca="1">AVERAGE(OFFSET($R$3,0,0,'Données projet'!$E$9+1,1))-AVERAGE(OFFSET($H$3,0,0,'Données projet'!$E$9+1,1))</f>
        <v>298.96480270023716</v>
      </c>
      <c r="T200" s="59">
        <f t="shared" si="204"/>
        <v>293.11447542333889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8.2438872170374307</v>
      </c>
      <c r="AA200" s="21">
        <f>EXP(-LN(2)/25)*AA199+(1-EXP(-LN(2)/25))/(LN(2)/25)*Calculateur!V200*Calculateur!X200*VLOOKUP('Données projet'!$B$9,Paramètres!$A$1:$I$89,3,0)*0.475*44/12</f>
        <v>2.5142722361447798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10.758159453182211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1.9895196601282805E-13</v>
      </c>
      <c r="AJ200" s="13">
        <f>AI200*VLOOKUP('Données projet'!$B$10,Paramètres!$A$1:$I$89,3,0)*VLOOKUP('Données projet'!$B$10,Paramètres!$A$1:$I$89,5,0)</f>
        <v>1.707007868390065E-13</v>
      </c>
      <c r="AK200" s="13">
        <f t="shared" si="164"/>
        <v>2.4096578055149408E-12</v>
      </c>
      <c r="AL200" s="20">
        <f t="shared" si="165"/>
        <v>4.4941245483497909E-12</v>
      </c>
      <c r="AM200" s="59">
        <f t="shared" si="193"/>
        <v>293.33333333333781</v>
      </c>
      <c r="AN200" s="59">
        <f ca="1">AVERAGE(OFFSET($AM$3,0,0,'Données projet'!$E$10+1,1))-AVERAGE(OFFSET($H$3,0,0,'Données projet'!$E$10+1,1))</f>
        <v>335.02113791949211</v>
      </c>
      <c r="AO200" s="59">
        <f t="shared" si="205"/>
        <v>222.06886429435099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24.679341296132801</v>
      </c>
      <c r="AV200" s="21">
        <f>EXP(-LN(2)/25)*AV199+(1-EXP(-LN(2)/25))/(LN(2)/25)*Calculateur!AQ200*Calculateur!AS200*VLOOKUP('Données projet'!$B$10,Paramètres!$A$1:$I$89,3,0)*0.475*44/12</f>
        <v>9.1321688237528509</v>
      </c>
      <c r="AW200" s="21">
        <f>EXP(-LN(2)/2)*AW199+(1-EXP(-LN(2)/2))/(LN(2)/2)*AQ200*AT200*VLOOKUP('Données projet'!$B$10,Paramètres!$A$1:$I$89,3,0)*0.475*44/12</f>
        <v>7.3810168118981745E-11</v>
      </c>
      <c r="AX200" s="21">
        <f t="shared" si="166"/>
        <v>33.811510119959465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-3.1036506698001178E-14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207.02306964567629</v>
      </c>
      <c r="BJ200" s="59">
        <f t="shared" si="206"/>
        <v>342.06887933351783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3.0101040703298558</v>
      </c>
      <c r="BQ200" s="21">
        <f>EXP(-LN(2)/25)*BQ199+(1-EXP(-LN(2)/25))/(LN(2)/25)*Calculateur!BL200*Calculateur!BN200*VLOOKUP('Données projet'!$B$11,Paramètres!$A$1:$I$89,3,0)*0.475*44/12</f>
        <v>1.9293146906202179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4.9394187609500735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233.89079999999998</v>
      </c>
      <c r="CA200" s="13">
        <f t="shared" si="170"/>
        <v>57.123140349023068</v>
      </c>
      <c r="CB200" s="20">
        <f t="shared" si="171"/>
        <v>506.84927944121517</v>
      </c>
      <c r="CC200" s="59">
        <f t="shared" si="195"/>
        <v>800.18261277454849</v>
      </c>
      <c r="CD200" s="59">
        <f ca="1">AVERAGE(OFFSET($CC$3,0,0,'Données projet'!$E$12+1,1))-AVERAGE(OFFSET($H$3,0,0,'Données projet'!$E$12+1,1))</f>
        <v>328.55201074501201</v>
      </c>
      <c r="CE200" s="59">
        <f t="shared" si="207"/>
        <v>321.81422611044985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3.2998383474981821</v>
      </c>
      <c r="CL200" s="21">
        <f>EXP(-LN(2)/25)*CL199+(1-EXP(-LN(2)/25))/(LN(2)/25)*Calculateur!CG200*Calculateur!CI200*VLOOKUP('Données projet'!$B$12,Paramètres!$A$1:$I$89,3,0)*0.475*44/12</f>
        <v>0.22008094689012786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3.51991929438831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354.24684313982857</v>
      </c>
      <c r="CZ200" s="59">
        <f t="shared" si="208"/>
        <v>322.65043486962185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14.336823183202847</v>
      </c>
      <c r="DG200" s="21">
        <f>EXP(-LN(2)/25)*DG199+(1-EXP(-LN(2)/25))/(LN(2)/25)*Calculateur!DB200*Calculateur!DD200*VLOOKUP('Données projet'!$B$13,Paramètres!$A$1:$I$89,3,0)*0.475*44/12</f>
        <v>2.3767624825499127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16.71358566575276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1.7053025658242404E-13</v>
      </c>
      <c r="DP200" s="17">
        <f>DO200*VLOOKUP('Données projet'!$B$14,Paramètres!$A$1:$I$89,3,0)*VLOOKUP('Données projet'!$B$14,Paramètres!$A$1:$I$89,5,0)</f>
        <v>1.3301360013429075E-13</v>
      </c>
      <c r="DQ200" s="13">
        <f t="shared" si="176"/>
        <v>1.9329766731057041E-12</v>
      </c>
      <c r="DR200" s="20">
        <f t="shared" si="177"/>
        <v>3.5982663925596575E-12</v>
      </c>
      <c r="DS200" s="59">
        <f t="shared" si="197"/>
        <v>293.3333333333369</v>
      </c>
      <c r="DT200" s="59">
        <f ca="1">AVERAGE(OFFSET($DS$3,0,0,'Données projet'!$E$14+1,1))-AVERAGE(OFFSET($H$3,0,0,'Données projet'!$E$14+1,1))</f>
        <v>288.80569134263209</v>
      </c>
      <c r="DU200" s="59">
        <f t="shared" si="209"/>
        <v>283.48738729114024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6.4311892295466135</v>
      </c>
      <c r="EB200" s="21">
        <f>EXP(-LN(2)/25)*EB199+(1-EXP(-LN(2)/25))/(LN(2)/25)*Calculateur!DW200*Calculateur!DY200*VLOOKUP('Données projet'!$B$14,Paramètres!$A$1:$I$89,3,0)*0.475*44/12</f>
        <v>1.9614242771085877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8.3926135066552021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-6.3550942286383367E-14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335.04906256888819</v>
      </c>
      <c r="EP200" s="59">
        <f t="shared" si="210"/>
        <v>440.84111898279554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13.615938983575615</v>
      </c>
      <c r="EW200" s="21">
        <f>EXP(-LN(2)/25)*EW199+(1-EXP(-LN(2)/25))/(LN(2)/25)*Calculateur!ER200*Calculateur!ET200*VLOOKUP('Données projet'!$B$15,Paramètres!$A$1:$I$89,3,0)*0.475*44/12</f>
        <v>1.1236473012500043</v>
      </c>
      <c r="EX200" s="21">
        <f>EXP(-LN(2)/2)*EX199+(1-EXP(-LN(2)/2))/(LN(2)/2)*ER200*EU200*VLOOKUP('Données projet'!$B$15,Paramètres!$A$1:$I$89,3,0)*0.475*44/12</f>
        <v>1.446787500632676E-20</v>
      </c>
      <c r="EY200" s="22">
        <f t="shared" si="181"/>
        <v>14.73958628482562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1.7053025658242404E-13</v>
      </c>
      <c r="O201" s="13">
        <f>N201*VLOOKUP('Données projet'!$B$9,Paramètres!$A$1:$I$89,3,0)*VLOOKUP('Données projet'!$B$9,Paramètres!$A$1:$I$89,5,0)</f>
        <v>1.383341441396624E-13</v>
      </c>
      <c r="P201" s="13">
        <f t="shared" si="203"/>
        <v>2.0011390722884082E-12</v>
      </c>
      <c r="Q201" s="20">
        <f t="shared" si="162"/>
        <v>3.7262491852788889E-12</v>
      </c>
      <c r="R201" s="59">
        <f t="shared" si="191"/>
        <v>293.33333333333707</v>
      </c>
      <c r="S201" s="59">
        <f ca="1">AVERAGE(OFFSET($R$3,0,0,'Données projet'!$E$9+1,1))-AVERAGE(OFFSET($H$3,0,0,'Données projet'!$E$9+1,1))</f>
        <v>298.96480270023716</v>
      </c>
      <c r="T201" s="59">
        <f t="shared" si="204"/>
        <v>293.11447542333889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8.0822296169860284</v>
      </c>
      <c r="AA201" s="21">
        <f>EXP(-LN(2)/25)*AA200+(1-EXP(-LN(2)/25))/(LN(2)/25)*Calculateur!V201*Calculateur!X201*VLOOKUP('Données projet'!$B$9,Paramètres!$A$1:$I$89,3,0)*0.475*44/12</f>
        <v>2.4455193296275701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10.527748946613599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1.9895196601282805E-13</v>
      </c>
      <c r="AJ201" s="13">
        <f>AI201*VLOOKUP('Données projet'!$B$10,Paramètres!$A$1:$I$89,3,0)*VLOOKUP('Données projet'!$B$10,Paramètres!$A$1:$I$89,5,0)</f>
        <v>1.707007868390065E-13</v>
      </c>
      <c r="AK201" s="13">
        <f t="shared" si="164"/>
        <v>2.4096578055149408E-12</v>
      </c>
      <c r="AL201" s="20">
        <f t="shared" si="165"/>
        <v>4.4941245483497909E-12</v>
      </c>
      <c r="AM201" s="59">
        <f t="shared" si="193"/>
        <v>293.33333333333781</v>
      </c>
      <c r="AN201" s="59">
        <f ca="1">AVERAGE(OFFSET($AM$3,0,0,'Données projet'!$E$10+1,1))-AVERAGE(OFFSET($H$3,0,0,'Données projet'!$E$10+1,1))</f>
        <v>335.02113791949211</v>
      </c>
      <c r="AO201" s="59">
        <f t="shared" si="205"/>
        <v>222.06886429435099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24.195394466227476</v>
      </c>
      <c r="AV201" s="21">
        <f>EXP(-LN(2)/25)*AV200+(1-EXP(-LN(2)/25))/(LN(2)/25)*Calculateur!AQ201*Calculateur!AS201*VLOOKUP('Données projet'!$B$10,Paramètres!$A$1:$I$89,3,0)*0.475*44/12</f>
        <v>8.8824491870274418</v>
      </c>
      <c r="AW201" s="21">
        <f>EXP(-LN(2)/2)*AW200+(1-EXP(-LN(2)/2))/(LN(2)/2)*AQ201*AT201*VLOOKUP('Données projet'!$B$10,Paramètres!$A$1:$I$89,3,0)*0.475*44/12</f>
        <v>5.2191670397451112E-11</v>
      </c>
      <c r="AX201" s="21">
        <f t="shared" si="166"/>
        <v>33.077843653307106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-3.1036506698001178E-14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207.02306964567629</v>
      </c>
      <c r="BJ201" s="59">
        <f t="shared" si="206"/>
        <v>342.06887933351783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2.9510777654928821</v>
      </c>
      <c r="BQ201" s="21">
        <f>EXP(-LN(2)/25)*BQ200+(1-EXP(-LN(2)/25))/(LN(2)/25)*Calculateur!BL201*Calculateur!BN201*VLOOKUP('Données projet'!$B$11,Paramètres!$A$1:$I$89,3,0)*0.475*44/12</f>
        <v>1.8765574789469579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4.8276352444398398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233.89079999999998</v>
      </c>
      <c r="CA201" s="13">
        <f t="shared" si="170"/>
        <v>57.123140349023068</v>
      </c>
      <c r="CB201" s="20">
        <f t="shared" si="171"/>
        <v>506.84927944121517</v>
      </c>
      <c r="CC201" s="59">
        <f t="shared" si="195"/>
        <v>800.18261277454849</v>
      </c>
      <c r="CD201" s="59">
        <f ca="1">AVERAGE(OFFSET($CC$3,0,0,'Données projet'!$E$12+1,1))-AVERAGE(OFFSET($H$3,0,0,'Données projet'!$E$12+1,1))</f>
        <v>328.55201074501201</v>
      </c>
      <c r="CE201" s="59">
        <f t="shared" si="207"/>
        <v>321.81422611044985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3.2351305302063968</v>
      </c>
      <c r="CL201" s="21">
        <f>EXP(-LN(2)/25)*CL200+(1-EXP(-LN(2)/25))/(LN(2)/25)*Calculateur!CG201*Calculateur!CI201*VLOOKUP('Données projet'!$B$12,Paramètres!$A$1:$I$89,3,0)*0.475*44/12</f>
        <v>0.21406282182386333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3.4491933520302602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354.24684313982857</v>
      </c>
      <c r="CZ201" s="59">
        <f t="shared" si="208"/>
        <v>322.65043486962185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14.055686825178924</v>
      </c>
      <c r="DG201" s="21">
        <f>EXP(-LN(2)/25)*DG200+(1-EXP(-LN(2)/25))/(LN(2)/25)*Calculateur!DB201*Calculateur!DD201*VLOOKUP('Données projet'!$B$13,Paramètres!$A$1:$I$89,3,0)*0.475*44/12</f>
        <v>2.3117697874760785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16.367456612655001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1.7053025658242404E-13</v>
      </c>
      <c r="DP201" s="17">
        <f>DO201*VLOOKUP('Données projet'!$B$14,Paramètres!$A$1:$I$89,3,0)*VLOOKUP('Données projet'!$B$14,Paramètres!$A$1:$I$89,5,0)</f>
        <v>1.3301360013429075E-13</v>
      </c>
      <c r="DQ201" s="13">
        <f t="shared" si="176"/>
        <v>1.9329766731057041E-12</v>
      </c>
      <c r="DR201" s="20">
        <f t="shared" si="177"/>
        <v>3.5982663925596575E-12</v>
      </c>
      <c r="DS201" s="59">
        <f t="shared" si="197"/>
        <v>293.3333333333369</v>
      </c>
      <c r="DT201" s="59">
        <f ca="1">AVERAGE(OFFSET($DS$3,0,0,'Données projet'!$E$14+1,1))-AVERAGE(OFFSET($H$3,0,0,'Données projet'!$E$14+1,1))</f>
        <v>288.80569134263209</v>
      </c>
      <c r="DU201" s="59">
        <f t="shared" si="209"/>
        <v>283.48738729114024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6.3050775313933061</v>
      </c>
      <c r="EB201" s="21">
        <f>EXP(-LN(2)/25)*EB200+(1-EXP(-LN(2)/25))/(LN(2)/25)*Calculateur!DW201*Calculateur!DY201*VLOOKUP('Données projet'!$B$14,Paramètres!$A$1:$I$89,3,0)*0.475*44/12</f>
        <v>1.9077890271042335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8.2128665584975398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-6.3550942286383367E-14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335.04906256888819</v>
      </c>
      <c r="EP201" s="59">
        <f t="shared" si="210"/>
        <v>440.84111898279554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13.348938725010436</v>
      </c>
      <c r="EW201" s="21">
        <f>EXP(-LN(2)/25)*EW200+(1-EXP(-LN(2)/25))/(LN(2)/25)*Calculateur!ER201*Calculateur!ET201*VLOOKUP('Données projet'!$B$15,Paramètres!$A$1:$I$89,3,0)*0.475*44/12</f>
        <v>1.0929211067072795</v>
      </c>
      <c r="EX201" s="21">
        <f>EXP(-LN(2)/2)*EX200+(1-EXP(-LN(2)/2))/(LN(2)/2)*ER201*EU201*VLOOKUP('Données projet'!$B$15,Paramètres!$A$1:$I$89,3,0)*0.475*44/12</f>
        <v>1.0230332526333016E-20</v>
      </c>
      <c r="EY201" s="22">
        <f t="shared" si="181"/>
        <v>14.441859831717716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1.7053025658242404E-13</v>
      </c>
      <c r="O202" s="13">
        <f>N202*VLOOKUP('Données projet'!$B$9,Paramètres!$A$1:$I$89,3,0)*VLOOKUP('Données projet'!$B$9,Paramètres!$A$1:$I$89,5,0)</f>
        <v>1.383341441396624E-13</v>
      </c>
      <c r="P202" s="13">
        <f t="shared" si="203"/>
        <v>2.0011390722884082E-12</v>
      </c>
      <c r="Q202" s="20">
        <f t="shared" si="162"/>
        <v>3.7262491852788889E-12</v>
      </c>
      <c r="R202" s="59">
        <f t="shared" si="191"/>
        <v>293.33333333333707</v>
      </c>
      <c r="S202" s="59">
        <f ca="1">AVERAGE(OFFSET($R$3,0,0,'Données projet'!$E$9+1,1))-AVERAGE(OFFSET($H$3,0,0,'Données projet'!$E$9+1,1))</f>
        <v>298.96480270023716</v>
      </c>
      <c r="T202" s="59">
        <f t="shared" si="204"/>
        <v>293.11447542333889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7.9237420238702336</v>
      </c>
      <c r="AA202" s="21">
        <f>EXP(-LN(2)/25)*AA201+(1-EXP(-LN(2)/25))/(LN(2)/25)*Calculateur!V202*Calculateur!X202*VLOOKUP('Données projet'!$B$9,Paramètres!$A$1:$I$89,3,0)*0.475*44/12</f>
        <v>2.3786464749546319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10.302388498824865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1.9895196601282805E-13</v>
      </c>
      <c r="AJ202" s="13">
        <f>AI202*VLOOKUP('Données projet'!$B$10,Paramètres!$A$1:$I$89,3,0)*VLOOKUP('Données projet'!$B$10,Paramètres!$A$1:$I$89,5,0)</f>
        <v>1.707007868390065E-13</v>
      </c>
      <c r="AK202" s="13">
        <f t="shared" si="164"/>
        <v>2.4096578055149408E-12</v>
      </c>
      <c r="AL202" s="20">
        <f t="shared" si="165"/>
        <v>4.4941245483497909E-12</v>
      </c>
      <c r="AM202" s="59">
        <f t="shared" si="193"/>
        <v>293.33333333333781</v>
      </c>
      <c r="AN202" s="59">
        <f ca="1">AVERAGE(OFFSET($AM$3,0,0,'Données projet'!$E$10+1,1))-AVERAGE(OFFSET($H$3,0,0,'Données projet'!$E$10+1,1))</f>
        <v>335.02113791949211</v>
      </c>
      <c r="AO202" s="59">
        <f t="shared" si="205"/>
        <v>222.06886429435099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23.720937538478175</v>
      </c>
      <c r="AV202" s="21">
        <f>EXP(-LN(2)/25)*AV201+(1-EXP(-LN(2)/25))/(LN(2)/25)*Calculateur!AQ202*Calculateur!AS202*VLOOKUP('Données projet'!$B$10,Paramètres!$A$1:$I$89,3,0)*0.475*44/12</f>
        <v>8.639558146900475</v>
      </c>
      <c r="AW202" s="21">
        <f>EXP(-LN(2)/2)*AW201+(1-EXP(-LN(2)/2))/(LN(2)/2)*AQ202*AT202*VLOOKUP('Données projet'!$B$10,Paramètres!$A$1:$I$89,3,0)*0.475*44/12</f>
        <v>3.6905084059490872E-11</v>
      </c>
      <c r="AX202" s="21">
        <f t="shared" si="166"/>
        <v>32.360495685415557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-3.1036506698001178E-14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207.02306964567629</v>
      </c>
      <c r="BJ202" s="59">
        <f t="shared" si="206"/>
        <v>342.06887933351783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2.8932089304912703</v>
      </c>
      <c r="BQ202" s="21">
        <f>EXP(-LN(2)/25)*BQ201+(1-EXP(-LN(2)/25))/(LN(2)/25)*Calculateur!BL202*Calculateur!BN202*VLOOKUP('Données projet'!$B$11,Paramètres!$A$1:$I$89,3,0)*0.475*44/12</f>
        <v>1.8252429160012844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4.7184518464925542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233.89079999999998</v>
      </c>
      <c r="CA202" s="13">
        <f t="shared" si="170"/>
        <v>57.123140349023068</v>
      </c>
      <c r="CB202" s="20">
        <f t="shared" si="171"/>
        <v>506.84927944121517</v>
      </c>
      <c r="CC202" s="59">
        <f t="shared" si="195"/>
        <v>800.18261277454849</v>
      </c>
      <c r="CD202" s="59">
        <f ca="1">AVERAGE(OFFSET($CC$3,0,0,'Données projet'!$E$12+1,1))-AVERAGE(OFFSET($H$3,0,0,'Données projet'!$E$12+1,1))</f>
        <v>328.55201074501201</v>
      </c>
      <c r="CE202" s="59">
        <f t="shared" si="207"/>
        <v>321.81422611044985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3.1716915937438319</v>
      </c>
      <c r="CL202" s="21">
        <f>EXP(-LN(2)/25)*CL201+(1-EXP(-LN(2)/25))/(LN(2)/25)*Calculateur!CG202*Calculateur!CI202*VLOOKUP('Données projet'!$B$12,Paramètres!$A$1:$I$89,3,0)*0.475*44/12</f>
        <v>0.20820926270401524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3.379900856447847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354.24684313982857</v>
      </c>
      <c r="CZ202" s="59">
        <f t="shared" si="208"/>
        <v>322.65043486962185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13.780063379659603</v>
      </c>
      <c r="DG202" s="21">
        <f>EXP(-LN(2)/25)*DG201+(1-EXP(-LN(2)/25))/(LN(2)/25)*Calculateur!DB202*Calculateur!DD202*VLOOKUP('Données projet'!$B$13,Paramètres!$A$1:$I$89,3,0)*0.475*44/12</f>
        <v>2.2485543210668557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16.028617700726461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1.7053025658242404E-13</v>
      </c>
      <c r="DP202" s="17">
        <f>DO202*VLOOKUP('Données projet'!$B$14,Paramètres!$A$1:$I$89,3,0)*VLOOKUP('Données projet'!$B$14,Paramètres!$A$1:$I$89,5,0)</f>
        <v>1.3301360013429075E-13</v>
      </c>
      <c r="DQ202" s="13">
        <f t="shared" si="176"/>
        <v>1.9329766731057041E-12</v>
      </c>
      <c r="DR202" s="20">
        <f t="shared" si="177"/>
        <v>3.5982663925596575E-12</v>
      </c>
      <c r="DS202" s="59">
        <f t="shared" si="197"/>
        <v>293.3333333333369</v>
      </c>
      <c r="DT202" s="59">
        <f ca="1">AVERAGE(OFFSET($DS$3,0,0,'Données projet'!$E$14+1,1))-AVERAGE(OFFSET($H$3,0,0,'Données projet'!$E$14+1,1))</f>
        <v>288.80569134263209</v>
      </c>
      <c r="DU202" s="59">
        <f t="shared" si="209"/>
        <v>283.48738729114024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6.1814388067202444</v>
      </c>
      <c r="EB202" s="21">
        <f>EXP(-LN(2)/25)*EB201+(1-EXP(-LN(2)/25))/(LN(2)/25)*Calculateur!DW202*Calculateur!DY202*VLOOKUP('Données projet'!$B$14,Paramètres!$A$1:$I$89,3,0)*0.475*44/12</f>
        <v>1.8556204358318036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8.0370592425520471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-6.3550942286383367E-14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335.04906256888819</v>
      </c>
      <c r="EP202" s="59">
        <f t="shared" si="210"/>
        <v>440.84111898279554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13.087174178661643</v>
      </c>
      <c r="EW202" s="21">
        <f>EXP(-LN(2)/25)*EW201+(1-EXP(-LN(2)/25))/(LN(2)/25)*Calculateur!ER202*Calculateur!ET202*VLOOKUP('Données projet'!$B$15,Paramètres!$A$1:$I$89,3,0)*0.475*44/12</f>
        <v>1.0630351215701459</v>
      </c>
      <c r="EX202" s="21">
        <f>EXP(-LN(2)/2)*EX201+(1-EXP(-LN(2)/2))/(LN(2)/2)*ER202*EU202*VLOOKUP('Données projet'!$B$15,Paramètres!$A$1:$I$89,3,0)*0.475*44/12</f>
        <v>7.2339375031633799E-21</v>
      </c>
      <c r="EY202" s="22">
        <f t="shared" si="181"/>
        <v>14.150209300231788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1.7053025658242404E-13</v>
      </c>
      <c r="O203" s="13">
        <f>N203*VLOOKUP('Données projet'!$B$9,Paramètres!$A$1:$I$89,3,0)*VLOOKUP('Données projet'!$B$9,Paramètres!$A$1:$I$89,5,0)</f>
        <v>1.383341441396624E-13</v>
      </c>
      <c r="P203" s="13">
        <f t="shared" si="203"/>
        <v>2.0011390722884082E-12</v>
      </c>
      <c r="Q203" s="20">
        <f t="shared" si="162"/>
        <v>3.7262491852788889E-12</v>
      </c>
      <c r="R203" s="59">
        <f t="shared" si="191"/>
        <v>293.33333333333707</v>
      </c>
      <c r="S203" s="59">
        <f ca="1">AVERAGE(OFFSET($R$3,0,0,'Données projet'!$E$9+1,1))-AVERAGE(OFFSET($H$3,0,0,'Données projet'!$E$9+1,1))</f>
        <v>298.96480270023716</v>
      </c>
      <c r="T203" s="59">
        <f t="shared" si="204"/>
        <v>293.11447542333889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7.7683622757875535</v>
      </c>
      <c r="AA203" s="21">
        <f>EXP(-LN(2)/25)*AA202+(1-EXP(-LN(2)/25))/(LN(2)/25)*Calculateur!V203*Calculateur!X203*VLOOKUP('Données projet'!$B$9,Paramètres!$A$1:$I$89,3,0)*0.475*44/12</f>
        <v>2.3136022620094159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10.081964537796969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1.9895196601282805E-13</v>
      </c>
      <c r="AJ203" s="13">
        <f>AI203*VLOOKUP('Données projet'!$B$10,Paramètres!$A$1:$I$89,3,0)*VLOOKUP('Données projet'!$B$10,Paramètres!$A$1:$I$89,5,0)</f>
        <v>1.707007868390065E-13</v>
      </c>
      <c r="AK203" s="13">
        <f t="shared" si="164"/>
        <v>2.4096578055149408E-12</v>
      </c>
      <c r="AL203" s="20">
        <f t="shared" si="165"/>
        <v>4.4941245483497909E-12</v>
      </c>
      <c r="AM203" s="59">
        <f t="shared" si="193"/>
        <v>293.33333333333781</v>
      </c>
      <c r="AN203" s="59">
        <f ca="1">AVERAGE(OFFSET($AM$3,0,0,'Données projet'!$E$10+1,1))-AVERAGE(OFFSET($H$3,0,0,'Données projet'!$E$10+1,1))</f>
        <v>335.02113791949211</v>
      </c>
      <c r="AO203" s="59">
        <f t="shared" si="205"/>
        <v>222.06886429435099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23.255784421691885</v>
      </c>
      <c r="AV203" s="21">
        <f>EXP(-LN(2)/25)*AV202+(1-EXP(-LN(2)/25))/(LN(2)/25)*Calculateur!AQ203*Calculateur!AS203*VLOOKUP('Données projet'!$B$10,Paramètres!$A$1:$I$89,3,0)*0.475*44/12</f>
        <v>8.4033089750388648</v>
      </c>
      <c r="AW203" s="21">
        <f>EXP(-LN(2)/2)*AW202+(1-EXP(-LN(2)/2))/(LN(2)/2)*AQ203*AT203*VLOOKUP('Données projet'!$B$10,Paramètres!$A$1:$I$89,3,0)*0.475*44/12</f>
        <v>2.6095835198725556E-11</v>
      </c>
      <c r="AX203" s="21">
        <f t="shared" si="166"/>
        <v>31.659093396756845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-3.1036506698001178E-14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207.02306964567629</v>
      </c>
      <c r="BJ203" s="59">
        <f t="shared" si="206"/>
        <v>342.06887933351783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2.836474868047536</v>
      </c>
      <c r="BQ203" s="21">
        <f>EXP(-LN(2)/25)*BQ202+(1-EXP(-LN(2)/25))/(LN(2)/25)*Calculateur!BL203*Calculateur!BN203*VLOOKUP('Données projet'!$B$11,Paramètres!$A$1:$I$89,3,0)*0.475*44/12</f>
        <v>1.7753315524778759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4.6118064205254115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233.89079999999998</v>
      </c>
      <c r="CA203" s="13">
        <f t="shared" si="170"/>
        <v>57.123140349023068</v>
      </c>
      <c r="CB203" s="20">
        <f t="shared" si="171"/>
        <v>506.84927944121517</v>
      </c>
      <c r="CC203" s="59">
        <f t="shared" si="195"/>
        <v>800.18261277454849</v>
      </c>
      <c r="CD203" s="59">
        <f ca="1">AVERAGE(OFFSET($CC$3,0,0,'Données projet'!$E$12+1,1))-AVERAGE(OFFSET($H$3,0,0,'Données projet'!$E$12+1,1))</f>
        <v>328.55201074501201</v>
      </c>
      <c r="CE203" s="59">
        <f t="shared" si="207"/>
        <v>321.81422611044985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3.1094966561313675</v>
      </c>
      <c r="CL203" s="21">
        <f>EXP(-LN(2)/25)*CL202+(1-EXP(-LN(2)/25))/(LN(2)/25)*Calculateur!CG203*Calculateur!CI203*VLOOKUP('Données projet'!$B$12,Paramètres!$A$1:$I$89,3,0)*0.475*44/12</f>
        <v>0.20251576946612468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3.3120124255974921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354.24684313982857</v>
      </c>
      <c r="CZ203" s="59">
        <f t="shared" si="208"/>
        <v>322.65043486962185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13.509844741793215</v>
      </c>
      <c r="DG203" s="21">
        <f>EXP(-LN(2)/25)*DG202+(1-EXP(-LN(2)/25))/(LN(2)/25)*Calculateur!DB203*Calculateur!DD203*VLOOKUP('Données projet'!$B$13,Paramètres!$A$1:$I$89,3,0)*0.475*44/12</f>
        <v>2.1870674849109499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15.696912226704164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1.7053025658242404E-13</v>
      </c>
      <c r="DP203" s="17">
        <f>DO203*VLOOKUP('Données projet'!$B$14,Paramètres!$A$1:$I$89,3,0)*VLOOKUP('Données projet'!$B$14,Paramètres!$A$1:$I$89,5,0)</f>
        <v>1.3301360013429075E-13</v>
      </c>
      <c r="DQ203" s="13">
        <f t="shared" si="176"/>
        <v>1.9329766731057041E-12</v>
      </c>
      <c r="DR203" s="20">
        <f t="shared" si="177"/>
        <v>3.5982663925596575E-12</v>
      </c>
      <c r="DS203" s="59">
        <f t="shared" si="197"/>
        <v>293.3333333333369</v>
      </c>
      <c r="DT203" s="59">
        <f ca="1">AVERAGE(OFFSET($DS$3,0,0,'Données projet'!$E$14+1,1))-AVERAGE(OFFSET($H$3,0,0,'Données projet'!$E$14+1,1))</f>
        <v>288.80569134263209</v>
      </c>
      <c r="DU203" s="59">
        <f t="shared" si="209"/>
        <v>283.48738729114024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6.0602245620258461</v>
      </c>
      <c r="EB203" s="21">
        <f>EXP(-LN(2)/25)*EB202+(1-EXP(-LN(2)/25))/(LN(2)/25)*Calculateur!DW203*Calculateur!DY203*VLOOKUP('Données projet'!$B$14,Paramètres!$A$1:$I$89,3,0)*0.475*44/12</f>
        <v>1.8048783974311453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7.8651029594569914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-6.3550942286383367E-14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335.04906256888819</v>
      </c>
      <c r="EP203" s="59">
        <f t="shared" si="210"/>
        <v>440.84111898279554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12.830542675406141</v>
      </c>
      <c r="EW203" s="21">
        <f>EXP(-LN(2)/25)*EW202+(1-EXP(-LN(2)/25))/(LN(2)/25)*Calculateur!ER203*Calculateur!ET203*VLOOKUP('Données projet'!$B$15,Paramètres!$A$1:$I$89,3,0)*0.475*44/12</f>
        <v>1.0339663702682229</v>
      </c>
      <c r="EX203" s="21">
        <f>EXP(-LN(2)/2)*EX202+(1-EXP(-LN(2)/2))/(LN(2)/2)*ER203*EU203*VLOOKUP('Données projet'!$B$15,Paramètres!$A$1:$I$89,3,0)*0.475*44/12</f>
        <v>5.115166263166508E-21</v>
      </c>
      <c r="EY203" s="22">
        <f t="shared" si="181"/>
        <v>13.864509045674364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1.2788040393997409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1.1648439739929921</v>
      </c>
      <c r="BA205" s="82">
        <f>EXP(LN('Données projet'!B88)/'Données projet'!A88)</f>
        <v>1.4860662319460807</v>
      </c>
      <c r="BV205" s="82">
        <f>EXP(LN('Données projet'!B114)/'Données projet'!A114)</f>
        <v>1.2709816152101407</v>
      </c>
      <c r="CQ205" s="82">
        <f>EXP(LN('Données projet'!B140)/'Données projet'!A140)</f>
        <v>1.4003603312913959</v>
      </c>
      <c r="DL205" s="82">
        <f>EXP(LN('Données projet'!B166)/'Données projet'!A166)</f>
        <v>1.2788040393997409</v>
      </c>
      <c r="EG205" s="82">
        <f>EXP(LN('Données projet'!B192)/'Données projet'!A192)</f>
        <v>1.3356034260773062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F1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Noyer</v>
      </c>
      <c r="B6" s="146">
        <f>'Données projet'!D9</f>
        <v>0.34284954432719988</v>
      </c>
      <c r="C6" s="147">
        <f ca="1">IF(OR('Données projet'!B9="",'Données projet'!C9="",'Données projet'!C9=0%),0,Calculateur!S3)</f>
        <v>298.96480270023716</v>
      </c>
      <c r="D6" s="147">
        <f>IF(OR('Données projet'!B9="",'Données projet'!C9="",'Données projet'!C9=0%),0,Calculateur!T3)</f>
        <v>293.11447542333889</v>
      </c>
      <c r="E6" s="147">
        <f ca="1">MIN(C6,D6)</f>
        <v>293.11447542333889</v>
      </c>
      <c r="F6" s="147">
        <f ca="1">E6*B6</f>
        <v>100.49416433459797</v>
      </c>
      <c r="G6" s="147">
        <f ca="1">F6*(100%-'Données projet'!$C$24)*(100%-'Données projet'!$C$25)*(100%-'Données projet'!$C$26)*(100%-'Données projet'!$C$27)</f>
        <v>90.444747901138172</v>
      </c>
      <c r="H6" s="148">
        <f>IF(OR('Données projet'!B9="",'Données projet'!C9="",'Données projet'!C9=0%),0,AVERAGE(Calculateur!$AC$3:$AC$33)*B6)</f>
        <v>1.0252749425555636</v>
      </c>
      <c r="I6" s="149">
        <f>H6*(100%-'Données projet'!$C$24)*(100%-'Données projet'!$C$25)*(100%-'Données projet'!$C$26)*(100%-'Données projet'!$C$27)</f>
        <v>0.92274744830000732</v>
      </c>
      <c r="J6" s="150">
        <f>IF(OR('Données projet'!B9="",'Données projet'!C9="",'Données projet'!C9=0%),0,SUM(Calculateur!$V$3:$V$33)*VLOOKUP('Données projet'!$B$9,Paramètres!$A$1:$I$89,9,0)*B6)</f>
        <v>4.7141812344989988</v>
      </c>
      <c r="K6" s="151">
        <f>J6*(100%-'Données projet'!$C$24)*(100%-'Données projet'!$C$25)*(100%-'Données projet'!$C$26)*(100%-'Données projet'!$C$27)</f>
        <v>4.2427631110490989</v>
      </c>
      <c r="L6" s="152">
        <f ca="1">G6+I6+K6</f>
        <v>95.610258460487273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Hêtre</v>
      </c>
      <c r="B7" s="154">
        <f>'Données projet'!D10</f>
        <v>0.18818711589451409</v>
      </c>
      <c r="C7" s="147">
        <f ca="1">IF(OR('Données projet'!B10="",'Données projet'!C10="",'Données projet'!C10=0%),0,Calculateur!AN3)</f>
        <v>335.02113791949211</v>
      </c>
      <c r="D7" s="147">
        <f>IF(OR('Données projet'!B10="",'Données projet'!C10="",'Données projet'!C10=0%),0,Calculateur!AO3)</f>
        <v>222.06886429435099</v>
      </c>
      <c r="E7" s="147">
        <f t="shared" ref="E7:E15" ca="1" si="0">MIN(C7,D7)</f>
        <v>222.06886429435099</v>
      </c>
      <c r="F7" s="147">
        <f t="shared" ref="F7:F15" ca="1" si="1">E7*B7</f>
        <v>41.790499101524148</v>
      </c>
      <c r="G7" s="147">
        <f ca="1">F7*(100%-'Données projet'!$C$24)*(100%-'Données projet'!$C$25)*(100%-'Données projet'!$C$26)*(100%-'Données projet'!$C$27)</f>
        <v>37.611449191371733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37.611449191371733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Mélèze hybride</v>
      </c>
      <c r="B8" s="154">
        <f>'Données projet'!D11</f>
        <v>0.71773690713256522</v>
      </c>
      <c r="C8" s="147">
        <f ca="1">IF(OR('Données projet'!B11="",'Données projet'!C11="",'Données projet'!C11=0%),0,Calculateur!BI3)</f>
        <v>207.02306964567629</v>
      </c>
      <c r="D8" s="147">
        <f>IF(OR('Données projet'!B11="",'Données projet'!C11="",'Données projet'!C11=0%),0,Calculateur!BJ3)</f>
        <v>342.06887933351783</v>
      </c>
      <c r="E8" s="147">
        <f t="shared" ca="1" si="0"/>
        <v>207.02306964567629</v>
      </c>
      <c r="F8" s="147">
        <f t="shared" ca="1" si="1"/>
        <v>148.58809771257734</v>
      </c>
      <c r="G8" s="147">
        <f ca="1">F8*(100%-'Données projet'!$C$24)*(100%-'Données projet'!$C$25)*(100%-'Données projet'!$C$26)*(100%-'Données projet'!$C$27)</f>
        <v>133.7292879413196</v>
      </c>
      <c r="H8" s="155">
        <f>IF(OR('Données projet'!B11="",'Données projet'!C11="",'Données projet'!C11=0%),0,AVERAGE(Calculateur!$BS$3:$BS$33)*B8)</f>
        <v>17.587666870298886</v>
      </c>
      <c r="I8" s="149">
        <f>H8*(100%-'Données projet'!$C$24)*(100%-'Données projet'!$C$25)*(100%-'Données projet'!$C$26)*(100%-'Données projet'!$C$27)</f>
        <v>15.828900183268997</v>
      </c>
      <c r="J8" s="150">
        <f>IF(OR('Données projet'!B11="",'Données projet'!C11="",'Données projet'!C11=0%),0,SUM(Calculateur!$BL$3:$BL$33)*VLOOKUP('Données projet'!$B$11,Paramètres!$A$1:$I$89,9,0)*B8)</f>
        <v>89.193165449363875</v>
      </c>
      <c r="K8" s="151">
        <f>J8*(100%-'Données projet'!$C$24)*(100%-'Données projet'!$C$25)*(100%-'Données projet'!$C$26)*(100%-'Données projet'!$C$27)</f>
        <v>80.273848904427496</v>
      </c>
      <c r="L8" s="152">
        <f t="shared" ca="1" si="2"/>
        <v>229.83203702901608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Châtaignier</v>
      </c>
      <c r="B9" s="154">
        <f>'Données projet'!D12</f>
        <v>0.53467017882985413</v>
      </c>
      <c r="C9" s="147">
        <f ca="1">IF(OR('Données projet'!B12="",'Données projet'!C12="",'Données projet'!C12=0%),0,Calculateur!CD3)</f>
        <v>328.55201074501201</v>
      </c>
      <c r="D9" s="147">
        <f>IF(OR('Données projet'!B12="",'Données projet'!C12="",'Données projet'!C12=0%),0,Calculateur!CE3)</f>
        <v>321.81422611044985</v>
      </c>
      <c r="E9" s="147">
        <f t="shared" ca="1" si="0"/>
        <v>321.81422611044985</v>
      </c>
      <c r="F9" s="147">
        <f t="shared" ca="1" si="1"/>
        <v>172.06446982446533</v>
      </c>
      <c r="G9" s="147">
        <f ca="1">F9*(100%-'Données projet'!$C$24)*(100%-'Données projet'!$C$25)*(100%-'Données projet'!$C$26)*(100%-'Données projet'!$C$27)</f>
        <v>154.85802284201881</v>
      </c>
      <c r="H9" s="155">
        <f>IF(OR('Données projet'!B12="",'Données projet'!C12="",'Données projet'!C12=0%),0,AVERAGE(Calculateur!$CN$3:$CN$33)*B9)</f>
        <v>0.49882298695030969</v>
      </c>
      <c r="I9" s="149">
        <f>H9*(100%-'Données projet'!$C$24)*(100%-'Données projet'!$C$25)*(100%-'Données projet'!$C$26)*(100%-'Données projet'!$C$27)</f>
        <v>0.44894068825527872</v>
      </c>
      <c r="J9" s="150">
        <f>IF(OR('Données projet'!B12="",'Données projet'!C12="",'Données projet'!C12=0%),0,SUM(Calculateur!$CG$3:$CG$33)*VLOOKUP('Données projet'!$B$12,Paramètres!$A$1:$I$89,9,0)*B9)</f>
        <v>18.312453624922505</v>
      </c>
      <c r="K9" s="151">
        <f>J9*(100%-'Données projet'!$C$24)*(100%-'Données projet'!$C$25)*(100%-'Données projet'!$C$26)*(100%-'Données projet'!$C$27)</f>
        <v>16.481208262430254</v>
      </c>
      <c r="L9" s="152">
        <f t="shared" ca="1" si="2"/>
        <v>171.78817179270433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rouge d'Amérique</v>
      </c>
      <c r="B10" s="154">
        <f>'Données projet'!D13</f>
        <v>0.44594761640393799</v>
      </c>
      <c r="C10" s="147">
        <f ca="1">IF(OR('Données projet'!B13="",'Données projet'!C13="",'Données projet'!C13=0%),0,Calculateur!CY3)</f>
        <v>354.24684313982857</v>
      </c>
      <c r="D10" s="147">
        <f>IF(OR('Données projet'!B13="",'Données projet'!C13="",'Données projet'!C13=0%),0,Calculateur!CZ3)</f>
        <v>322.65043486962185</v>
      </c>
      <c r="E10" s="147">
        <f t="shared" ca="1" si="0"/>
        <v>322.65043486962185</v>
      </c>
      <c r="F10" s="147">
        <f t="shared" ca="1" si="1"/>
        <v>143.8851923618019</v>
      </c>
      <c r="G10" s="147">
        <f ca="1">F10*(100%-'Données projet'!$C$24)*(100%-'Données projet'!$C$25)*(100%-'Données projet'!$C$26)*(100%-'Données projet'!$C$27)</f>
        <v>129.49667312562173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129.49667312562173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Merisier</v>
      </c>
      <c r="B11" s="154">
        <f>'Données projet'!D14</f>
        <v>0.51132213608619248</v>
      </c>
      <c r="C11" s="147">
        <f ca="1">IF(OR('Données projet'!B14="",'Données projet'!C14="",'Données projet'!C14=0%),0,Calculateur!DT3)</f>
        <v>288.80569134263209</v>
      </c>
      <c r="D11" s="147">
        <f>IF(OR('Données projet'!B14="",'Données projet'!C14="",'Données projet'!C14=0%),0,Calculateur!DU3)</f>
        <v>283.48738729114024</v>
      </c>
      <c r="E11" s="147">
        <f t="shared" ca="1" si="0"/>
        <v>283.48738729114024</v>
      </c>
      <c r="F11" s="147">
        <f t="shared" ca="1" si="1"/>
        <v>144.95337642319956</v>
      </c>
      <c r="G11" s="147">
        <f ca="1">F11*(100%-'Données projet'!$C$24)*(100%-'Données projet'!$C$25)*(100%-'Données projet'!$C$26)*(100%-'Données projet'!$C$27)</f>
        <v>130.4580387808796</v>
      </c>
      <c r="H11" s="155">
        <f>IF(OR('Données projet'!B14="",'Données projet'!C14="",'Données projet'!C14=0%),0,AVERAGE(Calculateur!$ED$3:$ED$33)*B11)</f>
        <v>1.1928631103406939</v>
      </c>
      <c r="I11" s="149">
        <f>H11*(100%-'Données projet'!$C$24)*(100%-'Données projet'!$C$25)*(100%-'Données projet'!$C$26)*(100%-'Données projet'!$C$27)</f>
        <v>1.0735767993066245</v>
      </c>
      <c r="J11" s="150">
        <f>IF(OR('Données projet'!B14="",'Données projet'!C14="",'Données projet'!C14=0%),0,SUM(Calculateur!$DW$3:$DW$33)*VLOOKUP('Données projet'!$B$14,Paramètres!$A$1:$I$89,9,0)*B11)</f>
        <v>7.0306793711851467</v>
      </c>
      <c r="K11" s="151">
        <f>J11*(100%-'Données projet'!$C$24)*(100%-'Données projet'!$C$25)*(100%-'Données projet'!$C$26)*(100%-'Données projet'!$C$27)</f>
        <v>6.3276114340666325</v>
      </c>
      <c r="L11" s="152">
        <f t="shared" ca="1" si="2"/>
        <v>137.85922701425287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Douglas</v>
      </c>
      <c r="B12" s="154">
        <f>'Données projet'!D15</f>
        <v>0.48928650132573531</v>
      </c>
      <c r="C12" s="147">
        <f ca="1">IF(OR('Données projet'!B15="",'Données projet'!C15="",'Données projet'!C15=0%),0,Calculateur!EO3)</f>
        <v>335.04906256888819</v>
      </c>
      <c r="D12" s="147">
        <f>IF(OR('Données projet'!B15="",'Données projet'!C15="",'Données projet'!C15=0%),0,Calculateur!EP3)</f>
        <v>440.84111898279554</v>
      </c>
      <c r="E12" s="147">
        <f t="shared" ca="1" si="0"/>
        <v>335.04906256888819</v>
      </c>
      <c r="F12" s="147">
        <f t="shared" ca="1" si="1"/>
        <v>163.93498359679867</v>
      </c>
      <c r="G12" s="147">
        <f ca="1">F12*(100%-'Données projet'!$C$24)*(100%-'Données projet'!$C$25)*(100%-'Données projet'!$C$26)*(100%-'Données projet'!$C$27)</f>
        <v>147.54148523711882</v>
      </c>
      <c r="H12" s="155">
        <f>IF(OR('Données projet'!B15="",'Données projet'!C15="",'Données projet'!C15=0%),0,AVERAGE(Calculateur!$EY$3:$EY$33)*B12)</f>
        <v>5.9753610897630693</v>
      </c>
      <c r="I12" s="149">
        <f>H12*(100%-'Données projet'!$C$24)*(100%-'Données projet'!$C$25)*(100%-'Données projet'!$C$26)*(100%-'Données projet'!$C$27)</f>
        <v>5.3778249807867624</v>
      </c>
      <c r="J12" s="150">
        <f>IF(OR('Données projet'!B15="",'Données projet'!C15="",'Données projet'!C15=0%),0,SUM(Calculateur!$ER$3:$ER$33)*VLOOKUP('Données projet'!$B$15,Paramètres!$A$1:$I$89,9,0)*B12)</f>
        <v>37.369068351637132</v>
      </c>
      <c r="K12" s="151">
        <f>J12*(100%-'Données projet'!$C$24)*(100%-'Données projet'!$C$25)*(100%-'Données projet'!$C$26)*(100%-'Données projet'!$C$27)</f>
        <v>33.632161516473417</v>
      </c>
      <c r="L12" s="152">
        <f t="shared" ca="1" si="2"/>
        <v>186.55147173437899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915.71078335496497</v>
      </c>
      <c r="G16" s="166">
        <f t="shared" ca="1" si="3"/>
        <v>824.13970501946847</v>
      </c>
      <c r="H16" s="167">
        <f t="shared" si="3"/>
        <v>26.279988999908518</v>
      </c>
      <c r="I16" s="167">
        <f t="shared" si="3"/>
        <v>23.651990099917668</v>
      </c>
      <c r="J16" s="168">
        <f t="shared" si="3"/>
        <v>156.61954803160765</v>
      </c>
      <c r="K16" s="168">
        <f t="shared" si="3"/>
        <v>140.95759322844691</v>
      </c>
      <c r="L16" s="169">
        <f t="shared" ca="1" si="3"/>
        <v>988.74928834783304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Noyer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Douglas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" zoomScale="43" zoomScaleNormal="122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Noyer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13431.547995894512</v>
      </c>
      <c r="U10" s="178">
        <f>'Données projet'!D9</f>
        <v>0.34284954432719988</v>
      </c>
      <c r="V10" s="177">
        <f>U10*T10</f>
        <v>4605.0001100013487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Hêtre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2609.6415746760581</v>
      </c>
      <c r="U11" s="178">
        <f>'Données projet'!D10</f>
        <v>0.18818711589451409</v>
      </c>
      <c r="V11" s="177">
        <f t="shared" ref="V11" si="0">U11*T11</f>
        <v>491.10092145670558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7782.0400364963652</v>
      </c>
      <c r="U12" s="178">
        <f>'Données projet'!D11</f>
        <v>0.71773690713256522</v>
      </c>
      <c r="V12" s="177">
        <f t="shared" ref="V12:V19" si="1">U12*T12</f>
        <v>5585.4573469766965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Châtaignier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4152.2947949298541</v>
      </c>
      <c r="U13" s="178">
        <f>'Données projet'!D12</f>
        <v>0.53467017882985413</v>
      </c>
      <c r="V13" s="177">
        <f t="shared" si="1"/>
        <v>2220.1082005594176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Noyer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9800.1795703001808</v>
      </c>
      <c r="U14" s="178">
        <f>'Données projet'!D13</f>
        <v>0.44594761640393799</v>
      </c>
      <c r="V14" s="177">
        <f t="shared" si="1"/>
        <v>4370.3667197059349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Merisier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5372.6191983578046</v>
      </c>
      <c r="U15" s="178">
        <f>'Données projet'!D14</f>
        <v>0.51132213608619248</v>
      </c>
      <c r="V15" s="177">
        <f t="shared" si="1"/>
        <v>2747.1391248819996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/>
      <c r="O16" s="23"/>
      <c r="P16" s="23"/>
      <c r="Q16" s="234"/>
      <c r="R16" s="23"/>
      <c r="S16" s="36" t="str">
        <f>B200</f>
        <v>Douglas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9877.0962497442451</v>
      </c>
      <c r="U16" s="178">
        <f>'Données projet'!D15</f>
        <v>0.48928650132573531</v>
      </c>
      <c r="V16" s="177">
        <f t="shared" si="1"/>
        <v>4832.7298672949028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6293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2</v>
      </c>
      <c r="I21" s="191">
        <v>6293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3</v>
      </c>
      <c r="I22" s="191">
        <v>6293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3</v>
      </c>
      <c r="C23" s="193">
        <v>200</v>
      </c>
      <c r="D23" s="182">
        <f>B23*C23</f>
        <v>600</v>
      </c>
      <c r="E23" s="193"/>
      <c r="F23" s="230"/>
      <c r="H23" s="190">
        <v>4</v>
      </c>
      <c r="I23" s="191">
        <v>6293</v>
      </c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-64380.477107322273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25</v>
      </c>
      <c r="C24" s="193">
        <v>200</v>
      </c>
      <c r="D24" s="182">
        <f t="shared" ref="D24:D42" si="2">B24*C24</f>
        <v>5000</v>
      </c>
      <c r="E24" s="193"/>
      <c r="F24" s="233"/>
      <c r="H24" s="190">
        <v>5</v>
      </c>
      <c r="I24" s="191">
        <v>6293</v>
      </c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27</v>
      </c>
      <c r="C25" s="193">
        <v>200</v>
      </c>
      <c r="D25" s="182">
        <f t="shared" si="2"/>
        <v>5400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-64380.477107322273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31</v>
      </c>
      <c r="B26" s="181">
        <f>'Données projet'!D39</f>
        <v>35</v>
      </c>
      <c r="C26" s="193">
        <v>200</v>
      </c>
      <c r="D26" s="182">
        <f t="shared" si="2"/>
        <v>7000</v>
      </c>
      <c r="E26" s="193"/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37</v>
      </c>
      <c r="B27" s="181">
        <f>'Données projet'!D40</f>
        <v>36</v>
      </c>
      <c r="C27" s="193">
        <v>200</v>
      </c>
      <c r="D27" s="182">
        <f t="shared" si="2"/>
        <v>7200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44</v>
      </c>
      <c r="B28" s="181">
        <f>'Données projet'!D41</f>
        <v>43</v>
      </c>
      <c r="C28" s="193">
        <v>200</v>
      </c>
      <c r="D28" s="182">
        <f t="shared" si="2"/>
        <v>8600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52</v>
      </c>
      <c r="B29" s="181">
        <f>'Données projet'!D42</f>
        <v>49</v>
      </c>
      <c r="C29" s="193">
        <v>200</v>
      </c>
      <c r="D29" s="182">
        <f t="shared" si="2"/>
        <v>9800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60</v>
      </c>
      <c r="B30" s="181">
        <f>'Données projet'!D43</f>
        <v>47</v>
      </c>
      <c r="C30" s="193">
        <v>200</v>
      </c>
      <c r="D30" s="182">
        <f t="shared" si="2"/>
        <v>9400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69</v>
      </c>
      <c r="B31" s="181">
        <f>'Données projet'!D44</f>
        <v>328</v>
      </c>
      <c r="C31" s="193">
        <v>200</v>
      </c>
      <c r="D31" s="182">
        <f t="shared" si="2"/>
        <v>65600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Hêtre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42</v>
      </c>
      <c r="B55" s="181">
        <f>'Données projet'!D63</f>
        <v>69.141025641025635</v>
      </c>
      <c r="C55" s="191">
        <v>120</v>
      </c>
      <c r="D55" s="179">
        <f t="shared" ref="D55:D73" si="4">B55*C55</f>
        <v>8296.9230769230762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48</v>
      </c>
      <c r="B56" s="181">
        <f>'Données projet'!D64</f>
        <v>44.737179487179489</v>
      </c>
      <c r="C56" s="191">
        <v>120</v>
      </c>
      <c r="D56" s="179">
        <f t="shared" si="4"/>
        <v>5368.461538461539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54</v>
      </c>
      <c r="B57" s="181">
        <f>'Données projet'!D65</f>
        <v>47.025641025641022</v>
      </c>
      <c r="C57" s="191">
        <v>120</v>
      </c>
      <c r="D57" s="179">
        <f t="shared" si="4"/>
        <v>5643.0769230769229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63</v>
      </c>
      <c r="B58" s="181">
        <f>'Données projet'!D66</f>
        <v>64.628205128205124</v>
      </c>
      <c r="C58" s="191">
        <v>120</v>
      </c>
      <c r="D58" s="179">
        <f t="shared" si="4"/>
        <v>7755.3846153846152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72</v>
      </c>
      <c r="B59" s="181">
        <f>'Données projet'!D67</f>
        <v>62.551282051282051</v>
      </c>
      <c r="C59" s="191">
        <v>120</v>
      </c>
      <c r="D59" s="179">
        <f t="shared" si="4"/>
        <v>7506.1538461538457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81</v>
      </c>
      <c r="B60" s="181">
        <f>'Données projet'!D68</f>
        <v>57.38461538461538</v>
      </c>
      <c r="C60" s="191">
        <v>120</v>
      </c>
      <c r="D60" s="179">
        <f t="shared" si="4"/>
        <v>6886.1538461538457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90</v>
      </c>
      <c r="B61" s="181">
        <f>'Données projet'!D69</f>
        <v>52.782051282051285</v>
      </c>
      <c r="C61" s="191">
        <v>120</v>
      </c>
      <c r="D61" s="179">
        <f t="shared" si="4"/>
        <v>6333.8461538461543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99</v>
      </c>
      <c r="B62" s="181">
        <f>'Données projet'!D70</f>
        <v>53.749999999999993</v>
      </c>
      <c r="C62" s="191">
        <v>120</v>
      </c>
      <c r="D62" s="179">
        <f t="shared" si="4"/>
        <v>6449.9999999999991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111</v>
      </c>
      <c r="B63" s="181">
        <f>'Données projet'!D71</f>
        <v>108.1474358974359</v>
      </c>
      <c r="C63" s="191">
        <v>120</v>
      </c>
      <c r="D63" s="179">
        <f t="shared" si="4"/>
        <v>12977.692307692309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116</v>
      </c>
      <c r="B64" s="181">
        <f>'Données projet'!D72</f>
        <v>72.698717948717942</v>
      </c>
      <c r="C64" s="191">
        <v>120</v>
      </c>
      <c r="D64" s="179">
        <f t="shared" si="4"/>
        <v>8723.8461538461524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121</v>
      </c>
      <c r="B65" s="181">
        <f>'Données projet'!D73</f>
        <v>66.179487179487168</v>
      </c>
      <c r="C65" s="191">
        <v>120</v>
      </c>
      <c r="D65" s="179">
        <f t="shared" si="4"/>
        <v>7941.5384615384601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125</v>
      </c>
      <c r="B66" s="181">
        <f>'Données projet'!D74</f>
        <v>100.62179487179486</v>
      </c>
      <c r="C66" s="191">
        <v>120</v>
      </c>
      <c r="D66" s="179">
        <f t="shared" si="4"/>
        <v>12074.615384615383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12</v>
      </c>
      <c r="B85" s="181">
        <f>'Données projet'!D88</f>
        <v>21</v>
      </c>
      <c r="C85" s="191">
        <v>45</v>
      </c>
      <c r="D85" s="179">
        <f>B85*C85</f>
        <v>945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47</v>
      </c>
      <c r="C86" s="191">
        <v>45</v>
      </c>
      <c r="D86" s="179">
        <f t="shared" ref="D86:D104" si="6">B86*C86</f>
        <v>2115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18</v>
      </c>
      <c r="B87" s="181">
        <f>'Données projet'!D90</f>
        <v>61</v>
      </c>
      <c r="C87" s="191">
        <v>45</v>
      </c>
      <c r="D87" s="179">
        <f t="shared" si="6"/>
        <v>2745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24</v>
      </c>
      <c r="B88" s="181">
        <f>'Données projet'!D91</f>
        <v>84</v>
      </c>
      <c r="C88" s="191">
        <v>45</v>
      </c>
      <c r="D88" s="179">
        <f t="shared" si="6"/>
        <v>3780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>
        <f>'Données projet'!D92</f>
        <v>76</v>
      </c>
      <c r="C89" s="191">
        <v>45</v>
      </c>
      <c r="D89" s="179">
        <f t="shared" si="6"/>
        <v>3420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36</v>
      </c>
      <c r="B90" s="181">
        <f>'Données projet'!D93</f>
        <v>75</v>
      </c>
      <c r="C90" s="191">
        <v>45</v>
      </c>
      <c r="D90" s="179">
        <f t="shared" si="6"/>
        <v>3375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42</v>
      </c>
      <c r="B91" s="181">
        <f>'Données projet'!D94</f>
        <v>278</v>
      </c>
      <c r="C91" s="191">
        <v>45</v>
      </c>
      <c r="D91" s="179">
        <f t="shared" si="6"/>
        <v>12510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>Châtaignier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0</v>
      </c>
      <c r="C116" s="191">
        <v>70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32</v>
      </c>
      <c r="C117" s="191">
        <v>55</v>
      </c>
      <c r="D117" s="179">
        <f t="shared" ref="D117:D135" si="8">B117*C117</f>
        <v>1760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>
        <f>'Données projet'!D116</f>
        <v>35</v>
      </c>
      <c r="C118" s="191">
        <v>55</v>
      </c>
      <c r="D118" s="179">
        <f t="shared" si="8"/>
        <v>1925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>
        <f>'Données projet'!D117</f>
        <v>35</v>
      </c>
      <c r="C119" s="191">
        <v>55</v>
      </c>
      <c r="D119" s="179">
        <f t="shared" si="8"/>
        <v>1925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>
        <f>'Données projet'!D118</f>
        <v>35</v>
      </c>
      <c r="C120" s="191">
        <v>55</v>
      </c>
      <c r="D120" s="179">
        <f t="shared" si="8"/>
        <v>1925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>
        <f>'Données projet'!D119</f>
        <v>35</v>
      </c>
      <c r="C121" s="191">
        <v>55</v>
      </c>
      <c r="D121" s="179">
        <f t="shared" si="8"/>
        <v>1925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>
        <f>'Données projet'!D120</f>
        <v>35</v>
      </c>
      <c r="C122" s="191">
        <v>55</v>
      </c>
      <c r="D122" s="179">
        <f t="shared" si="8"/>
        <v>1925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>
        <f>'Données projet'!D121</f>
        <v>24</v>
      </c>
      <c r="C123" s="191">
        <v>55</v>
      </c>
      <c r="D123" s="179">
        <f t="shared" si="8"/>
        <v>1320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>
        <f>'Données projet'!D122</f>
        <v>19</v>
      </c>
      <c r="C124" s="191">
        <v>55</v>
      </c>
      <c r="D124" s="179">
        <f t="shared" si="8"/>
        <v>1045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>
        <f>'Données projet'!D123</f>
        <v>16</v>
      </c>
      <c r="C125" s="191">
        <v>55</v>
      </c>
      <c r="D125" s="179">
        <f t="shared" si="8"/>
        <v>880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>
        <f>'Données projet'!D124</f>
        <v>14</v>
      </c>
      <c r="C126" s="191">
        <v>55</v>
      </c>
      <c r="D126" s="179">
        <f t="shared" si="8"/>
        <v>770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>
        <f>'Données projet'!D125</f>
        <v>13</v>
      </c>
      <c r="C127" s="191">
        <v>55</v>
      </c>
      <c r="D127" s="179">
        <f t="shared" si="8"/>
        <v>715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>
        <f>'Données projet'!D126</f>
        <v>13</v>
      </c>
      <c r="C128" s="191">
        <v>55</v>
      </c>
      <c r="D128" s="179">
        <f t="shared" si="8"/>
        <v>715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>
        <f>'Données projet'!D127</f>
        <v>12</v>
      </c>
      <c r="C129" s="191">
        <v>55</v>
      </c>
      <c r="D129" s="179">
        <f t="shared" si="8"/>
        <v>660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>
        <f>'Données projet'!D128</f>
        <v>11</v>
      </c>
      <c r="C130" s="191">
        <v>55</v>
      </c>
      <c r="D130" s="179">
        <f t="shared" si="8"/>
        <v>605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5">
        <f>'Données projet'!D140</f>
        <v>0</v>
      </c>
      <c r="C147" s="191">
        <v>150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5">
        <f>'Données projet'!D141</f>
        <v>0</v>
      </c>
      <c r="C148" s="191">
        <v>150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5" t="str">
        <f>'Données projet'!D142</f>
        <v>54</v>
      </c>
      <c r="C149" s="191">
        <v>150</v>
      </c>
      <c r="D149" s="182">
        <f t="shared" si="10"/>
        <v>8100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5" t="str">
        <f>'Données projet'!D143</f>
        <v>26</v>
      </c>
      <c r="C150" s="191">
        <v>150</v>
      </c>
      <c r="D150" s="182">
        <f t="shared" si="10"/>
        <v>3900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5" t="str">
        <f>'Données projet'!D144</f>
        <v>27</v>
      </c>
      <c r="C151" s="191">
        <v>150</v>
      </c>
      <c r="D151" s="182">
        <f t="shared" si="10"/>
        <v>4050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5" t="str">
        <f>'Données projet'!D145</f>
        <v>27</v>
      </c>
      <c r="C152" s="191">
        <v>150</v>
      </c>
      <c r="D152" s="182">
        <f t="shared" si="10"/>
        <v>4050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5" t="str">
        <f>'Données projet'!D146</f>
        <v>27</v>
      </c>
      <c r="C153" s="191">
        <v>150</v>
      </c>
      <c r="D153" s="182">
        <f t="shared" si="10"/>
        <v>4050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5" t="str">
        <f>'Données projet'!D147</f>
        <v>26</v>
      </c>
      <c r="C154" s="191">
        <v>150</v>
      </c>
      <c r="D154" s="182">
        <f t="shared" si="10"/>
        <v>3900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5" t="str">
        <f>'Données projet'!D148</f>
        <v>24</v>
      </c>
      <c r="C155" s="191">
        <v>150</v>
      </c>
      <c r="D155" s="182">
        <f t="shared" si="10"/>
        <v>3600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5" t="str">
        <f>'Données projet'!D149</f>
        <v>23</v>
      </c>
      <c r="C156" s="191">
        <v>150</v>
      </c>
      <c r="D156" s="182">
        <f t="shared" si="10"/>
        <v>3450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5" t="str">
        <f>'Données projet'!D150</f>
        <v>21</v>
      </c>
      <c r="C157" s="191">
        <v>150</v>
      </c>
      <c r="D157" s="182">
        <f t="shared" si="10"/>
        <v>3150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5" t="str">
        <f>'Données projet'!D151</f>
        <v>20</v>
      </c>
      <c r="C158" s="191">
        <v>150</v>
      </c>
      <c r="D158" s="182">
        <f t="shared" si="10"/>
        <v>3000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5" t="str">
        <f>'Données projet'!D152</f>
        <v>18</v>
      </c>
      <c r="C159" s="191">
        <v>150</v>
      </c>
      <c r="D159" s="182">
        <f t="shared" si="10"/>
        <v>2700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5" t="str">
        <f>'Données projet'!D153</f>
        <v>16</v>
      </c>
      <c r="C160" s="191">
        <v>150</v>
      </c>
      <c r="D160" s="182">
        <f t="shared" si="10"/>
        <v>2400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5" t="str">
        <f>'Données projet'!D154</f>
        <v>15</v>
      </c>
      <c r="C161" s="191">
        <v>150</v>
      </c>
      <c r="D161" s="182">
        <f t="shared" si="10"/>
        <v>2250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85</v>
      </c>
      <c r="B162" s="175" t="str">
        <f>'Données projet'!D155</f>
        <v>14</v>
      </c>
      <c r="C162" s="191">
        <v>150</v>
      </c>
      <c r="D162" s="182">
        <f t="shared" si="10"/>
        <v>2100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90</v>
      </c>
      <c r="B163" s="175" t="str">
        <f>'Données projet'!D156</f>
        <v>12</v>
      </c>
      <c r="C163" s="191">
        <v>150</v>
      </c>
      <c r="D163" s="182">
        <f t="shared" si="10"/>
        <v>1800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95</v>
      </c>
      <c r="B164" s="175" t="str">
        <f>'Données projet'!D157</f>
        <v>12</v>
      </c>
      <c r="C164" s="191">
        <v>150</v>
      </c>
      <c r="D164" s="182">
        <f t="shared" si="10"/>
        <v>1800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100</v>
      </c>
      <c r="B165" s="175">
        <f>'Données projet'!D158</f>
        <v>255</v>
      </c>
      <c r="C165" s="191">
        <v>150</v>
      </c>
      <c r="D165" s="182">
        <f t="shared" si="10"/>
        <v>38250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>Merisier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15</v>
      </c>
      <c r="B178" s="181">
        <f>'Données projet'!D166</f>
        <v>3</v>
      </c>
      <c r="C178" s="193">
        <v>80</v>
      </c>
      <c r="D178" s="179">
        <f>B178*C178</f>
        <v>240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20</v>
      </c>
      <c r="B179" s="181">
        <f>'Données projet'!D167</f>
        <v>25</v>
      </c>
      <c r="C179" s="193">
        <v>80</v>
      </c>
      <c r="D179" s="179">
        <f t="shared" ref="D179:D197" si="11">B179*C179</f>
        <v>2000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25</v>
      </c>
      <c r="B180" s="181">
        <f>'Données projet'!D168</f>
        <v>27</v>
      </c>
      <c r="C180" s="193">
        <v>80</v>
      </c>
      <c r="D180" s="179">
        <f t="shared" si="11"/>
        <v>2160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31</v>
      </c>
      <c r="B181" s="181">
        <f>'Données projet'!D169</f>
        <v>35</v>
      </c>
      <c r="C181" s="193">
        <v>80</v>
      </c>
      <c r="D181" s="179">
        <f t="shared" si="11"/>
        <v>2800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37</v>
      </c>
      <c r="B182" s="181">
        <f>'Données projet'!D170</f>
        <v>36</v>
      </c>
      <c r="C182" s="193">
        <v>80</v>
      </c>
      <c r="D182" s="179">
        <f t="shared" si="11"/>
        <v>2880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44</v>
      </c>
      <c r="B183" s="181">
        <f>'Données projet'!D171</f>
        <v>43</v>
      </c>
      <c r="C183" s="193">
        <v>80</v>
      </c>
      <c r="D183" s="179">
        <f t="shared" si="11"/>
        <v>3440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52</v>
      </c>
      <c r="B184" s="181">
        <f>'Données projet'!D172</f>
        <v>49</v>
      </c>
      <c r="C184" s="193">
        <v>80</v>
      </c>
      <c r="D184" s="179">
        <f t="shared" si="11"/>
        <v>3920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60</v>
      </c>
      <c r="B185" s="181">
        <f>'Données projet'!D173</f>
        <v>47</v>
      </c>
      <c r="C185" s="193">
        <v>80</v>
      </c>
      <c r="D185" s="179">
        <f t="shared" si="11"/>
        <v>3760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69</v>
      </c>
      <c r="B186" s="181">
        <f>'Données projet'!D174</f>
        <v>328</v>
      </c>
      <c r="C186" s="193">
        <v>80</v>
      </c>
      <c r="D186" s="179">
        <f t="shared" si="11"/>
        <v>26240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>Douglas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18</v>
      </c>
      <c r="B209" s="181">
        <f>'Données projet'!D192</f>
        <v>69.284615384615378</v>
      </c>
      <c r="C209" s="193">
        <v>65</v>
      </c>
      <c r="D209" s="179">
        <f>B209*C209</f>
        <v>4503.5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24</v>
      </c>
      <c r="B210" s="181">
        <f>'Données projet'!D193</f>
        <v>42.661538461538463</v>
      </c>
      <c r="C210" s="193">
        <v>65</v>
      </c>
      <c r="D210" s="179">
        <f t="shared" ref="D210:D228" si="12">B210*C210</f>
        <v>2773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30</v>
      </c>
      <c r="B211" s="181">
        <f>'Données projet'!D194</f>
        <v>65.669230769230765</v>
      </c>
      <c r="C211" s="193">
        <v>65</v>
      </c>
      <c r="D211" s="179">
        <f t="shared" si="12"/>
        <v>4268.5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36</v>
      </c>
      <c r="B212" s="181">
        <f>'Données projet'!D195</f>
        <v>69.3</v>
      </c>
      <c r="C212" s="193">
        <v>65</v>
      </c>
      <c r="D212" s="179">
        <f t="shared" si="12"/>
        <v>4504.5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42</v>
      </c>
      <c r="B213" s="181">
        <f>'Données projet'!D196</f>
        <v>73.392307692307682</v>
      </c>
      <c r="C213" s="193">
        <v>65</v>
      </c>
      <c r="D213" s="179">
        <f t="shared" si="12"/>
        <v>4770.4999999999991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48</v>
      </c>
      <c r="B214" s="181">
        <f>'Données projet'!D197</f>
        <v>81.330769230769235</v>
      </c>
      <c r="C214" s="193">
        <v>65</v>
      </c>
      <c r="D214" s="179">
        <f t="shared" si="12"/>
        <v>5286.5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54</v>
      </c>
      <c r="B215" s="181">
        <f>'Données projet'!D198</f>
        <v>566.79999999999995</v>
      </c>
      <c r="C215" s="193">
        <v>65</v>
      </c>
      <c r="D215" s="179">
        <f t="shared" si="12"/>
        <v>36842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CB6A90FF-D278-4B0C-85ED-2241247F6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Lou Gabrigs</cp:lastModifiedBy>
  <cp:revision/>
  <dcterms:created xsi:type="dcterms:W3CDTF">2021-02-01T08:22:39Z</dcterms:created>
  <dcterms:modified xsi:type="dcterms:W3CDTF">2025-07-08T09:42:38Z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